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35" windowWidth="18195" windowHeight="10800" tabRatio="826"/>
  </bookViews>
  <sheets>
    <sheet name="RAP-NATURAL GAS PRICES" sheetId="1" r:id="rId1"/>
    <sheet name="RAP TEMPLATE-GAS AVAILABILITY" sheetId="2" r:id="rId2"/>
    <sheet name="RAP-HEAVY &amp; LIGHT OIL &amp; WTI" sheetId="3" r:id="rId3"/>
    <sheet name="RAP-SOLID FUEL PRICES" sheetId="4" r:id="rId4"/>
    <sheet name="CONTR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[1]HISTORY!#REF!</definedName>
    <definedName name="__123Graph_A" localSheetId="1" hidden="1">'[2]FPL MOST LIKELY GAS BACKUP 1'!#REF!</definedName>
    <definedName name="__123Graph_A" hidden="1">'[2]FPL MOST LIKELY GAS BACKUP 1'!#REF!</definedName>
    <definedName name="__123Graph_B" localSheetId="1" hidden="1">'[2]FPL MOST LIKELY GAS BACKUP 1'!#REF!</definedName>
    <definedName name="__123Graph_B" hidden="1">'[2]FPL MOST LIKELY GAS BACKUP 1'!#REF!</definedName>
    <definedName name="__123Graph_X" localSheetId="1" hidden="1">'[2]FPL MOST LIKELY GAS BACKUP 1'!#REF!</definedName>
    <definedName name="__123Graph_X" hidden="1">'[2]FPL MOST LIKELY GAS BACKUP 1'!#REF!</definedName>
    <definedName name="_1" localSheetId="1">#REF!</definedName>
    <definedName name="_1">#REF!</definedName>
    <definedName name="_1A" localSheetId="1">#REF!</definedName>
    <definedName name="_1A">#REF!</definedName>
    <definedName name="_2" localSheetId="1">#REF!</definedName>
    <definedName name="_2">#REF!</definedName>
    <definedName name="_3" localSheetId="1">#REF!</definedName>
    <definedName name="_3">#REF!</definedName>
    <definedName name="_4" localSheetId="1">#REF!</definedName>
    <definedName name="_4">#REF!</definedName>
    <definedName name="_5" localSheetId="1">#REF!</definedName>
    <definedName name="_5">#REF!</definedName>
    <definedName name="_6" localSheetId="1">#REF!</definedName>
    <definedName name="_6">#REF!</definedName>
    <definedName name="_7" localSheetId="1">#REF!</definedName>
    <definedName name="_7">#REF!</definedName>
    <definedName name="_8" localSheetId="1">#REF!</definedName>
    <definedName name="_8">#REF!</definedName>
    <definedName name="_9394GAS" localSheetId="1">#REF!</definedName>
    <definedName name="_9394GAS">#REF!</definedName>
    <definedName name="_9394OIL" localSheetId="1">#REF!</definedName>
    <definedName name="_9394OIL">#REF!</definedName>
    <definedName name="_C1" localSheetId="1">#REF!</definedName>
    <definedName name="_C1">#REF!</definedName>
    <definedName name="_GIP1" localSheetId="1">#REF!</definedName>
    <definedName name="_GIP1">#REF!</definedName>
    <definedName name="_SYP1" localSheetId="1">#REF!</definedName>
    <definedName name="_SYP1">#REF!</definedName>
    <definedName name="C_" localSheetId="1">#REF!</definedName>
    <definedName name="C_">#REF!</definedName>
    <definedName name="CC1_" localSheetId="1">#REF!</definedName>
    <definedName name="CC1_">#REF!</definedName>
    <definedName name="COMPET" localSheetId="1">#REF!</definedName>
    <definedName name="COMPET">#REF!</definedName>
    <definedName name="CopyXC" localSheetId="1">#REF!</definedName>
    <definedName name="CopyXC">#REF!</definedName>
    <definedName name="DatabaseNameCopy" localSheetId="1">#REF!</definedName>
    <definedName name="DatabaseNameCopy">#REF!</definedName>
    <definedName name="DatabaseNameDG" localSheetId="1">#REF!</definedName>
    <definedName name="DatabaseNameDG">#REF!</definedName>
    <definedName name="DateColumn" localSheetId="1">[3]_Setup_!#REF!</definedName>
    <definedName name="DateColumn">[3]_Setup_!#REF!</definedName>
    <definedName name="DestColRowXC" localSheetId="1">#REF!</definedName>
    <definedName name="DestColRowXC">#REF!</definedName>
    <definedName name="DestDBname" localSheetId="1">#REF!</definedName>
    <definedName name="DestDBname">#REF!</definedName>
    <definedName name="DestHdrRowColXC" localSheetId="1">#REF!</definedName>
    <definedName name="DestHdrRowColXC">#REF!</definedName>
    <definedName name="DestLayoutXC" localSheetId="1">#REF!</definedName>
    <definedName name="DestLayoutXC">#REF!</definedName>
    <definedName name="DestRowColXC" localSheetId="1">#REF!</definedName>
    <definedName name="DestRowColXC">#REF!</definedName>
    <definedName name="DestStudyName" localSheetId="1">#REF!</definedName>
    <definedName name="DestStudyName">#REF!</definedName>
    <definedName name="DestStudyNameCopy" localSheetId="1">#REF!</definedName>
    <definedName name="DestStudyNameCopy">#REF!</definedName>
    <definedName name="DestUserName" localSheetId="1">#REF!</definedName>
    <definedName name="DestUserName">#REF!</definedName>
    <definedName name="DestWorksheetXC" localSheetId="1">#REF!</definedName>
    <definedName name="DestWorksheetXC">#REF!</definedName>
    <definedName name="EffectiveDate" localSheetId="1">[3]_Setup_!#REF!</definedName>
    <definedName name="EffectiveDate">[3]_Setup_!#REF!</definedName>
    <definedName name="FIRM" localSheetId="1">#REF!</definedName>
    <definedName name="FIRM">#REF!</definedName>
    <definedName name="FIRM1" localSheetId="1">#REF!</definedName>
    <definedName name="FIRM1">#REF!</definedName>
    <definedName name="GAS" localSheetId="1">#REF!</definedName>
    <definedName name="GAS">#REF!</definedName>
    <definedName name="GASAVAIL" localSheetId="1">#REF!</definedName>
    <definedName name="GASAVAIL">#REF!</definedName>
    <definedName name="GIP" localSheetId="1">#REF!</definedName>
    <definedName name="GIP">#REF!</definedName>
    <definedName name="HeaderXC" localSheetId="1">#REF!</definedName>
    <definedName name="HeaderXC">#REF!</definedName>
    <definedName name="I5_" localSheetId="1">#REF!</definedName>
    <definedName name="I5_">#REF!</definedName>
    <definedName name="I6_" localSheetId="1">#REF!</definedName>
    <definedName name="I6_">#REF!</definedName>
    <definedName name="I7_" localSheetId="1">#REF!</definedName>
    <definedName name="I7_">#REF!</definedName>
    <definedName name="ImportListDG" localSheetId="1">#REF!</definedName>
    <definedName name="ImportListDG">#REF!</definedName>
    <definedName name="INDEXDATA">'[4]Index-Data'!$A$2:$CG$68</definedName>
    <definedName name="INFLAT" localSheetId="1">#REF!</definedName>
    <definedName name="INFLAT">#REF!</definedName>
    <definedName name="LayoutXC" localSheetId="1">#REF!</definedName>
    <definedName name="LayoutXC">#REF!</definedName>
    <definedName name="Messages" localSheetId="1">[5]_UnregulatedCurves_!#REF!</definedName>
    <definedName name="Messages">[5]_UnregulatedCurves_!#REF!</definedName>
    <definedName name="MessagesDG" localSheetId="1">#REF!</definedName>
    <definedName name="MessagesDG">#REF!</definedName>
    <definedName name="MessagesDW" localSheetId="1">[5]_UnregulatedCurves_!#REF!</definedName>
    <definedName name="MessagesDW">[5]_UnregulatedCurves_!#REF!</definedName>
    <definedName name="MONTH" localSheetId="1">#REF!</definedName>
    <definedName name="MONTH">#REF!</definedName>
    <definedName name="MONTH1" localSheetId="1">#REF!</definedName>
    <definedName name="MONTH1">#REF!</definedName>
    <definedName name="MONTHID">'[4]Misc-Data'!$A$2:$F$85</definedName>
    <definedName name="MONTHS2" localSheetId="1">#REF!</definedName>
    <definedName name="MONTHS2">#REF!</definedName>
    <definedName name="MONTHS3" localSheetId="1">#REF!</definedName>
    <definedName name="MONTHS3">#REF!</definedName>
    <definedName name="MONTHS4" localSheetId="1">#REF!</definedName>
    <definedName name="MONTHS4">#REF!</definedName>
    <definedName name="MONTHS5" localSheetId="1">#REF!</definedName>
    <definedName name="MONTHS5">#REF!</definedName>
    <definedName name="MONTHS6" localSheetId="1">#REF!</definedName>
    <definedName name="MONTHS6">#REF!</definedName>
    <definedName name="MONTHS7" localSheetId="1">#REF!</definedName>
    <definedName name="MONTHS7">#REF!</definedName>
    <definedName name="OIPBBL" localSheetId="1">#REF!</definedName>
    <definedName name="OIPBBL">#REF!</definedName>
    <definedName name="OIPBBL1" localSheetId="1">#REF!</definedName>
    <definedName name="OIPBBL1">#REF!</definedName>
    <definedName name="PasswordCopy" localSheetId="1">#REF!</definedName>
    <definedName name="PasswordCopy">#REF!</definedName>
    <definedName name="PasswordDG" localSheetId="1">#REF!</definedName>
    <definedName name="PasswordDG">#REF!</definedName>
    <definedName name="PHASEII" localSheetId="1">#REF!</definedName>
    <definedName name="PHASEII">#REF!</definedName>
    <definedName name="PHASEII1" localSheetId="1">#REF!</definedName>
    <definedName name="PHASEII1">#REF!</definedName>
    <definedName name="PHASEIII" localSheetId="1">#REF!</definedName>
    <definedName name="PHASEIII">#REF!</definedName>
    <definedName name="PHASEIII1" localSheetId="1">#REF!</definedName>
    <definedName name="PHASEIII1">#REF!</definedName>
    <definedName name="pipedes">'[4]Misc-Data'!$D$2:$F$69</definedName>
    <definedName name="PRINT">#N/A</definedName>
    <definedName name="_xlnm.Print_Area" localSheetId="1">'RAP TEMPLATE-GAS AVAILABILITY'!$A$17:$J$1136</definedName>
    <definedName name="_xlnm.Print_Area" localSheetId="2">'RAP-HEAVY &amp; LIGHT OIL &amp; WTI'!$A$17:$I$1136</definedName>
    <definedName name="_xlnm.Print_Area" localSheetId="0">'RAP-NATURAL GAS PRICES'!$A$17:$S$1136</definedName>
    <definedName name="_xlnm.Print_Area" localSheetId="3">'RAP-SOLID FUEL PRICES'!$A$17:$K$1136</definedName>
    <definedName name="_xlnm.Print_Titles" localSheetId="1">'RAP TEMPLATE-GAS AVAILABILITY'!$1:$16</definedName>
    <definedName name="_xlnm.Print_Titles" localSheetId="2">'RAP-HEAVY &amp; LIGHT OIL &amp; WTI'!$1:$16</definedName>
    <definedName name="_xlnm.Print_Titles" localSheetId="0">'RAP-NATURAL GAS PRICES'!$1:$16</definedName>
    <definedName name="_xlnm.Print_Titles" localSheetId="3">'RAP-SOLID FUEL PRICES'!$1:$16</definedName>
    <definedName name="RESULTS" localSheetId="1">#REF!</definedName>
    <definedName name="RESULTS">#REF!</definedName>
    <definedName name="RESULTS1" localSheetId="1">#REF!</definedName>
    <definedName name="RESULTS1">#REF!</definedName>
    <definedName name="RESULTS2" localSheetId="1">#REF!</definedName>
    <definedName name="RESULTS2">#REF!</definedName>
    <definedName name="RESULTS3" localSheetId="1">#REF!</definedName>
    <definedName name="RESULTS3">#REF!</definedName>
    <definedName name="RESULTS4" localSheetId="1">#REF!</definedName>
    <definedName name="RESULTS4">#REF!</definedName>
    <definedName name="RESULTSA" localSheetId="1">#REF!</definedName>
    <definedName name="RESULTSA">#REF!</definedName>
    <definedName name="RowStart" localSheetId="1">[3]_Setup_!#REF!</definedName>
    <definedName name="RowStart">[3]_Setup_!#REF!</definedName>
    <definedName name="SelectListCopy" localSheetId="1">#REF!</definedName>
    <definedName name="SelectListCopy">#REF!</definedName>
    <definedName name="SFOR" localSheetId="1">#REF!</definedName>
    <definedName name="SFOR">#REF!</definedName>
    <definedName name="SFOR1" localSheetId="1">#REF!</definedName>
    <definedName name="SFOR1">#REF!</definedName>
    <definedName name="SourceDBname" localSheetId="1">#REF!</definedName>
    <definedName name="SourceDBname">#REF!</definedName>
    <definedName name="SourceStudyName" localSheetId="1">#REF!</definedName>
    <definedName name="SourceStudyName">#REF!</definedName>
    <definedName name="SourceStudyNameCopy" localSheetId="1">#REF!</definedName>
    <definedName name="SourceStudyNameCopy">#REF!</definedName>
    <definedName name="SourceUserName" localSheetId="1">#REF!</definedName>
    <definedName name="SourceUserName">#REF!</definedName>
    <definedName name="SrcColRowXC" localSheetId="1">#REF!</definedName>
    <definedName name="SrcColRowXC">#REF!</definedName>
    <definedName name="SrcFileXC" localSheetId="1">#REF!</definedName>
    <definedName name="SrcFileXC">#REF!</definedName>
    <definedName name="SrcStartRowColXC" localSheetId="1">#REF!</definedName>
    <definedName name="SrcStartRowColXC">#REF!</definedName>
    <definedName name="SrcWorksheetXC" localSheetId="1">#REF!</definedName>
    <definedName name="SrcWorksheetXC">#REF!</definedName>
    <definedName name="StatusCopy" localSheetId="1">#REF!</definedName>
    <definedName name="StatusCopy">#REF!</definedName>
    <definedName name="StatusDG" localSheetId="1">#REF!</definedName>
    <definedName name="StatusDG">#REF!</definedName>
    <definedName name="StatusXC" localSheetId="1">#REF!</definedName>
    <definedName name="StatusXC">#REF!</definedName>
    <definedName name="StudyNameDG" localSheetId="1">#REF!</definedName>
    <definedName name="StudyNameDG">#REF!</definedName>
    <definedName name="SYP" localSheetId="1">#REF!</definedName>
    <definedName name="SYP">#REF!</definedName>
    <definedName name="SYSGAS" localSheetId="1">#REF!</definedName>
    <definedName name="SYSGAS">#REF!</definedName>
    <definedName name="test" hidden="1">'[2]FPL MOST LIKELY GAS BACKUP 1'!#REF!</definedName>
    <definedName name="TITLES" localSheetId="1">#REF!</definedName>
    <definedName name="TITLES">#REF!</definedName>
    <definedName name="TOBBL" localSheetId="1">#REF!</definedName>
    <definedName name="TOBBL">#REF!</definedName>
    <definedName name="TotalRowColXC" localSheetId="1">#REF!</definedName>
    <definedName name="TotalRowColXC">#REF!</definedName>
    <definedName name="TransferListDG" localSheetId="1">#REF!</definedName>
    <definedName name="TransferListDG">#REF!</definedName>
    <definedName name="TTG" localSheetId="1">#REF!</definedName>
    <definedName name="TTG">#REF!</definedName>
    <definedName name="UserNameCopy" localSheetId="1">#REF!</definedName>
    <definedName name="UserNameCopy">#REF!</definedName>
    <definedName name="UserNameDG" localSheetId="1">#REF!</definedName>
    <definedName name="UserNameDG">#REF!</definedName>
    <definedName name="VOLUMES" localSheetId="1">#REF!</definedName>
    <definedName name="VOLUMES">#REF!</definedName>
    <definedName name="VOLUMES1" localSheetId="1">#REF!</definedName>
    <definedName name="VOLUMES1">#REF!</definedName>
    <definedName name="YEAR" localSheetId="1">#REF!</definedName>
    <definedName name="YEAR">#REF!</definedName>
    <definedName name="YEARS" localSheetId="1">#REF!</definedName>
    <definedName name="YEARS">#REF!</definedName>
  </definedNames>
  <calcPr calcId="145621" calcMode="manual"/>
</workbook>
</file>

<file path=xl/calcChain.xml><?xml version="1.0" encoding="utf-8"?>
<calcChain xmlns="http://schemas.openxmlformats.org/spreadsheetml/2006/main">
  <c r="C13" i="4" l="1"/>
  <c r="E13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I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B42" i="4"/>
  <c r="C42" i="4"/>
  <c r="D42" i="4"/>
  <c r="E42" i="4"/>
  <c r="F42" i="4"/>
  <c r="G42" i="4"/>
  <c r="H42" i="4"/>
  <c r="I42" i="4"/>
  <c r="J42" i="4"/>
  <c r="K42" i="4"/>
  <c r="B43" i="4"/>
  <c r="C43" i="4"/>
  <c r="D43" i="4"/>
  <c r="E43" i="4"/>
  <c r="F43" i="4"/>
  <c r="G43" i="4"/>
  <c r="H43" i="4"/>
  <c r="I43" i="4"/>
  <c r="J43" i="4"/>
  <c r="K43" i="4"/>
  <c r="B44" i="4"/>
  <c r="C44" i="4"/>
  <c r="D44" i="4"/>
  <c r="E44" i="4"/>
  <c r="F44" i="4"/>
  <c r="G44" i="4"/>
  <c r="H44" i="4"/>
  <c r="I44" i="4"/>
  <c r="J44" i="4"/>
  <c r="K44" i="4"/>
  <c r="B45" i="4"/>
  <c r="C45" i="4"/>
  <c r="D45" i="4"/>
  <c r="E45" i="4"/>
  <c r="F45" i="4"/>
  <c r="G45" i="4"/>
  <c r="H45" i="4"/>
  <c r="I45" i="4"/>
  <c r="J45" i="4"/>
  <c r="K45" i="4"/>
  <c r="B46" i="4"/>
  <c r="C46" i="4"/>
  <c r="D46" i="4"/>
  <c r="E46" i="4"/>
  <c r="F46" i="4"/>
  <c r="G46" i="4"/>
  <c r="H46" i="4"/>
  <c r="I46" i="4"/>
  <c r="J46" i="4"/>
  <c r="K46" i="4"/>
  <c r="B47" i="4"/>
  <c r="C47" i="4"/>
  <c r="D47" i="4"/>
  <c r="E47" i="4"/>
  <c r="F47" i="4"/>
  <c r="G47" i="4"/>
  <c r="H47" i="4"/>
  <c r="I47" i="4"/>
  <c r="J47" i="4"/>
  <c r="K47" i="4"/>
  <c r="B48" i="4"/>
  <c r="C48" i="4"/>
  <c r="D48" i="4"/>
  <c r="E48" i="4"/>
  <c r="F48" i="4"/>
  <c r="G48" i="4"/>
  <c r="H48" i="4"/>
  <c r="I48" i="4"/>
  <c r="J48" i="4"/>
  <c r="K48" i="4"/>
  <c r="B49" i="4"/>
  <c r="C49" i="4"/>
  <c r="D49" i="4"/>
  <c r="E49" i="4"/>
  <c r="F49" i="4"/>
  <c r="G49" i="4"/>
  <c r="H49" i="4"/>
  <c r="I49" i="4"/>
  <c r="J49" i="4"/>
  <c r="K49" i="4"/>
  <c r="B50" i="4"/>
  <c r="C50" i="4"/>
  <c r="D50" i="4"/>
  <c r="E50" i="4"/>
  <c r="F50" i="4"/>
  <c r="G50" i="4"/>
  <c r="H50" i="4"/>
  <c r="I50" i="4"/>
  <c r="J50" i="4"/>
  <c r="K50" i="4"/>
  <c r="B51" i="4"/>
  <c r="C51" i="4"/>
  <c r="D51" i="4"/>
  <c r="E51" i="4"/>
  <c r="F51" i="4"/>
  <c r="G51" i="4"/>
  <c r="H51" i="4"/>
  <c r="I51" i="4"/>
  <c r="J51" i="4"/>
  <c r="K51" i="4"/>
  <c r="B52" i="4"/>
  <c r="C52" i="4"/>
  <c r="D52" i="4"/>
  <c r="E52" i="4"/>
  <c r="F52" i="4"/>
  <c r="G52" i="4"/>
  <c r="H52" i="4"/>
  <c r="I52" i="4"/>
  <c r="J52" i="4"/>
  <c r="K52" i="4"/>
  <c r="B53" i="4"/>
  <c r="C53" i="4"/>
  <c r="D53" i="4"/>
  <c r="E53" i="4"/>
  <c r="F53" i="4"/>
  <c r="G53" i="4"/>
  <c r="H53" i="4"/>
  <c r="I53" i="4"/>
  <c r="J53" i="4"/>
  <c r="K53" i="4"/>
  <c r="B54" i="4"/>
  <c r="C54" i="4"/>
  <c r="D54" i="4"/>
  <c r="E54" i="4"/>
  <c r="F54" i="4"/>
  <c r="G54" i="4"/>
  <c r="H54" i="4"/>
  <c r="I54" i="4"/>
  <c r="J54" i="4"/>
  <c r="K54" i="4"/>
  <c r="B55" i="4"/>
  <c r="C55" i="4"/>
  <c r="D55" i="4"/>
  <c r="E55" i="4"/>
  <c r="F55" i="4"/>
  <c r="G55" i="4"/>
  <c r="H55" i="4"/>
  <c r="I55" i="4"/>
  <c r="J55" i="4"/>
  <c r="K55" i="4"/>
  <c r="B56" i="4"/>
  <c r="C56" i="4"/>
  <c r="D56" i="4"/>
  <c r="E56" i="4"/>
  <c r="F56" i="4"/>
  <c r="G56" i="4"/>
  <c r="H56" i="4"/>
  <c r="I56" i="4"/>
  <c r="J56" i="4"/>
  <c r="K56" i="4"/>
  <c r="B57" i="4"/>
  <c r="C57" i="4"/>
  <c r="D57" i="4"/>
  <c r="E57" i="4"/>
  <c r="F57" i="4"/>
  <c r="G57" i="4"/>
  <c r="H57" i="4"/>
  <c r="I57" i="4"/>
  <c r="J57" i="4"/>
  <c r="K57" i="4"/>
  <c r="B58" i="4"/>
  <c r="C58" i="4"/>
  <c r="D58" i="4"/>
  <c r="E58" i="4"/>
  <c r="F58" i="4"/>
  <c r="G58" i="4"/>
  <c r="H58" i="4"/>
  <c r="I58" i="4"/>
  <c r="J58" i="4"/>
  <c r="K58" i="4"/>
  <c r="B59" i="4"/>
  <c r="C59" i="4"/>
  <c r="D59" i="4"/>
  <c r="E59" i="4"/>
  <c r="F59" i="4"/>
  <c r="G59" i="4"/>
  <c r="H59" i="4"/>
  <c r="I59" i="4"/>
  <c r="J59" i="4"/>
  <c r="K59" i="4"/>
  <c r="B60" i="4"/>
  <c r="C60" i="4"/>
  <c r="D60" i="4"/>
  <c r="E60" i="4"/>
  <c r="F60" i="4"/>
  <c r="G60" i="4"/>
  <c r="H60" i="4"/>
  <c r="I60" i="4"/>
  <c r="J60" i="4"/>
  <c r="K60" i="4"/>
  <c r="B61" i="4"/>
  <c r="C61" i="4"/>
  <c r="D61" i="4"/>
  <c r="E61" i="4"/>
  <c r="F61" i="4"/>
  <c r="G61" i="4"/>
  <c r="H61" i="4"/>
  <c r="I61" i="4"/>
  <c r="J61" i="4"/>
  <c r="K61" i="4"/>
  <c r="B62" i="4"/>
  <c r="C62" i="4"/>
  <c r="D62" i="4"/>
  <c r="E62" i="4"/>
  <c r="F62" i="4"/>
  <c r="G62" i="4"/>
  <c r="H62" i="4"/>
  <c r="I62" i="4"/>
  <c r="J62" i="4"/>
  <c r="K62" i="4"/>
  <c r="B63" i="4"/>
  <c r="C63" i="4"/>
  <c r="D63" i="4"/>
  <c r="E63" i="4"/>
  <c r="F63" i="4"/>
  <c r="G63" i="4"/>
  <c r="H63" i="4"/>
  <c r="I63" i="4"/>
  <c r="J63" i="4"/>
  <c r="K63" i="4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6" i="4"/>
  <c r="C76" i="4"/>
  <c r="D76" i="4"/>
  <c r="E76" i="4"/>
  <c r="F76" i="4"/>
  <c r="G76" i="4"/>
  <c r="H76" i="4"/>
  <c r="I76" i="4"/>
  <c r="J76" i="4"/>
  <c r="K76" i="4"/>
  <c r="B77" i="4"/>
  <c r="C77" i="4"/>
  <c r="D77" i="4"/>
  <c r="E77" i="4"/>
  <c r="F77" i="4"/>
  <c r="G77" i="4"/>
  <c r="H77" i="4"/>
  <c r="I77" i="4"/>
  <c r="J77" i="4"/>
  <c r="K77" i="4"/>
  <c r="B78" i="4"/>
  <c r="C78" i="4"/>
  <c r="D78" i="4"/>
  <c r="E78" i="4"/>
  <c r="F78" i="4"/>
  <c r="G78" i="4"/>
  <c r="H78" i="4"/>
  <c r="I78" i="4"/>
  <c r="J78" i="4"/>
  <c r="K78" i="4"/>
  <c r="B79" i="4"/>
  <c r="C79" i="4"/>
  <c r="D79" i="4"/>
  <c r="E79" i="4"/>
  <c r="F79" i="4"/>
  <c r="G79" i="4"/>
  <c r="H79" i="4"/>
  <c r="I79" i="4"/>
  <c r="J79" i="4"/>
  <c r="K79" i="4"/>
  <c r="B80" i="4"/>
  <c r="C80" i="4"/>
  <c r="D80" i="4"/>
  <c r="E80" i="4"/>
  <c r="F80" i="4"/>
  <c r="G80" i="4"/>
  <c r="H80" i="4"/>
  <c r="I80" i="4"/>
  <c r="J80" i="4"/>
  <c r="K80" i="4"/>
  <c r="B81" i="4"/>
  <c r="C81" i="4"/>
  <c r="D81" i="4"/>
  <c r="E81" i="4"/>
  <c r="F81" i="4"/>
  <c r="G81" i="4"/>
  <c r="H81" i="4"/>
  <c r="I81" i="4"/>
  <c r="J81" i="4"/>
  <c r="K81" i="4"/>
  <c r="B82" i="4"/>
  <c r="C82" i="4"/>
  <c r="D82" i="4"/>
  <c r="E82" i="4"/>
  <c r="F82" i="4"/>
  <c r="G82" i="4"/>
  <c r="H82" i="4"/>
  <c r="I82" i="4"/>
  <c r="J82" i="4"/>
  <c r="K82" i="4"/>
  <c r="B83" i="4"/>
  <c r="C83" i="4"/>
  <c r="D83" i="4"/>
  <c r="E83" i="4"/>
  <c r="F83" i="4"/>
  <c r="G83" i="4"/>
  <c r="H83" i="4"/>
  <c r="I83" i="4"/>
  <c r="J83" i="4"/>
  <c r="K83" i="4"/>
  <c r="B84" i="4"/>
  <c r="C84" i="4"/>
  <c r="D84" i="4"/>
  <c r="E84" i="4"/>
  <c r="F84" i="4"/>
  <c r="G84" i="4"/>
  <c r="H84" i="4"/>
  <c r="I84" i="4"/>
  <c r="J84" i="4"/>
  <c r="K84" i="4"/>
  <c r="B85" i="4"/>
  <c r="C85" i="4"/>
  <c r="D85" i="4"/>
  <c r="E85" i="4"/>
  <c r="F85" i="4"/>
  <c r="G85" i="4"/>
  <c r="H85" i="4"/>
  <c r="I85" i="4"/>
  <c r="J85" i="4"/>
  <c r="K85" i="4"/>
  <c r="B86" i="4"/>
  <c r="C86" i="4"/>
  <c r="D86" i="4"/>
  <c r="E86" i="4"/>
  <c r="F86" i="4"/>
  <c r="G86" i="4"/>
  <c r="H86" i="4"/>
  <c r="I86" i="4"/>
  <c r="J86" i="4"/>
  <c r="K86" i="4"/>
  <c r="B87" i="4"/>
  <c r="C87" i="4"/>
  <c r="D87" i="4"/>
  <c r="E87" i="4"/>
  <c r="F87" i="4"/>
  <c r="G87" i="4"/>
  <c r="H87" i="4"/>
  <c r="I87" i="4"/>
  <c r="J87" i="4"/>
  <c r="K87" i="4"/>
  <c r="B88" i="4"/>
  <c r="C88" i="4"/>
  <c r="D88" i="4"/>
  <c r="E88" i="4"/>
  <c r="F88" i="4"/>
  <c r="G88" i="4"/>
  <c r="H88" i="4"/>
  <c r="I88" i="4"/>
  <c r="J88" i="4"/>
  <c r="K88" i="4"/>
  <c r="B89" i="4"/>
  <c r="C89" i="4"/>
  <c r="D89" i="4"/>
  <c r="E89" i="4"/>
  <c r="F89" i="4"/>
  <c r="G89" i="4"/>
  <c r="H89" i="4"/>
  <c r="I89" i="4"/>
  <c r="J89" i="4"/>
  <c r="K89" i="4"/>
  <c r="B90" i="4"/>
  <c r="C90" i="4"/>
  <c r="D90" i="4"/>
  <c r="E90" i="4"/>
  <c r="F90" i="4"/>
  <c r="G90" i="4"/>
  <c r="H90" i="4"/>
  <c r="I90" i="4"/>
  <c r="J90" i="4"/>
  <c r="K90" i="4"/>
  <c r="B91" i="4"/>
  <c r="C91" i="4"/>
  <c r="D91" i="4"/>
  <c r="E91" i="4"/>
  <c r="F91" i="4"/>
  <c r="G91" i="4"/>
  <c r="H91" i="4"/>
  <c r="I91" i="4"/>
  <c r="J91" i="4"/>
  <c r="K91" i="4"/>
  <c r="B92" i="4"/>
  <c r="C92" i="4"/>
  <c r="D92" i="4"/>
  <c r="E92" i="4"/>
  <c r="F92" i="4"/>
  <c r="G92" i="4"/>
  <c r="H92" i="4"/>
  <c r="I92" i="4"/>
  <c r="J92" i="4"/>
  <c r="K92" i="4"/>
  <c r="B93" i="4"/>
  <c r="C93" i="4"/>
  <c r="D93" i="4"/>
  <c r="E93" i="4"/>
  <c r="F93" i="4"/>
  <c r="G93" i="4"/>
  <c r="H93" i="4"/>
  <c r="I93" i="4"/>
  <c r="J93" i="4"/>
  <c r="K93" i="4"/>
  <c r="B94" i="4"/>
  <c r="C94" i="4"/>
  <c r="D94" i="4"/>
  <c r="E94" i="4"/>
  <c r="F94" i="4"/>
  <c r="G94" i="4"/>
  <c r="H94" i="4"/>
  <c r="I94" i="4"/>
  <c r="J94" i="4"/>
  <c r="K94" i="4"/>
  <c r="B95" i="4"/>
  <c r="C95" i="4"/>
  <c r="D95" i="4"/>
  <c r="E95" i="4"/>
  <c r="F95" i="4"/>
  <c r="G95" i="4"/>
  <c r="H95" i="4"/>
  <c r="I95" i="4"/>
  <c r="J95" i="4"/>
  <c r="K95" i="4"/>
  <c r="B96" i="4"/>
  <c r="C96" i="4"/>
  <c r="D96" i="4"/>
  <c r="E96" i="4"/>
  <c r="F96" i="4"/>
  <c r="G96" i="4"/>
  <c r="H96" i="4"/>
  <c r="I96" i="4"/>
  <c r="J96" i="4"/>
  <c r="K96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B100" i="4"/>
  <c r="C100" i="4"/>
  <c r="D100" i="4"/>
  <c r="E100" i="4"/>
  <c r="F100" i="4"/>
  <c r="G100" i="4"/>
  <c r="H100" i="4"/>
  <c r="I100" i="4"/>
  <c r="J100" i="4"/>
  <c r="K100" i="4"/>
  <c r="B101" i="4"/>
  <c r="C101" i="4"/>
  <c r="D101" i="4"/>
  <c r="E101" i="4"/>
  <c r="F101" i="4"/>
  <c r="G101" i="4"/>
  <c r="H101" i="4"/>
  <c r="I101" i="4"/>
  <c r="J101" i="4"/>
  <c r="K101" i="4"/>
  <c r="B102" i="4"/>
  <c r="C102" i="4"/>
  <c r="D102" i="4"/>
  <c r="E102" i="4"/>
  <c r="F102" i="4"/>
  <c r="G102" i="4"/>
  <c r="H102" i="4"/>
  <c r="I102" i="4"/>
  <c r="J102" i="4"/>
  <c r="K102" i="4"/>
  <c r="B103" i="4"/>
  <c r="C103" i="4"/>
  <c r="D103" i="4"/>
  <c r="E103" i="4"/>
  <c r="F103" i="4"/>
  <c r="G103" i="4"/>
  <c r="H103" i="4"/>
  <c r="I103" i="4"/>
  <c r="J103" i="4"/>
  <c r="K103" i="4"/>
  <c r="B104" i="4"/>
  <c r="C104" i="4"/>
  <c r="D104" i="4"/>
  <c r="E104" i="4"/>
  <c r="F104" i="4"/>
  <c r="G104" i="4"/>
  <c r="H104" i="4"/>
  <c r="I104" i="4"/>
  <c r="J104" i="4"/>
  <c r="K104" i="4"/>
  <c r="B105" i="4"/>
  <c r="C105" i="4"/>
  <c r="D105" i="4"/>
  <c r="E105" i="4"/>
  <c r="F105" i="4"/>
  <c r="G105" i="4"/>
  <c r="H105" i="4"/>
  <c r="I105" i="4"/>
  <c r="J105" i="4"/>
  <c r="K105" i="4"/>
  <c r="B106" i="4"/>
  <c r="C106" i="4"/>
  <c r="D106" i="4"/>
  <c r="E106" i="4"/>
  <c r="F106" i="4"/>
  <c r="G106" i="4"/>
  <c r="H106" i="4"/>
  <c r="I106" i="4"/>
  <c r="J106" i="4"/>
  <c r="K106" i="4"/>
  <c r="B107" i="4"/>
  <c r="C107" i="4"/>
  <c r="D107" i="4"/>
  <c r="E107" i="4"/>
  <c r="F107" i="4"/>
  <c r="G107" i="4"/>
  <c r="H107" i="4"/>
  <c r="I107" i="4"/>
  <c r="J107" i="4"/>
  <c r="K107" i="4"/>
  <c r="B108" i="4"/>
  <c r="C108" i="4"/>
  <c r="D108" i="4"/>
  <c r="E108" i="4"/>
  <c r="F108" i="4"/>
  <c r="G108" i="4"/>
  <c r="H108" i="4"/>
  <c r="I108" i="4"/>
  <c r="J108" i="4"/>
  <c r="K108" i="4"/>
  <c r="B109" i="4"/>
  <c r="C109" i="4"/>
  <c r="D109" i="4"/>
  <c r="E109" i="4"/>
  <c r="F109" i="4"/>
  <c r="G109" i="4"/>
  <c r="H109" i="4"/>
  <c r="I109" i="4"/>
  <c r="J109" i="4"/>
  <c r="K109" i="4"/>
  <c r="B110" i="4"/>
  <c r="C110" i="4"/>
  <c r="D110" i="4"/>
  <c r="E110" i="4"/>
  <c r="F110" i="4"/>
  <c r="G110" i="4"/>
  <c r="H110" i="4"/>
  <c r="I110" i="4"/>
  <c r="J110" i="4"/>
  <c r="K110" i="4"/>
  <c r="B111" i="4"/>
  <c r="C111" i="4"/>
  <c r="D111" i="4"/>
  <c r="E111" i="4"/>
  <c r="F111" i="4"/>
  <c r="G111" i="4"/>
  <c r="H111" i="4"/>
  <c r="I111" i="4"/>
  <c r="J111" i="4"/>
  <c r="K111" i="4"/>
  <c r="B112" i="4"/>
  <c r="C112" i="4"/>
  <c r="D112" i="4"/>
  <c r="E112" i="4"/>
  <c r="F112" i="4"/>
  <c r="G112" i="4"/>
  <c r="H112" i="4"/>
  <c r="I112" i="4"/>
  <c r="J112" i="4"/>
  <c r="K112" i="4"/>
  <c r="B113" i="4"/>
  <c r="C113" i="4"/>
  <c r="D113" i="4"/>
  <c r="E113" i="4"/>
  <c r="F113" i="4"/>
  <c r="G113" i="4"/>
  <c r="H113" i="4"/>
  <c r="I113" i="4"/>
  <c r="J113" i="4"/>
  <c r="K113" i="4"/>
  <c r="B114" i="4"/>
  <c r="C114" i="4"/>
  <c r="D114" i="4"/>
  <c r="E114" i="4"/>
  <c r="F114" i="4"/>
  <c r="G114" i="4"/>
  <c r="H114" i="4"/>
  <c r="I114" i="4"/>
  <c r="J114" i="4"/>
  <c r="K114" i="4"/>
  <c r="B115" i="4"/>
  <c r="C115" i="4"/>
  <c r="D115" i="4"/>
  <c r="E115" i="4"/>
  <c r="F115" i="4"/>
  <c r="G115" i="4"/>
  <c r="H115" i="4"/>
  <c r="I115" i="4"/>
  <c r="J115" i="4"/>
  <c r="K115" i="4"/>
  <c r="B116" i="4"/>
  <c r="C116" i="4"/>
  <c r="D116" i="4"/>
  <c r="E116" i="4"/>
  <c r="F116" i="4"/>
  <c r="G116" i="4"/>
  <c r="H116" i="4"/>
  <c r="I116" i="4"/>
  <c r="J116" i="4"/>
  <c r="K116" i="4"/>
  <c r="B117" i="4"/>
  <c r="C117" i="4"/>
  <c r="D117" i="4"/>
  <c r="E117" i="4"/>
  <c r="F117" i="4"/>
  <c r="G117" i="4"/>
  <c r="H117" i="4"/>
  <c r="I117" i="4"/>
  <c r="J117" i="4"/>
  <c r="K117" i="4"/>
  <c r="B118" i="4"/>
  <c r="C118" i="4"/>
  <c r="D118" i="4"/>
  <c r="E118" i="4"/>
  <c r="F118" i="4"/>
  <c r="G118" i="4"/>
  <c r="H118" i="4"/>
  <c r="I118" i="4"/>
  <c r="J118" i="4"/>
  <c r="K118" i="4"/>
  <c r="B119" i="4"/>
  <c r="C119" i="4"/>
  <c r="D119" i="4"/>
  <c r="E119" i="4"/>
  <c r="F119" i="4"/>
  <c r="G119" i="4"/>
  <c r="H119" i="4"/>
  <c r="I119" i="4"/>
  <c r="J119" i="4"/>
  <c r="K119" i="4"/>
  <c r="B120" i="4"/>
  <c r="C120" i="4"/>
  <c r="D120" i="4"/>
  <c r="E120" i="4"/>
  <c r="F120" i="4"/>
  <c r="G120" i="4"/>
  <c r="H120" i="4"/>
  <c r="I120" i="4"/>
  <c r="J120" i="4"/>
  <c r="K120" i="4"/>
  <c r="B121" i="4"/>
  <c r="C121" i="4"/>
  <c r="D121" i="4"/>
  <c r="E121" i="4"/>
  <c r="F121" i="4"/>
  <c r="G121" i="4"/>
  <c r="H121" i="4"/>
  <c r="I121" i="4"/>
  <c r="J121" i="4"/>
  <c r="K121" i="4"/>
  <c r="B122" i="4"/>
  <c r="C122" i="4"/>
  <c r="D122" i="4"/>
  <c r="E122" i="4"/>
  <c r="F122" i="4"/>
  <c r="G122" i="4"/>
  <c r="H122" i="4"/>
  <c r="I122" i="4"/>
  <c r="J122" i="4"/>
  <c r="K122" i="4"/>
  <c r="B123" i="4"/>
  <c r="C123" i="4"/>
  <c r="D123" i="4"/>
  <c r="E123" i="4"/>
  <c r="F123" i="4"/>
  <c r="G123" i="4"/>
  <c r="H123" i="4"/>
  <c r="I123" i="4"/>
  <c r="J123" i="4"/>
  <c r="K123" i="4"/>
  <c r="B124" i="4"/>
  <c r="C124" i="4"/>
  <c r="D124" i="4"/>
  <c r="E124" i="4"/>
  <c r="F124" i="4"/>
  <c r="G124" i="4"/>
  <c r="H124" i="4"/>
  <c r="I124" i="4"/>
  <c r="J124" i="4"/>
  <c r="K124" i="4"/>
  <c r="B125" i="4"/>
  <c r="C125" i="4"/>
  <c r="D125" i="4"/>
  <c r="E125" i="4"/>
  <c r="F125" i="4"/>
  <c r="G125" i="4"/>
  <c r="H125" i="4"/>
  <c r="I125" i="4"/>
  <c r="J125" i="4"/>
  <c r="K125" i="4"/>
  <c r="B126" i="4"/>
  <c r="C126" i="4"/>
  <c r="D126" i="4"/>
  <c r="E126" i="4"/>
  <c r="F126" i="4"/>
  <c r="G126" i="4"/>
  <c r="H126" i="4"/>
  <c r="I126" i="4"/>
  <c r="J126" i="4"/>
  <c r="K126" i="4"/>
  <c r="B127" i="4"/>
  <c r="C127" i="4"/>
  <c r="D127" i="4"/>
  <c r="E127" i="4"/>
  <c r="F127" i="4"/>
  <c r="G127" i="4"/>
  <c r="H127" i="4"/>
  <c r="I127" i="4"/>
  <c r="J127" i="4"/>
  <c r="K127" i="4"/>
  <c r="B128" i="4"/>
  <c r="C128" i="4"/>
  <c r="D128" i="4"/>
  <c r="E128" i="4"/>
  <c r="F128" i="4"/>
  <c r="G128" i="4"/>
  <c r="H128" i="4"/>
  <c r="I128" i="4"/>
  <c r="J128" i="4"/>
  <c r="K128" i="4"/>
  <c r="B129" i="4"/>
  <c r="C129" i="4"/>
  <c r="D129" i="4"/>
  <c r="E129" i="4"/>
  <c r="F129" i="4"/>
  <c r="G129" i="4"/>
  <c r="H129" i="4"/>
  <c r="I129" i="4"/>
  <c r="J129" i="4"/>
  <c r="K129" i="4"/>
  <c r="B130" i="4"/>
  <c r="C130" i="4"/>
  <c r="D130" i="4"/>
  <c r="E130" i="4"/>
  <c r="F130" i="4"/>
  <c r="G130" i="4"/>
  <c r="H130" i="4"/>
  <c r="I130" i="4"/>
  <c r="J130" i="4"/>
  <c r="K130" i="4"/>
  <c r="B131" i="4"/>
  <c r="C131" i="4"/>
  <c r="D131" i="4"/>
  <c r="E131" i="4"/>
  <c r="F131" i="4"/>
  <c r="G131" i="4"/>
  <c r="H131" i="4"/>
  <c r="I131" i="4"/>
  <c r="J131" i="4"/>
  <c r="K131" i="4"/>
  <c r="B132" i="4"/>
  <c r="C132" i="4"/>
  <c r="D132" i="4"/>
  <c r="E132" i="4"/>
  <c r="F132" i="4"/>
  <c r="G132" i="4"/>
  <c r="H132" i="4"/>
  <c r="I132" i="4"/>
  <c r="J132" i="4"/>
  <c r="K132" i="4"/>
  <c r="B133" i="4"/>
  <c r="C133" i="4"/>
  <c r="D133" i="4"/>
  <c r="E133" i="4"/>
  <c r="F133" i="4"/>
  <c r="G133" i="4"/>
  <c r="H133" i="4"/>
  <c r="I133" i="4"/>
  <c r="J133" i="4"/>
  <c r="K133" i="4"/>
  <c r="B134" i="4"/>
  <c r="C134" i="4"/>
  <c r="D134" i="4"/>
  <c r="E134" i="4"/>
  <c r="F134" i="4"/>
  <c r="G134" i="4"/>
  <c r="H134" i="4"/>
  <c r="I134" i="4"/>
  <c r="J134" i="4"/>
  <c r="K134" i="4"/>
  <c r="B135" i="4"/>
  <c r="C135" i="4"/>
  <c r="D135" i="4"/>
  <c r="E135" i="4"/>
  <c r="F135" i="4"/>
  <c r="G135" i="4"/>
  <c r="H135" i="4"/>
  <c r="I135" i="4"/>
  <c r="J135" i="4"/>
  <c r="K135" i="4"/>
  <c r="B136" i="4"/>
  <c r="C136" i="4"/>
  <c r="D136" i="4"/>
  <c r="E136" i="4"/>
  <c r="F136" i="4"/>
  <c r="G136" i="4"/>
  <c r="H136" i="4"/>
  <c r="I136" i="4"/>
  <c r="J136" i="4"/>
  <c r="K136" i="4"/>
  <c r="B137" i="4"/>
  <c r="C137" i="4"/>
  <c r="D137" i="4"/>
  <c r="E137" i="4"/>
  <c r="F137" i="4"/>
  <c r="G137" i="4"/>
  <c r="H137" i="4"/>
  <c r="I137" i="4"/>
  <c r="J137" i="4"/>
  <c r="K137" i="4"/>
  <c r="B138" i="4"/>
  <c r="C138" i="4"/>
  <c r="D138" i="4"/>
  <c r="E138" i="4"/>
  <c r="F138" i="4"/>
  <c r="G138" i="4"/>
  <c r="H138" i="4"/>
  <c r="I138" i="4"/>
  <c r="J138" i="4"/>
  <c r="K138" i="4"/>
  <c r="B139" i="4"/>
  <c r="C139" i="4"/>
  <c r="D139" i="4"/>
  <c r="E139" i="4"/>
  <c r="F139" i="4"/>
  <c r="G139" i="4"/>
  <c r="H139" i="4"/>
  <c r="I139" i="4"/>
  <c r="J139" i="4"/>
  <c r="K139" i="4"/>
  <c r="B140" i="4"/>
  <c r="C140" i="4"/>
  <c r="D140" i="4"/>
  <c r="E140" i="4"/>
  <c r="F140" i="4"/>
  <c r="G140" i="4"/>
  <c r="H140" i="4"/>
  <c r="I140" i="4"/>
  <c r="J140" i="4"/>
  <c r="K140" i="4"/>
  <c r="B141" i="4"/>
  <c r="C141" i="4"/>
  <c r="D141" i="4"/>
  <c r="E141" i="4"/>
  <c r="F141" i="4"/>
  <c r="G141" i="4"/>
  <c r="H141" i="4"/>
  <c r="I141" i="4"/>
  <c r="J141" i="4"/>
  <c r="K141" i="4"/>
  <c r="B142" i="4"/>
  <c r="C142" i="4"/>
  <c r="D142" i="4"/>
  <c r="E142" i="4"/>
  <c r="F142" i="4"/>
  <c r="G142" i="4"/>
  <c r="H142" i="4"/>
  <c r="I142" i="4"/>
  <c r="J142" i="4"/>
  <c r="K142" i="4"/>
  <c r="B143" i="4"/>
  <c r="C143" i="4"/>
  <c r="D143" i="4"/>
  <c r="E143" i="4"/>
  <c r="F143" i="4"/>
  <c r="G143" i="4"/>
  <c r="H143" i="4"/>
  <c r="I143" i="4"/>
  <c r="J143" i="4"/>
  <c r="K143" i="4"/>
  <c r="B144" i="4"/>
  <c r="C144" i="4"/>
  <c r="D144" i="4"/>
  <c r="E144" i="4"/>
  <c r="F144" i="4"/>
  <c r="G144" i="4"/>
  <c r="H144" i="4"/>
  <c r="I144" i="4"/>
  <c r="J144" i="4"/>
  <c r="K144" i="4"/>
  <c r="B145" i="4"/>
  <c r="C145" i="4"/>
  <c r="D145" i="4"/>
  <c r="E145" i="4"/>
  <c r="F145" i="4"/>
  <c r="G145" i="4"/>
  <c r="H145" i="4"/>
  <c r="I145" i="4"/>
  <c r="J145" i="4"/>
  <c r="K145" i="4"/>
  <c r="B146" i="4"/>
  <c r="C146" i="4"/>
  <c r="D146" i="4"/>
  <c r="E146" i="4"/>
  <c r="F146" i="4"/>
  <c r="G146" i="4"/>
  <c r="H146" i="4"/>
  <c r="I146" i="4"/>
  <c r="J146" i="4"/>
  <c r="K146" i="4"/>
  <c r="B147" i="4"/>
  <c r="C147" i="4"/>
  <c r="D147" i="4"/>
  <c r="E147" i="4"/>
  <c r="F147" i="4"/>
  <c r="G147" i="4"/>
  <c r="H147" i="4"/>
  <c r="I147" i="4"/>
  <c r="J147" i="4"/>
  <c r="K147" i="4"/>
  <c r="B148" i="4"/>
  <c r="C148" i="4"/>
  <c r="D148" i="4"/>
  <c r="E148" i="4"/>
  <c r="F148" i="4"/>
  <c r="G148" i="4"/>
  <c r="H148" i="4"/>
  <c r="I148" i="4"/>
  <c r="J148" i="4"/>
  <c r="K148" i="4"/>
  <c r="B149" i="4"/>
  <c r="C149" i="4"/>
  <c r="D149" i="4"/>
  <c r="E149" i="4"/>
  <c r="F149" i="4"/>
  <c r="G149" i="4"/>
  <c r="H149" i="4"/>
  <c r="I149" i="4"/>
  <c r="J149" i="4"/>
  <c r="K149" i="4"/>
  <c r="B150" i="4"/>
  <c r="C150" i="4"/>
  <c r="D150" i="4"/>
  <c r="E150" i="4"/>
  <c r="F150" i="4"/>
  <c r="G150" i="4"/>
  <c r="H150" i="4"/>
  <c r="I150" i="4"/>
  <c r="J150" i="4"/>
  <c r="K150" i="4"/>
  <c r="B151" i="4"/>
  <c r="C151" i="4"/>
  <c r="D151" i="4"/>
  <c r="E151" i="4"/>
  <c r="F151" i="4"/>
  <c r="G151" i="4"/>
  <c r="H151" i="4"/>
  <c r="I151" i="4"/>
  <c r="J151" i="4"/>
  <c r="K151" i="4"/>
  <c r="B152" i="4"/>
  <c r="C152" i="4"/>
  <c r="D152" i="4"/>
  <c r="E152" i="4"/>
  <c r="F152" i="4"/>
  <c r="G152" i="4"/>
  <c r="H152" i="4"/>
  <c r="I152" i="4"/>
  <c r="J152" i="4"/>
  <c r="K152" i="4"/>
  <c r="B153" i="4"/>
  <c r="C153" i="4"/>
  <c r="D153" i="4"/>
  <c r="E153" i="4"/>
  <c r="F153" i="4"/>
  <c r="G153" i="4"/>
  <c r="H153" i="4"/>
  <c r="I153" i="4"/>
  <c r="J153" i="4"/>
  <c r="K153" i="4"/>
  <c r="B154" i="4"/>
  <c r="C154" i="4"/>
  <c r="D154" i="4"/>
  <c r="E154" i="4"/>
  <c r="F154" i="4"/>
  <c r="G154" i="4"/>
  <c r="H154" i="4"/>
  <c r="I154" i="4"/>
  <c r="J154" i="4"/>
  <c r="K154" i="4"/>
  <c r="B155" i="4"/>
  <c r="C155" i="4"/>
  <c r="D155" i="4"/>
  <c r="E155" i="4"/>
  <c r="F155" i="4"/>
  <c r="G155" i="4"/>
  <c r="H155" i="4"/>
  <c r="I155" i="4"/>
  <c r="J155" i="4"/>
  <c r="K155" i="4"/>
  <c r="B156" i="4"/>
  <c r="C156" i="4"/>
  <c r="D156" i="4"/>
  <c r="E156" i="4"/>
  <c r="F156" i="4"/>
  <c r="G156" i="4"/>
  <c r="H156" i="4"/>
  <c r="I156" i="4"/>
  <c r="J156" i="4"/>
  <c r="K156" i="4"/>
  <c r="B157" i="4"/>
  <c r="C157" i="4"/>
  <c r="D157" i="4"/>
  <c r="E157" i="4"/>
  <c r="F157" i="4"/>
  <c r="G157" i="4"/>
  <c r="H157" i="4"/>
  <c r="I157" i="4"/>
  <c r="J157" i="4"/>
  <c r="K157" i="4"/>
  <c r="B158" i="4"/>
  <c r="C158" i="4"/>
  <c r="D158" i="4"/>
  <c r="E158" i="4"/>
  <c r="F158" i="4"/>
  <c r="G158" i="4"/>
  <c r="H158" i="4"/>
  <c r="I158" i="4"/>
  <c r="J158" i="4"/>
  <c r="K158" i="4"/>
  <c r="B159" i="4"/>
  <c r="C159" i="4"/>
  <c r="D159" i="4"/>
  <c r="E159" i="4"/>
  <c r="F159" i="4"/>
  <c r="G159" i="4"/>
  <c r="H159" i="4"/>
  <c r="I159" i="4"/>
  <c r="J159" i="4"/>
  <c r="K159" i="4"/>
  <c r="B160" i="4"/>
  <c r="C160" i="4"/>
  <c r="D160" i="4"/>
  <c r="E160" i="4"/>
  <c r="F160" i="4"/>
  <c r="G160" i="4"/>
  <c r="H160" i="4"/>
  <c r="I160" i="4"/>
  <c r="J160" i="4"/>
  <c r="K160" i="4"/>
  <c r="B161" i="4"/>
  <c r="C161" i="4"/>
  <c r="D161" i="4"/>
  <c r="E161" i="4"/>
  <c r="F161" i="4"/>
  <c r="G161" i="4"/>
  <c r="H161" i="4"/>
  <c r="I161" i="4"/>
  <c r="J161" i="4"/>
  <c r="K161" i="4"/>
  <c r="B162" i="4"/>
  <c r="C162" i="4"/>
  <c r="D162" i="4"/>
  <c r="E162" i="4"/>
  <c r="F162" i="4"/>
  <c r="G162" i="4"/>
  <c r="H162" i="4"/>
  <c r="I162" i="4"/>
  <c r="J162" i="4"/>
  <c r="K162" i="4"/>
  <c r="B163" i="4"/>
  <c r="C163" i="4"/>
  <c r="D163" i="4"/>
  <c r="E163" i="4"/>
  <c r="F163" i="4"/>
  <c r="G163" i="4"/>
  <c r="H163" i="4"/>
  <c r="I163" i="4"/>
  <c r="J163" i="4"/>
  <c r="K163" i="4"/>
  <c r="B164" i="4"/>
  <c r="C164" i="4"/>
  <c r="D164" i="4"/>
  <c r="E164" i="4"/>
  <c r="F164" i="4"/>
  <c r="G164" i="4"/>
  <c r="H164" i="4"/>
  <c r="I164" i="4"/>
  <c r="J164" i="4"/>
  <c r="K164" i="4"/>
  <c r="B165" i="4"/>
  <c r="C165" i="4"/>
  <c r="D165" i="4"/>
  <c r="E165" i="4"/>
  <c r="F165" i="4"/>
  <c r="G165" i="4"/>
  <c r="H165" i="4"/>
  <c r="I165" i="4"/>
  <c r="J165" i="4"/>
  <c r="K165" i="4"/>
  <c r="B166" i="4"/>
  <c r="C166" i="4"/>
  <c r="D166" i="4"/>
  <c r="E166" i="4"/>
  <c r="F166" i="4"/>
  <c r="G166" i="4"/>
  <c r="H166" i="4"/>
  <c r="I166" i="4"/>
  <c r="J166" i="4"/>
  <c r="K166" i="4"/>
  <c r="B167" i="4"/>
  <c r="C167" i="4"/>
  <c r="D167" i="4"/>
  <c r="E167" i="4"/>
  <c r="F167" i="4"/>
  <c r="G167" i="4"/>
  <c r="H167" i="4"/>
  <c r="I167" i="4"/>
  <c r="J167" i="4"/>
  <c r="K167" i="4"/>
  <c r="B168" i="4"/>
  <c r="C168" i="4"/>
  <c r="D168" i="4"/>
  <c r="E168" i="4"/>
  <c r="F168" i="4"/>
  <c r="G168" i="4"/>
  <c r="H168" i="4"/>
  <c r="I168" i="4"/>
  <c r="J168" i="4"/>
  <c r="K168" i="4"/>
  <c r="B169" i="4"/>
  <c r="C169" i="4"/>
  <c r="D169" i="4"/>
  <c r="E169" i="4"/>
  <c r="F169" i="4"/>
  <c r="G169" i="4"/>
  <c r="H169" i="4"/>
  <c r="I169" i="4"/>
  <c r="J169" i="4"/>
  <c r="K169" i="4"/>
  <c r="B170" i="4"/>
  <c r="C170" i="4"/>
  <c r="D170" i="4"/>
  <c r="E170" i="4"/>
  <c r="F170" i="4"/>
  <c r="G170" i="4"/>
  <c r="H170" i="4"/>
  <c r="I170" i="4"/>
  <c r="J170" i="4"/>
  <c r="K170" i="4"/>
  <c r="B171" i="4"/>
  <c r="C171" i="4"/>
  <c r="D171" i="4"/>
  <c r="E171" i="4"/>
  <c r="F171" i="4"/>
  <c r="G171" i="4"/>
  <c r="H171" i="4"/>
  <c r="I171" i="4"/>
  <c r="J171" i="4"/>
  <c r="K171" i="4"/>
  <c r="B172" i="4"/>
  <c r="C172" i="4"/>
  <c r="D172" i="4"/>
  <c r="E172" i="4"/>
  <c r="F172" i="4"/>
  <c r="G172" i="4"/>
  <c r="H172" i="4"/>
  <c r="I172" i="4"/>
  <c r="J172" i="4"/>
  <c r="K172" i="4"/>
  <c r="B173" i="4"/>
  <c r="C173" i="4"/>
  <c r="D173" i="4"/>
  <c r="E173" i="4"/>
  <c r="F173" i="4"/>
  <c r="G173" i="4"/>
  <c r="H173" i="4"/>
  <c r="I173" i="4"/>
  <c r="J173" i="4"/>
  <c r="K173" i="4"/>
  <c r="B174" i="4"/>
  <c r="C174" i="4"/>
  <c r="D174" i="4"/>
  <c r="E174" i="4"/>
  <c r="F174" i="4"/>
  <c r="G174" i="4"/>
  <c r="H174" i="4"/>
  <c r="I174" i="4"/>
  <c r="J174" i="4"/>
  <c r="K174" i="4"/>
  <c r="B175" i="4"/>
  <c r="C175" i="4"/>
  <c r="D175" i="4"/>
  <c r="E175" i="4"/>
  <c r="F175" i="4"/>
  <c r="G175" i="4"/>
  <c r="H175" i="4"/>
  <c r="I175" i="4"/>
  <c r="J175" i="4"/>
  <c r="K175" i="4"/>
  <c r="B176" i="4"/>
  <c r="C176" i="4"/>
  <c r="D176" i="4"/>
  <c r="E176" i="4"/>
  <c r="F176" i="4"/>
  <c r="G176" i="4"/>
  <c r="H176" i="4"/>
  <c r="I176" i="4"/>
  <c r="J176" i="4"/>
  <c r="K176" i="4"/>
  <c r="B177" i="4"/>
  <c r="C177" i="4"/>
  <c r="D177" i="4"/>
  <c r="E177" i="4"/>
  <c r="F177" i="4"/>
  <c r="G177" i="4"/>
  <c r="H177" i="4"/>
  <c r="I177" i="4"/>
  <c r="J177" i="4"/>
  <c r="K177" i="4"/>
  <c r="B178" i="4"/>
  <c r="C178" i="4"/>
  <c r="D178" i="4"/>
  <c r="E178" i="4"/>
  <c r="F178" i="4"/>
  <c r="G178" i="4"/>
  <c r="H178" i="4"/>
  <c r="I178" i="4"/>
  <c r="J178" i="4"/>
  <c r="K178" i="4"/>
  <c r="B179" i="4"/>
  <c r="C179" i="4"/>
  <c r="D179" i="4"/>
  <c r="E179" i="4"/>
  <c r="F179" i="4"/>
  <c r="G179" i="4"/>
  <c r="H179" i="4"/>
  <c r="I179" i="4"/>
  <c r="J179" i="4"/>
  <c r="K179" i="4"/>
  <c r="B180" i="4"/>
  <c r="C180" i="4"/>
  <c r="D180" i="4"/>
  <c r="E180" i="4"/>
  <c r="F180" i="4"/>
  <c r="G180" i="4"/>
  <c r="H180" i="4"/>
  <c r="I180" i="4"/>
  <c r="J180" i="4"/>
  <c r="K180" i="4"/>
  <c r="B181" i="4"/>
  <c r="C181" i="4"/>
  <c r="D181" i="4"/>
  <c r="E181" i="4"/>
  <c r="F181" i="4"/>
  <c r="G181" i="4"/>
  <c r="H181" i="4"/>
  <c r="I181" i="4"/>
  <c r="J181" i="4"/>
  <c r="K181" i="4"/>
  <c r="B182" i="4"/>
  <c r="C182" i="4"/>
  <c r="D182" i="4"/>
  <c r="E182" i="4"/>
  <c r="F182" i="4"/>
  <c r="G182" i="4"/>
  <c r="H182" i="4"/>
  <c r="I182" i="4"/>
  <c r="J182" i="4"/>
  <c r="K182" i="4"/>
  <c r="B183" i="4"/>
  <c r="C183" i="4"/>
  <c r="D183" i="4"/>
  <c r="E183" i="4"/>
  <c r="F183" i="4"/>
  <c r="G183" i="4"/>
  <c r="H183" i="4"/>
  <c r="I183" i="4"/>
  <c r="J183" i="4"/>
  <c r="K183" i="4"/>
  <c r="B184" i="4"/>
  <c r="C184" i="4"/>
  <c r="D184" i="4"/>
  <c r="E184" i="4"/>
  <c r="F184" i="4"/>
  <c r="G184" i="4"/>
  <c r="H184" i="4"/>
  <c r="I184" i="4"/>
  <c r="J184" i="4"/>
  <c r="K184" i="4"/>
  <c r="B185" i="4"/>
  <c r="C185" i="4"/>
  <c r="D185" i="4"/>
  <c r="E185" i="4"/>
  <c r="F185" i="4"/>
  <c r="G185" i="4"/>
  <c r="H185" i="4"/>
  <c r="I185" i="4"/>
  <c r="J185" i="4"/>
  <c r="K185" i="4"/>
  <c r="B186" i="4"/>
  <c r="C186" i="4"/>
  <c r="D186" i="4"/>
  <c r="E186" i="4"/>
  <c r="F186" i="4"/>
  <c r="G186" i="4"/>
  <c r="H186" i="4"/>
  <c r="I186" i="4"/>
  <c r="J186" i="4"/>
  <c r="K186" i="4"/>
  <c r="B187" i="4"/>
  <c r="C187" i="4"/>
  <c r="D187" i="4"/>
  <c r="E187" i="4"/>
  <c r="F187" i="4"/>
  <c r="G187" i="4"/>
  <c r="H187" i="4"/>
  <c r="I187" i="4"/>
  <c r="J187" i="4"/>
  <c r="K187" i="4"/>
  <c r="B188" i="4"/>
  <c r="C188" i="4"/>
  <c r="D188" i="4"/>
  <c r="E188" i="4"/>
  <c r="F188" i="4"/>
  <c r="G188" i="4"/>
  <c r="H188" i="4"/>
  <c r="I188" i="4"/>
  <c r="J188" i="4"/>
  <c r="K188" i="4"/>
  <c r="B189" i="4"/>
  <c r="C189" i="4"/>
  <c r="D189" i="4"/>
  <c r="E189" i="4"/>
  <c r="F189" i="4"/>
  <c r="G189" i="4"/>
  <c r="H189" i="4"/>
  <c r="I189" i="4"/>
  <c r="J189" i="4"/>
  <c r="K189" i="4"/>
  <c r="B190" i="4"/>
  <c r="C190" i="4"/>
  <c r="D190" i="4"/>
  <c r="E190" i="4"/>
  <c r="F190" i="4"/>
  <c r="G190" i="4"/>
  <c r="H190" i="4"/>
  <c r="I190" i="4"/>
  <c r="J190" i="4"/>
  <c r="K190" i="4"/>
  <c r="B191" i="4"/>
  <c r="C191" i="4"/>
  <c r="D191" i="4"/>
  <c r="E191" i="4"/>
  <c r="F191" i="4"/>
  <c r="G191" i="4"/>
  <c r="H191" i="4"/>
  <c r="I191" i="4"/>
  <c r="J191" i="4"/>
  <c r="K191" i="4"/>
  <c r="B192" i="4"/>
  <c r="C192" i="4"/>
  <c r="D192" i="4"/>
  <c r="E192" i="4"/>
  <c r="F192" i="4"/>
  <c r="G192" i="4"/>
  <c r="H192" i="4"/>
  <c r="I192" i="4"/>
  <c r="J192" i="4"/>
  <c r="K192" i="4"/>
  <c r="B193" i="4"/>
  <c r="C193" i="4"/>
  <c r="D193" i="4"/>
  <c r="E193" i="4"/>
  <c r="F193" i="4"/>
  <c r="G193" i="4"/>
  <c r="H193" i="4"/>
  <c r="I193" i="4"/>
  <c r="J193" i="4"/>
  <c r="K193" i="4"/>
  <c r="B194" i="4"/>
  <c r="C194" i="4"/>
  <c r="D194" i="4"/>
  <c r="E194" i="4"/>
  <c r="F194" i="4"/>
  <c r="G194" i="4"/>
  <c r="H194" i="4"/>
  <c r="I194" i="4"/>
  <c r="J194" i="4"/>
  <c r="K194" i="4"/>
  <c r="B195" i="4"/>
  <c r="C195" i="4"/>
  <c r="D195" i="4"/>
  <c r="E195" i="4"/>
  <c r="F195" i="4"/>
  <c r="G195" i="4"/>
  <c r="H195" i="4"/>
  <c r="I195" i="4"/>
  <c r="J195" i="4"/>
  <c r="K195" i="4"/>
  <c r="B196" i="4"/>
  <c r="C196" i="4"/>
  <c r="D196" i="4"/>
  <c r="E196" i="4"/>
  <c r="F196" i="4"/>
  <c r="G196" i="4"/>
  <c r="H196" i="4"/>
  <c r="I196" i="4"/>
  <c r="J196" i="4"/>
  <c r="K196" i="4"/>
  <c r="B197" i="4"/>
  <c r="C197" i="4"/>
  <c r="D197" i="4"/>
  <c r="E197" i="4"/>
  <c r="F197" i="4"/>
  <c r="G197" i="4"/>
  <c r="H197" i="4"/>
  <c r="I197" i="4"/>
  <c r="J197" i="4"/>
  <c r="K197" i="4"/>
  <c r="B198" i="4"/>
  <c r="C198" i="4"/>
  <c r="D198" i="4"/>
  <c r="E198" i="4"/>
  <c r="F198" i="4"/>
  <c r="G198" i="4"/>
  <c r="H198" i="4"/>
  <c r="I198" i="4"/>
  <c r="J198" i="4"/>
  <c r="K198" i="4"/>
  <c r="B199" i="4"/>
  <c r="C199" i="4"/>
  <c r="D199" i="4"/>
  <c r="E199" i="4"/>
  <c r="F199" i="4"/>
  <c r="G199" i="4"/>
  <c r="H199" i="4"/>
  <c r="I199" i="4"/>
  <c r="J199" i="4"/>
  <c r="K199" i="4"/>
  <c r="B200" i="4"/>
  <c r="C200" i="4"/>
  <c r="D200" i="4"/>
  <c r="E200" i="4"/>
  <c r="F200" i="4"/>
  <c r="G200" i="4"/>
  <c r="H200" i="4"/>
  <c r="I200" i="4"/>
  <c r="J200" i="4"/>
  <c r="K200" i="4"/>
  <c r="B201" i="4"/>
  <c r="C201" i="4"/>
  <c r="D201" i="4"/>
  <c r="E201" i="4"/>
  <c r="F201" i="4"/>
  <c r="G201" i="4"/>
  <c r="H201" i="4"/>
  <c r="I201" i="4"/>
  <c r="J201" i="4"/>
  <c r="K201" i="4"/>
  <c r="B202" i="4"/>
  <c r="C202" i="4"/>
  <c r="D202" i="4"/>
  <c r="E202" i="4"/>
  <c r="F202" i="4"/>
  <c r="G202" i="4"/>
  <c r="H202" i="4"/>
  <c r="I202" i="4"/>
  <c r="J202" i="4"/>
  <c r="K202" i="4"/>
  <c r="B203" i="4"/>
  <c r="C203" i="4"/>
  <c r="D203" i="4"/>
  <c r="E203" i="4"/>
  <c r="F203" i="4"/>
  <c r="G203" i="4"/>
  <c r="H203" i="4"/>
  <c r="I203" i="4"/>
  <c r="J203" i="4"/>
  <c r="K203" i="4"/>
  <c r="B204" i="4"/>
  <c r="C204" i="4"/>
  <c r="D204" i="4"/>
  <c r="E204" i="4"/>
  <c r="F204" i="4"/>
  <c r="G204" i="4"/>
  <c r="H204" i="4"/>
  <c r="I204" i="4"/>
  <c r="J204" i="4"/>
  <c r="K204" i="4"/>
  <c r="B205" i="4"/>
  <c r="C205" i="4"/>
  <c r="D205" i="4"/>
  <c r="E205" i="4"/>
  <c r="F205" i="4"/>
  <c r="G205" i="4"/>
  <c r="H205" i="4"/>
  <c r="I205" i="4"/>
  <c r="J205" i="4"/>
  <c r="K205" i="4"/>
  <c r="B206" i="4"/>
  <c r="C206" i="4"/>
  <c r="D206" i="4"/>
  <c r="E206" i="4"/>
  <c r="F206" i="4"/>
  <c r="G206" i="4"/>
  <c r="H206" i="4"/>
  <c r="I206" i="4"/>
  <c r="J206" i="4"/>
  <c r="K206" i="4"/>
  <c r="B207" i="4"/>
  <c r="C207" i="4"/>
  <c r="D207" i="4"/>
  <c r="E207" i="4"/>
  <c r="F207" i="4"/>
  <c r="G207" i="4"/>
  <c r="H207" i="4"/>
  <c r="I207" i="4"/>
  <c r="J207" i="4"/>
  <c r="K207" i="4"/>
  <c r="B208" i="4"/>
  <c r="C208" i="4"/>
  <c r="D208" i="4"/>
  <c r="E208" i="4"/>
  <c r="F208" i="4"/>
  <c r="G208" i="4"/>
  <c r="H208" i="4"/>
  <c r="I208" i="4"/>
  <c r="J208" i="4"/>
  <c r="K208" i="4"/>
  <c r="B209" i="4"/>
  <c r="C209" i="4"/>
  <c r="D209" i="4"/>
  <c r="E209" i="4"/>
  <c r="F209" i="4"/>
  <c r="G209" i="4"/>
  <c r="H209" i="4"/>
  <c r="I209" i="4"/>
  <c r="J209" i="4"/>
  <c r="K209" i="4"/>
  <c r="B210" i="4"/>
  <c r="C210" i="4"/>
  <c r="D210" i="4"/>
  <c r="E210" i="4"/>
  <c r="F210" i="4"/>
  <c r="G210" i="4"/>
  <c r="H210" i="4"/>
  <c r="I210" i="4"/>
  <c r="J210" i="4"/>
  <c r="K210" i="4"/>
  <c r="B211" i="4"/>
  <c r="C211" i="4"/>
  <c r="D211" i="4"/>
  <c r="E211" i="4"/>
  <c r="F211" i="4"/>
  <c r="G211" i="4"/>
  <c r="H211" i="4"/>
  <c r="I211" i="4"/>
  <c r="J211" i="4"/>
  <c r="K211" i="4"/>
  <c r="B212" i="4"/>
  <c r="C212" i="4"/>
  <c r="D212" i="4"/>
  <c r="E212" i="4"/>
  <c r="F212" i="4"/>
  <c r="G212" i="4"/>
  <c r="H212" i="4"/>
  <c r="I212" i="4"/>
  <c r="J212" i="4"/>
  <c r="K212" i="4"/>
  <c r="B213" i="4"/>
  <c r="C213" i="4"/>
  <c r="D213" i="4"/>
  <c r="E213" i="4"/>
  <c r="F213" i="4"/>
  <c r="G213" i="4"/>
  <c r="H213" i="4"/>
  <c r="I213" i="4"/>
  <c r="J213" i="4"/>
  <c r="K213" i="4"/>
  <c r="B214" i="4"/>
  <c r="C214" i="4"/>
  <c r="D214" i="4"/>
  <c r="E214" i="4"/>
  <c r="F214" i="4"/>
  <c r="G214" i="4"/>
  <c r="H214" i="4"/>
  <c r="I214" i="4"/>
  <c r="J214" i="4"/>
  <c r="K214" i="4"/>
  <c r="B215" i="4"/>
  <c r="C215" i="4"/>
  <c r="D215" i="4"/>
  <c r="E215" i="4"/>
  <c r="F215" i="4"/>
  <c r="G215" i="4"/>
  <c r="H215" i="4"/>
  <c r="I215" i="4"/>
  <c r="J215" i="4"/>
  <c r="K215" i="4"/>
  <c r="B216" i="4"/>
  <c r="C216" i="4"/>
  <c r="D216" i="4"/>
  <c r="E216" i="4"/>
  <c r="F216" i="4"/>
  <c r="G216" i="4"/>
  <c r="H216" i="4"/>
  <c r="I216" i="4"/>
  <c r="J216" i="4"/>
  <c r="K216" i="4"/>
  <c r="B217" i="4"/>
  <c r="C217" i="4"/>
  <c r="D217" i="4"/>
  <c r="E217" i="4"/>
  <c r="F217" i="4"/>
  <c r="G217" i="4"/>
  <c r="H217" i="4"/>
  <c r="I217" i="4"/>
  <c r="J217" i="4"/>
  <c r="K217" i="4"/>
  <c r="B218" i="4"/>
  <c r="C218" i="4"/>
  <c r="D218" i="4"/>
  <c r="E218" i="4"/>
  <c r="F218" i="4"/>
  <c r="G218" i="4"/>
  <c r="H218" i="4"/>
  <c r="I218" i="4"/>
  <c r="J218" i="4"/>
  <c r="K218" i="4"/>
  <c r="B219" i="4"/>
  <c r="C219" i="4"/>
  <c r="D219" i="4"/>
  <c r="E219" i="4"/>
  <c r="F219" i="4"/>
  <c r="G219" i="4"/>
  <c r="H219" i="4"/>
  <c r="I219" i="4"/>
  <c r="J219" i="4"/>
  <c r="K219" i="4"/>
  <c r="B220" i="4"/>
  <c r="C220" i="4"/>
  <c r="D220" i="4"/>
  <c r="E220" i="4"/>
  <c r="F220" i="4"/>
  <c r="G220" i="4"/>
  <c r="H220" i="4"/>
  <c r="I220" i="4"/>
  <c r="J220" i="4"/>
  <c r="K220" i="4"/>
  <c r="B221" i="4"/>
  <c r="C221" i="4"/>
  <c r="D221" i="4"/>
  <c r="E221" i="4"/>
  <c r="F221" i="4"/>
  <c r="G221" i="4"/>
  <c r="H221" i="4"/>
  <c r="I221" i="4"/>
  <c r="J221" i="4"/>
  <c r="K221" i="4"/>
  <c r="B222" i="4"/>
  <c r="C222" i="4"/>
  <c r="D222" i="4"/>
  <c r="E222" i="4"/>
  <c r="F222" i="4"/>
  <c r="G222" i="4"/>
  <c r="H222" i="4"/>
  <c r="I222" i="4"/>
  <c r="J222" i="4"/>
  <c r="K222" i="4"/>
  <c r="B223" i="4"/>
  <c r="C223" i="4"/>
  <c r="D223" i="4"/>
  <c r="E223" i="4"/>
  <c r="F223" i="4"/>
  <c r="G223" i="4"/>
  <c r="H223" i="4"/>
  <c r="I223" i="4"/>
  <c r="J223" i="4"/>
  <c r="K223" i="4"/>
  <c r="B224" i="4"/>
  <c r="C224" i="4"/>
  <c r="D224" i="4"/>
  <c r="E224" i="4"/>
  <c r="F224" i="4"/>
  <c r="G224" i="4"/>
  <c r="H224" i="4"/>
  <c r="I224" i="4"/>
  <c r="J224" i="4"/>
  <c r="K224" i="4"/>
  <c r="B225" i="4"/>
  <c r="C225" i="4"/>
  <c r="D225" i="4"/>
  <c r="E225" i="4"/>
  <c r="F225" i="4"/>
  <c r="G225" i="4"/>
  <c r="H225" i="4"/>
  <c r="I225" i="4"/>
  <c r="J225" i="4"/>
  <c r="K225" i="4"/>
  <c r="B226" i="4"/>
  <c r="C226" i="4"/>
  <c r="D226" i="4"/>
  <c r="E226" i="4"/>
  <c r="F226" i="4"/>
  <c r="G226" i="4"/>
  <c r="H226" i="4"/>
  <c r="I226" i="4"/>
  <c r="J226" i="4"/>
  <c r="K226" i="4"/>
  <c r="B227" i="4"/>
  <c r="C227" i="4"/>
  <c r="D227" i="4"/>
  <c r="E227" i="4"/>
  <c r="F227" i="4"/>
  <c r="G227" i="4"/>
  <c r="H227" i="4"/>
  <c r="I227" i="4"/>
  <c r="J227" i="4"/>
  <c r="K227" i="4"/>
  <c r="B228" i="4"/>
  <c r="C228" i="4"/>
  <c r="D228" i="4"/>
  <c r="E228" i="4"/>
  <c r="F228" i="4"/>
  <c r="G228" i="4"/>
  <c r="H228" i="4"/>
  <c r="I228" i="4"/>
  <c r="J228" i="4"/>
  <c r="K228" i="4"/>
  <c r="B229" i="4"/>
  <c r="C229" i="4"/>
  <c r="D229" i="4"/>
  <c r="E229" i="4"/>
  <c r="F229" i="4"/>
  <c r="G229" i="4"/>
  <c r="H229" i="4"/>
  <c r="I229" i="4"/>
  <c r="J229" i="4"/>
  <c r="K229" i="4"/>
  <c r="B230" i="4"/>
  <c r="C230" i="4"/>
  <c r="D230" i="4"/>
  <c r="E230" i="4"/>
  <c r="F230" i="4"/>
  <c r="G230" i="4"/>
  <c r="H230" i="4"/>
  <c r="I230" i="4"/>
  <c r="J230" i="4"/>
  <c r="K230" i="4"/>
  <c r="B231" i="4"/>
  <c r="C231" i="4"/>
  <c r="D231" i="4"/>
  <c r="E231" i="4"/>
  <c r="F231" i="4"/>
  <c r="G231" i="4"/>
  <c r="H231" i="4"/>
  <c r="I231" i="4"/>
  <c r="J231" i="4"/>
  <c r="K231" i="4"/>
  <c r="B232" i="4"/>
  <c r="C232" i="4"/>
  <c r="D232" i="4"/>
  <c r="E232" i="4"/>
  <c r="F232" i="4"/>
  <c r="G232" i="4"/>
  <c r="H232" i="4"/>
  <c r="I232" i="4"/>
  <c r="J232" i="4"/>
  <c r="K232" i="4"/>
  <c r="B233" i="4"/>
  <c r="C233" i="4"/>
  <c r="D233" i="4"/>
  <c r="E233" i="4"/>
  <c r="F233" i="4"/>
  <c r="G233" i="4"/>
  <c r="H233" i="4"/>
  <c r="I233" i="4"/>
  <c r="J233" i="4"/>
  <c r="K233" i="4"/>
  <c r="B234" i="4"/>
  <c r="C234" i="4"/>
  <c r="D234" i="4"/>
  <c r="E234" i="4"/>
  <c r="F234" i="4"/>
  <c r="G234" i="4"/>
  <c r="H234" i="4"/>
  <c r="I234" i="4"/>
  <c r="J234" i="4"/>
  <c r="K234" i="4"/>
  <c r="B235" i="4"/>
  <c r="C235" i="4"/>
  <c r="D235" i="4"/>
  <c r="E235" i="4"/>
  <c r="F235" i="4"/>
  <c r="G235" i="4"/>
  <c r="H235" i="4"/>
  <c r="I235" i="4"/>
  <c r="J235" i="4"/>
  <c r="K235" i="4"/>
  <c r="B236" i="4"/>
  <c r="C236" i="4"/>
  <c r="D236" i="4"/>
  <c r="E236" i="4"/>
  <c r="F236" i="4"/>
  <c r="G236" i="4"/>
  <c r="H236" i="4"/>
  <c r="I236" i="4"/>
  <c r="J236" i="4"/>
  <c r="K236" i="4"/>
  <c r="B237" i="4"/>
  <c r="C237" i="4"/>
  <c r="D237" i="4"/>
  <c r="E237" i="4"/>
  <c r="F237" i="4"/>
  <c r="G237" i="4"/>
  <c r="H237" i="4"/>
  <c r="I237" i="4"/>
  <c r="J237" i="4"/>
  <c r="K237" i="4"/>
  <c r="B238" i="4"/>
  <c r="C238" i="4"/>
  <c r="D238" i="4"/>
  <c r="E238" i="4"/>
  <c r="F238" i="4"/>
  <c r="G238" i="4"/>
  <c r="H238" i="4"/>
  <c r="I238" i="4"/>
  <c r="J238" i="4"/>
  <c r="K238" i="4"/>
  <c r="B239" i="4"/>
  <c r="C239" i="4"/>
  <c r="D239" i="4"/>
  <c r="E239" i="4"/>
  <c r="F239" i="4"/>
  <c r="G239" i="4"/>
  <c r="H239" i="4"/>
  <c r="I239" i="4"/>
  <c r="J239" i="4"/>
  <c r="K239" i="4"/>
  <c r="B240" i="4"/>
  <c r="C240" i="4"/>
  <c r="D240" i="4"/>
  <c r="E240" i="4"/>
  <c r="F240" i="4"/>
  <c r="G240" i="4"/>
  <c r="H240" i="4"/>
  <c r="I240" i="4"/>
  <c r="J240" i="4"/>
  <c r="K240" i="4"/>
  <c r="B241" i="4"/>
  <c r="C241" i="4"/>
  <c r="D241" i="4"/>
  <c r="E241" i="4"/>
  <c r="F241" i="4"/>
  <c r="G241" i="4"/>
  <c r="H241" i="4"/>
  <c r="I241" i="4"/>
  <c r="J241" i="4"/>
  <c r="K241" i="4"/>
  <c r="B242" i="4"/>
  <c r="C242" i="4"/>
  <c r="D242" i="4"/>
  <c r="E242" i="4"/>
  <c r="F242" i="4"/>
  <c r="G242" i="4"/>
  <c r="H242" i="4"/>
  <c r="I242" i="4"/>
  <c r="J242" i="4"/>
  <c r="K242" i="4"/>
  <c r="B243" i="4"/>
  <c r="C243" i="4"/>
  <c r="D243" i="4"/>
  <c r="E243" i="4"/>
  <c r="F243" i="4"/>
  <c r="G243" i="4"/>
  <c r="H243" i="4"/>
  <c r="I243" i="4"/>
  <c r="J243" i="4"/>
  <c r="K243" i="4"/>
  <c r="B244" i="4"/>
  <c r="C244" i="4"/>
  <c r="D244" i="4"/>
  <c r="E244" i="4"/>
  <c r="F244" i="4"/>
  <c r="G244" i="4"/>
  <c r="H244" i="4"/>
  <c r="I244" i="4"/>
  <c r="J244" i="4"/>
  <c r="K244" i="4"/>
  <c r="B245" i="4"/>
  <c r="C245" i="4"/>
  <c r="D245" i="4"/>
  <c r="E245" i="4"/>
  <c r="F245" i="4"/>
  <c r="G245" i="4"/>
  <c r="H245" i="4"/>
  <c r="I245" i="4"/>
  <c r="J245" i="4"/>
  <c r="K245" i="4"/>
  <c r="B246" i="4"/>
  <c r="C246" i="4"/>
  <c r="D246" i="4"/>
  <c r="E246" i="4"/>
  <c r="F246" i="4"/>
  <c r="G246" i="4"/>
  <c r="H246" i="4"/>
  <c r="I246" i="4"/>
  <c r="J246" i="4"/>
  <c r="K246" i="4"/>
  <c r="B247" i="4"/>
  <c r="C247" i="4"/>
  <c r="D247" i="4"/>
  <c r="E247" i="4"/>
  <c r="F247" i="4"/>
  <c r="G247" i="4"/>
  <c r="H247" i="4"/>
  <c r="I247" i="4"/>
  <c r="J247" i="4"/>
  <c r="K247" i="4"/>
  <c r="B248" i="4"/>
  <c r="C248" i="4"/>
  <c r="D248" i="4"/>
  <c r="E248" i="4"/>
  <c r="F248" i="4"/>
  <c r="G248" i="4"/>
  <c r="H248" i="4"/>
  <c r="I248" i="4"/>
  <c r="J248" i="4"/>
  <c r="K248" i="4"/>
  <c r="B249" i="4"/>
  <c r="C249" i="4"/>
  <c r="D249" i="4"/>
  <c r="E249" i="4"/>
  <c r="F249" i="4"/>
  <c r="G249" i="4"/>
  <c r="H249" i="4"/>
  <c r="I249" i="4"/>
  <c r="J249" i="4"/>
  <c r="K249" i="4"/>
  <c r="B250" i="4"/>
  <c r="C250" i="4"/>
  <c r="D250" i="4"/>
  <c r="E250" i="4"/>
  <c r="F250" i="4"/>
  <c r="G250" i="4"/>
  <c r="H250" i="4"/>
  <c r="I250" i="4"/>
  <c r="J250" i="4"/>
  <c r="K250" i="4"/>
  <c r="B251" i="4"/>
  <c r="C251" i="4"/>
  <c r="D251" i="4"/>
  <c r="E251" i="4"/>
  <c r="F251" i="4"/>
  <c r="G251" i="4"/>
  <c r="H251" i="4"/>
  <c r="I251" i="4"/>
  <c r="J251" i="4"/>
  <c r="K251" i="4"/>
  <c r="B252" i="4"/>
  <c r="C252" i="4"/>
  <c r="D252" i="4"/>
  <c r="E252" i="4"/>
  <c r="F252" i="4"/>
  <c r="G252" i="4"/>
  <c r="H252" i="4"/>
  <c r="I252" i="4"/>
  <c r="J252" i="4"/>
  <c r="K252" i="4"/>
  <c r="B253" i="4"/>
  <c r="C253" i="4"/>
  <c r="D253" i="4"/>
  <c r="E253" i="4"/>
  <c r="F253" i="4"/>
  <c r="G253" i="4"/>
  <c r="H253" i="4"/>
  <c r="I253" i="4"/>
  <c r="J253" i="4"/>
  <c r="K253" i="4"/>
  <c r="B254" i="4"/>
  <c r="C254" i="4"/>
  <c r="D254" i="4"/>
  <c r="E254" i="4"/>
  <c r="F254" i="4"/>
  <c r="G254" i="4"/>
  <c r="H254" i="4"/>
  <c r="I254" i="4"/>
  <c r="J254" i="4"/>
  <c r="K254" i="4"/>
  <c r="B255" i="4"/>
  <c r="C255" i="4"/>
  <c r="D255" i="4"/>
  <c r="E255" i="4"/>
  <c r="F255" i="4"/>
  <c r="G255" i="4"/>
  <c r="H255" i="4"/>
  <c r="I255" i="4"/>
  <c r="J255" i="4"/>
  <c r="K255" i="4"/>
  <c r="B256" i="4"/>
  <c r="C256" i="4"/>
  <c r="D256" i="4"/>
  <c r="E256" i="4"/>
  <c r="F256" i="4"/>
  <c r="G256" i="4"/>
  <c r="H256" i="4"/>
  <c r="I256" i="4"/>
  <c r="J256" i="4"/>
  <c r="K256" i="4"/>
  <c r="B257" i="4"/>
  <c r="C257" i="4"/>
  <c r="D257" i="4"/>
  <c r="E257" i="4"/>
  <c r="F257" i="4"/>
  <c r="G257" i="4"/>
  <c r="H257" i="4"/>
  <c r="I257" i="4"/>
  <c r="J257" i="4"/>
  <c r="K257" i="4"/>
  <c r="B258" i="4"/>
  <c r="C258" i="4"/>
  <c r="D258" i="4"/>
  <c r="E258" i="4"/>
  <c r="F258" i="4"/>
  <c r="G258" i="4"/>
  <c r="H258" i="4"/>
  <c r="I258" i="4"/>
  <c r="J258" i="4"/>
  <c r="K258" i="4"/>
  <c r="B259" i="4"/>
  <c r="C259" i="4"/>
  <c r="D259" i="4"/>
  <c r="E259" i="4"/>
  <c r="F259" i="4"/>
  <c r="G259" i="4"/>
  <c r="H259" i="4"/>
  <c r="I259" i="4"/>
  <c r="J259" i="4"/>
  <c r="K259" i="4"/>
  <c r="B260" i="4"/>
  <c r="C260" i="4"/>
  <c r="D260" i="4"/>
  <c r="E260" i="4"/>
  <c r="F260" i="4"/>
  <c r="G260" i="4"/>
  <c r="H260" i="4"/>
  <c r="I260" i="4"/>
  <c r="J260" i="4"/>
  <c r="K260" i="4"/>
  <c r="B261" i="4"/>
  <c r="C261" i="4"/>
  <c r="D261" i="4"/>
  <c r="E261" i="4"/>
  <c r="F261" i="4"/>
  <c r="G261" i="4"/>
  <c r="H261" i="4"/>
  <c r="I261" i="4"/>
  <c r="J261" i="4"/>
  <c r="K261" i="4"/>
  <c r="B262" i="4"/>
  <c r="C262" i="4"/>
  <c r="D262" i="4"/>
  <c r="E262" i="4"/>
  <c r="F262" i="4"/>
  <c r="G262" i="4"/>
  <c r="H262" i="4"/>
  <c r="I262" i="4"/>
  <c r="J262" i="4"/>
  <c r="K262" i="4"/>
  <c r="B263" i="4"/>
  <c r="C263" i="4"/>
  <c r="D263" i="4"/>
  <c r="E263" i="4"/>
  <c r="F263" i="4"/>
  <c r="G263" i="4"/>
  <c r="H263" i="4"/>
  <c r="I263" i="4"/>
  <c r="J263" i="4"/>
  <c r="K263" i="4"/>
  <c r="B264" i="4"/>
  <c r="C264" i="4"/>
  <c r="D264" i="4"/>
  <c r="E264" i="4"/>
  <c r="F264" i="4"/>
  <c r="G264" i="4"/>
  <c r="H264" i="4"/>
  <c r="I264" i="4"/>
  <c r="J264" i="4"/>
  <c r="K264" i="4"/>
  <c r="B265" i="4"/>
  <c r="C265" i="4"/>
  <c r="D265" i="4"/>
  <c r="E265" i="4"/>
  <c r="F265" i="4"/>
  <c r="G265" i="4"/>
  <c r="H265" i="4"/>
  <c r="I265" i="4"/>
  <c r="J265" i="4"/>
  <c r="K265" i="4"/>
  <c r="B266" i="4"/>
  <c r="C266" i="4"/>
  <c r="D266" i="4"/>
  <c r="E266" i="4"/>
  <c r="F266" i="4"/>
  <c r="G266" i="4"/>
  <c r="H266" i="4"/>
  <c r="I266" i="4"/>
  <c r="J266" i="4"/>
  <c r="K266" i="4"/>
  <c r="B267" i="4"/>
  <c r="C267" i="4"/>
  <c r="D267" i="4"/>
  <c r="E267" i="4"/>
  <c r="F267" i="4"/>
  <c r="G267" i="4"/>
  <c r="H267" i="4"/>
  <c r="I267" i="4"/>
  <c r="J267" i="4"/>
  <c r="K267" i="4"/>
  <c r="B268" i="4"/>
  <c r="C268" i="4"/>
  <c r="D268" i="4"/>
  <c r="E268" i="4"/>
  <c r="F268" i="4"/>
  <c r="G268" i="4"/>
  <c r="H268" i="4"/>
  <c r="I268" i="4"/>
  <c r="J268" i="4"/>
  <c r="K268" i="4"/>
  <c r="B269" i="4"/>
  <c r="C269" i="4"/>
  <c r="D269" i="4"/>
  <c r="E269" i="4"/>
  <c r="F269" i="4"/>
  <c r="G269" i="4"/>
  <c r="H269" i="4"/>
  <c r="I269" i="4"/>
  <c r="J269" i="4"/>
  <c r="K269" i="4"/>
  <c r="B270" i="4"/>
  <c r="C270" i="4"/>
  <c r="D270" i="4"/>
  <c r="E270" i="4"/>
  <c r="F270" i="4"/>
  <c r="G270" i="4"/>
  <c r="H270" i="4"/>
  <c r="I270" i="4"/>
  <c r="J270" i="4"/>
  <c r="K270" i="4"/>
  <c r="B271" i="4"/>
  <c r="C271" i="4"/>
  <c r="D271" i="4"/>
  <c r="E271" i="4"/>
  <c r="F271" i="4"/>
  <c r="G271" i="4"/>
  <c r="H271" i="4"/>
  <c r="I271" i="4"/>
  <c r="J271" i="4"/>
  <c r="K271" i="4"/>
  <c r="B272" i="4"/>
  <c r="C272" i="4"/>
  <c r="D272" i="4"/>
  <c r="E272" i="4"/>
  <c r="F272" i="4"/>
  <c r="G272" i="4"/>
  <c r="H272" i="4"/>
  <c r="I272" i="4"/>
  <c r="J272" i="4"/>
  <c r="K272" i="4"/>
  <c r="B273" i="4"/>
  <c r="C273" i="4"/>
  <c r="D273" i="4"/>
  <c r="E273" i="4"/>
  <c r="F273" i="4"/>
  <c r="G273" i="4"/>
  <c r="H273" i="4"/>
  <c r="I273" i="4"/>
  <c r="J273" i="4"/>
  <c r="K273" i="4"/>
  <c r="B274" i="4"/>
  <c r="C274" i="4"/>
  <c r="D274" i="4"/>
  <c r="E274" i="4"/>
  <c r="F274" i="4"/>
  <c r="G274" i="4"/>
  <c r="H274" i="4"/>
  <c r="I274" i="4"/>
  <c r="J274" i="4"/>
  <c r="K274" i="4"/>
  <c r="B275" i="4"/>
  <c r="C275" i="4"/>
  <c r="D275" i="4"/>
  <c r="E275" i="4"/>
  <c r="F275" i="4"/>
  <c r="G275" i="4"/>
  <c r="H275" i="4"/>
  <c r="I275" i="4"/>
  <c r="J275" i="4"/>
  <c r="K275" i="4"/>
  <c r="B276" i="4"/>
  <c r="C276" i="4"/>
  <c r="D276" i="4"/>
  <c r="E276" i="4"/>
  <c r="F276" i="4"/>
  <c r="G276" i="4"/>
  <c r="H276" i="4"/>
  <c r="I276" i="4"/>
  <c r="J276" i="4"/>
  <c r="K276" i="4"/>
  <c r="B277" i="4"/>
  <c r="C277" i="4"/>
  <c r="D277" i="4"/>
  <c r="E277" i="4"/>
  <c r="F277" i="4"/>
  <c r="G277" i="4"/>
  <c r="H277" i="4"/>
  <c r="I277" i="4"/>
  <c r="J277" i="4"/>
  <c r="K277" i="4"/>
  <c r="B278" i="4"/>
  <c r="C278" i="4"/>
  <c r="D278" i="4"/>
  <c r="E278" i="4"/>
  <c r="F278" i="4"/>
  <c r="G278" i="4"/>
  <c r="H278" i="4"/>
  <c r="I278" i="4"/>
  <c r="J278" i="4"/>
  <c r="K278" i="4"/>
  <c r="B279" i="4"/>
  <c r="C279" i="4"/>
  <c r="D279" i="4"/>
  <c r="E279" i="4"/>
  <c r="F279" i="4"/>
  <c r="G279" i="4"/>
  <c r="H279" i="4"/>
  <c r="I279" i="4"/>
  <c r="J279" i="4"/>
  <c r="K279" i="4"/>
  <c r="B280" i="4"/>
  <c r="C280" i="4"/>
  <c r="D280" i="4"/>
  <c r="E280" i="4"/>
  <c r="F280" i="4"/>
  <c r="G280" i="4"/>
  <c r="H280" i="4"/>
  <c r="I280" i="4"/>
  <c r="J280" i="4"/>
  <c r="K280" i="4"/>
  <c r="B281" i="4"/>
  <c r="C281" i="4"/>
  <c r="D281" i="4"/>
  <c r="E281" i="4"/>
  <c r="F281" i="4"/>
  <c r="G281" i="4"/>
  <c r="H281" i="4"/>
  <c r="I281" i="4"/>
  <c r="J281" i="4"/>
  <c r="K281" i="4"/>
  <c r="B282" i="4"/>
  <c r="C282" i="4"/>
  <c r="D282" i="4"/>
  <c r="E282" i="4"/>
  <c r="F282" i="4"/>
  <c r="G282" i="4"/>
  <c r="H282" i="4"/>
  <c r="I282" i="4"/>
  <c r="J282" i="4"/>
  <c r="K282" i="4"/>
  <c r="B283" i="4"/>
  <c r="C283" i="4"/>
  <c r="D283" i="4"/>
  <c r="E283" i="4"/>
  <c r="F283" i="4"/>
  <c r="G283" i="4"/>
  <c r="H283" i="4"/>
  <c r="I283" i="4"/>
  <c r="J283" i="4"/>
  <c r="K283" i="4"/>
  <c r="B284" i="4"/>
  <c r="C284" i="4"/>
  <c r="D284" i="4"/>
  <c r="E284" i="4"/>
  <c r="F284" i="4"/>
  <c r="G284" i="4"/>
  <c r="H284" i="4"/>
  <c r="I284" i="4"/>
  <c r="J284" i="4"/>
  <c r="K284" i="4"/>
  <c r="B285" i="4"/>
  <c r="C285" i="4"/>
  <c r="D285" i="4"/>
  <c r="E285" i="4"/>
  <c r="F285" i="4"/>
  <c r="G285" i="4"/>
  <c r="H285" i="4"/>
  <c r="I285" i="4"/>
  <c r="J285" i="4"/>
  <c r="K285" i="4"/>
  <c r="B286" i="4"/>
  <c r="C286" i="4"/>
  <c r="D286" i="4"/>
  <c r="E286" i="4"/>
  <c r="F286" i="4"/>
  <c r="G286" i="4"/>
  <c r="H286" i="4"/>
  <c r="I286" i="4"/>
  <c r="J286" i="4"/>
  <c r="K286" i="4"/>
  <c r="B287" i="4"/>
  <c r="C287" i="4"/>
  <c r="D287" i="4"/>
  <c r="E287" i="4"/>
  <c r="F287" i="4"/>
  <c r="G287" i="4"/>
  <c r="H287" i="4"/>
  <c r="I287" i="4"/>
  <c r="J287" i="4"/>
  <c r="K287" i="4"/>
  <c r="B288" i="4"/>
  <c r="C288" i="4"/>
  <c r="D288" i="4"/>
  <c r="E288" i="4"/>
  <c r="F288" i="4"/>
  <c r="G288" i="4"/>
  <c r="H288" i="4"/>
  <c r="I288" i="4"/>
  <c r="J288" i="4"/>
  <c r="K288" i="4"/>
  <c r="B289" i="4"/>
  <c r="C289" i="4"/>
  <c r="D289" i="4"/>
  <c r="E289" i="4"/>
  <c r="F289" i="4"/>
  <c r="G289" i="4"/>
  <c r="H289" i="4"/>
  <c r="I289" i="4"/>
  <c r="J289" i="4"/>
  <c r="K289" i="4"/>
  <c r="B290" i="4"/>
  <c r="C290" i="4"/>
  <c r="D290" i="4"/>
  <c r="E290" i="4"/>
  <c r="F290" i="4"/>
  <c r="G290" i="4"/>
  <c r="H290" i="4"/>
  <c r="I290" i="4"/>
  <c r="J290" i="4"/>
  <c r="K290" i="4"/>
  <c r="B291" i="4"/>
  <c r="C291" i="4"/>
  <c r="D291" i="4"/>
  <c r="E291" i="4"/>
  <c r="F291" i="4"/>
  <c r="G291" i="4"/>
  <c r="H291" i="4"/>
  <c r="I291" i="4"/>
  <c r="J291" i="4"/>
  <c r="K291" i="4"/>
  <c r="B292" i="4"/>
  <c r="C292" i="4"/>
  <c r="D292" i="4"/>
  <c r="E292" i="4"/>
  <c r="F292" i="4"/>
  <c r="G292" i="4"/>
  <c r="H292" i="4"/>
  <c r="I292" i="4"/>
  <c r="J292" i="4"/>
  <c r="K292" i="4"/>
  <c r="B293" i="4"/>
  <c r="C293" i="4"/>
  <c r="D293" i="4"/>
  <c r="E293" i="4"/>
  <c r="F293" i="4"/>
  <c r="G293" i="4"/>
  <c r="H293" i="4"/>
  <c r="I293" i="4"/>
  <c r="J293" i="4"/>
  <c r="K293" i="4"/>
  <c r="B294" i="4"/>
  <c r="C294" i="4"/>
  <c r="D294" i="4"/>
  <c r="E294" i="4"/>
  <c r="F294" i="4"/>
  <c r="G294" i="4"/>
  <c r="H294" i="4"/>
  <c r="I294" i="4"/>
  <c r="J294" i="4"/>
  <c r="K294" i="4"/>
  <c r="B295" i="4"/>
  <c r="C295" i="4"/>
  <c r="D295" i="4"/>
  <c r="E295" i="4"/>
  <c r="F295" i="4"/>
  <c r="G295" i="4"/>
  <c r="H295" i="4"/>
  <c r="I295" i="4"/>
  <c r="J295" i="4"/>
  <c r="K295" i="4"/>
  <c r="B296" i="4"/>
  <c r="C296" i="4"/>
  <c r="D296" i="4"/>
  <c r="E296" i="4"/>
  <c r="F296" i="4"/>
  <c r="G296" i="4"/>
  <c r="H296" i="4"/>
  <c r="I296" i="4"/>
  <c r="J296" i="4"/>
  <c r="K296" i="4"/>
  <c r="B297" i="4"/>
  <c r="C297" i="4"/>
  <c r="D297" i="4"/>
  <c r="E297" i="4"/>
  <c r="F297" i="4"/>
  <c r="G297" i="4"/>
  <c r="H297" i="4"/>
  <c r="I297" i="4"/>
  <c r="J297" i="4"/>
  <c r="K297" i="4"/>
  <c r="B298" i="4"/>
  <c r="C298" i="4"/>
  <c r="D298" i="4"/>
  <c r="E298" i="4"/>
  <c r="F298" i="4"/>
  <c r="G298" i="4"/>
  <c r="H298" i="4"/>
  <c r="I298" i="4"/>
  <c r="J298" i="4"/>
  <c r="K298" i="4"/>
  <c r="B299" i="4"/>
  <c r="C299" i="4"/>
  <c r="D299" i="4"/>
  <c r="E299" i="4"/>
  <c r="F299" i="4"/>
  <c r="G299" i="4"/>
  <c r="H299" i="4"/>
  <c r="I299" i="4"/>
  <c r="J299" i="4"/>
  <c r="K299" i="4"/>
  <c r="B300" i="4"/>
  <c r="C300" i="4"/>
  <c r="D300" i="4"/>
  <c r="E300" i="4"/>
  <c r="F300" i="4"/>
  <c r="G300" i="4"/>
  <c r="H300" i="4"/>
  <c r="I300" i="4"/>
  <c r="J300" i="4"/>
  <c r="K300" i="4"/>
  <c r="B301" i="4"/>
  <c r="C301" i="4"/>
  <c r="D301" i="4"/>
  <c r="E301" i="4"/>
  <c r="F301" i="4"/>
  <c r="G301" i="4"/>
  <c r="H301" i="4"/>
  <c r="I301" i="4"/>
  <c r="J301" i="4"/>
  <c r="K301" i="4"/>
  <c r="B302" i="4"/>
  <c r="C302" i="4"/>
  <c r="D302" i="4"/>
  <c r="E302" i="4"/>
  <c r="F302" i="4"/>
  <c r="G302" i="4"/>
  <c r="H302" i="4"/>
  <c r="I302" i="4"/>
  <c r="J302" i="4"/>
  <c r="K302" i="4"/>
  <c r="B303" i="4"/>
  <c r="C303" i="4"/>
  <c r="D303" i="4"/>
  <c r="E303" i="4"/>
  <c r="F303" i="4"/>
  <c r="G303" i="4"/>
  <c r="H303" i="4"/>
  <c r="I303" i="4"/>
  <c r="J303" i="4"/>
  <c r="K303" i="4"/>
  <c r="B304" i="4"/>
  <c r="C304" i="4"/>
  <c r="D304" i="4"/>
  <c r="E304" i="4"/>
  <c r="F304" i="4"/>
  <c r="G304" i="4"/>
  <c r="H304" i="4"/>
  <c r="I304" i="4"/>
  <c r="J304" i="4"/>
  <c r="K304" i="4"/>
  <c r="B305" i="4"/>
  <c r="C305" i="4"/>
  <c r="D305" i="4"/>
  <c r="E305" i="4"/>
  <c r="F305" i="4"/>
  <c r="G305" i="4"/>
  <c r="H305" i="4"/>
  <c r="I305" i="4"/>
  <c r="J305" i="4"/>
  <c r="K305" i="4"/>
  <c r="B306" i="4"/>
  <c r="C306" i="4"/>
  <c r="D306" i="4"/>
  <c r="E306" i="4"/>
  <c r="F306" i="4"/>
  <c r="G306" i="4"/>
  <c r="H306" i="4"/>
  <c r="I306" i="4"/>
  <c r="J306" i="4"/>
  <c r="K306" i="4"/>
  <c r="B307" i="4"/>
  <c r="C307" i="4"/>
  <c r="D307" i="4"/>
  <c r="E307" i="4"/>
  <c r="F307" i="4"/>
  <c r="G307" i="4"/>
  <c r="H307" i="4"/>
  <c r="I307" i="4"/>
  <c r="J307" i="4"/>
  <c r="K307" i="4"/>
  <c r="B308" i="4"/>
  <c r="C308" i="4"/>
  <c r="D308" i="4"/>
  <c r="E308" i="4"/>
  <c r="F308" i="4"/>
  <c r="G308" i="4"/>
  <c r="H308" i="4"/>
  <c r="I308" i="4"/>
  <c r="J308" i="4"/>
  <c r="K308" i="4"/>
  <c r="B309" i="4"/>
  <c r="C309" i="4"/>
  <c r="D309" i="4"/>
  <c r="E309" i="4"/>
  <c r="F309" i="4"/>
  <c r="G309" i="4"/>
  <c r="H309" i="4"/>
  <c r="I309" i="4"/>
  <c r="J309" i="4"/>
  <c r="K309" i="4"/>
  <c r="B310" i="4"/>
  <c r="C310" i="4"/>
  <c r="D310" i="4"/>
  <c r="E310" i="4"/>
  <c r="F310" i="4"/>
  <c r="G310" i="4"/>
  <c r="H310" i="4"/>
  <c r="I310" i="4"/>
  <c r="J310" i="4"/>
  <c r="K310" i="4"/>
  <c r="B311" i="4"/>
  <c r="C311" i="4"/>
  <c r="D311" i="4"/>
  <c r="E311" i="4"/>
  <c r="F311" i="4"/>
  <c r="G311" i="4"/>
  <c r="H311" i="4"/>
  <c r="I311" i="4"/>
  <c r="J311" i="4"/>
  <c r="K311" i="4"/>
  <c r="B312" i="4"/>
  <c r="C312" i="4"/>
  <c r="D312" i="4"/>
  <c r="E312" i="4"/>
  <c r="F312" i="4"/>
  <c r="G312" i="4"/>
  <c r="H312" i="4"/>
  <c r="I312" i="4"/>
  <c r="J312" i="4"/>
  <c r="K312" i="4"/>
  <c r="B313" i="4"/>
  <c r="C313" i="4"/>
  <c r="D313" i="4"/>
  <c r="E313" i="4"/>
  <c r="F313" i="4"/>
  <c r="G313" i="4"/>
  <c r="H313" i="4"/>
  <c r="I313" i="4"/>
  <c r="J313" i="4"/>
  <c r="K313" i="4"/>
  <c r="B314" i="4"/>
  <c r="C314" i="4"/>
  <c r="D314" i="4"/>
  <c r="E314" i="4"/>
  <c r="F314" i="4"/>
  <c r="G314" i="4"/>
  <c r="H314" i="4"/>
  <c r="I314" i="4"/>
  <c r="J314" i="4"/>
  <c r="K314" i="4"/>
  <c r="B315" i="4"/>
  <c r="C315" i="4"/>
  <c r="D315" i="4"/>
  <c r="E315" i="4"/>
  <c r="F315" i="4"/>
  <c r="G315" i="4"/>
  <c r="H315" i="4"/>
  <c r="I315" i="4"/>
  <c r="J315" i="4"/>
  <c r="K315" i="4"/>
  <c r="B316" i="4"/>
  <c r="C316" i="4"/>
  <c r="D316" i="4"/>
  <c r="E316" i="4"/>
  <c r="F316" i="4"/>
  <c r="G316" i="4"/>
  <c r="H316" i="4"/>
  <c r="I316" i="4"/>
  <c r="J316" i="4"/>
  <c r="K316" i="4"/>
  <c r="B317" i="4"/>
  <c r="C317" i="4"/>
  <c r="D317" i="4"/>
  <c r="E317" i="4"/>
  <c r="F317" i="4"/>
  <c r="G317" i="4"/>
  <c r="H317" i="4"/>
  <c r="I317" i="4"/>
  <c r="J317" i="4"/>
  <c r="K317" i="4"/>
  <c r="B318" i="4"/>
  <c r="C318" i="4"/>
  <c r="D318" i="4"/>
  <c r="E318" i="4"/>
  <c r="F318" i="4"/>
  <c r="G318" i="4"/>
  <c r="H318" i="4"/>
  <c r="I318" i="4"/>
  <c r="J318" i="4"/>
  <c r="K318" i="4"/>
  <c r="B319" i="4"/>
  <c r="C319" i="4"/>
  <c r="D319" i="4"/>
  <c r="E319" i="4"/>
  <c r="F319" i="4"/>
  <c r="G319" i="4"/>
  <c r="H319" i="4"/>
  <c r="I319" i="4"/>
  <c r="J319" i="4"/>
  <c r="K319" i="4"/>
  <c r="B320" i="4"/>
  <c r="C320" i="4"/>
  <c r="D320" i="4"/>
  <c r="E320" i="4"/>
  <c r="F320" i="4"/>
  <c r="G320" i="4"/>
  <c r="H320" i="4"/>
  <c r="I320" i="4"/>
  <c r="J320" i="4"/>
  <c r="K320" i="4"/>
  <c r="B321" i="4"/>
  <c r="C321" i="4"/>
  <c r="D321" i="4"/>
  <c r="E321" i="4"/>
  <c r="F321" i="4"/>
  <c r="G321" i="4"/>
  <c r="H321" i="4"/>
  <c r="I321" i="4"/>
  <c r="J321" i="4"/>
  <c r="K321" i="4"/>
  <c r="B322" i="4"/>
  <c r="C322" i="4"/>
  <c r="D322" i="4"/>
  <c r="E322" i="4"/>
  <c r="F322" i="4"/>
  <c r="G322" i="4"/>
  <c r="H322" i="4"/>
  <c r="I322" i="4"/>
  <c r="J322" i="4"/>
  <c r="K322" i="4"/>
  <c r="B323" i="4"/>
  <c r="C323" i="4"/>
  <c r="D323" i="4"/>
  <c r="E323" i="4"/>
  <c r="F323" i="4"/>
  <c r="G323" i="4"/>
  <c r="H323" i="4"/>
  <c r="I323" i="4"/>
  <c r="J323" i="4"/>
  <c r="K323" i="4"/>
  <c r="B324" i="4"/>
  <c r="C324" i="4"/>
  <c r="D324" i="4"/>
  <c r="E324" i="4"/>
  <c r="F324" i="4"/>
  <c r="G324" i="4"/>
  <c r="H324" i="4"/>
  <c r="I324" i="4"/>
  <c r="J324" i="4"/>
  <c r="K324" i="4"/>
  <c r="B325" i="4"/>
  <c r="C325" i="4"/>
  <c r="D325" i="4"/>
  <c r="E325" i="4"/>
  <c r="F325" i="4"/>
  <c r="G325" i="4"/>
  <c r="H325" i="4"/>
  <c r="I325" i="4"/>
  <c r="J325" i="4"/>
  <c r="K325" i="4"/>
  <c r="B326" i="4"/>
  <c r="C326" i="4"/>
  <c r="D326" i="4"/>
  <c r="E326" i="4"/>
  <c r="F326" i="4"/>
  <c r="G326" i="4"/>
  <c r="H326" i="4"/>
  <c r="I326" i="4"/>
  <c r="J326" i="4"/>
  <c r="K326" i="4"/>
  <c r="B327" i="4"/>
  <c r="C327" i="4"/>
  <c r="D327" i="4"/>
  <c r="E327" i="4"/>
  <c r="F327" i="4"/>
  <c r="G327" i="4"/>
  <c r="H327" i="4"/>
  <c r="I327" i="4"/>
  <c r="J327" i="4"/>
  <c r="K327" i="4"/>
  <c r="B328" i="4"/>
  <c r="C328" i="4"/>
  <c r="D328" i="4"/>
  <c r="E328" i="4"/>
  <c r="F328" i="4"/>
  <c r="G328" i="4"/>
  <c r="H328" i="4"/>
  <c r="I328" i="4"/>
  <c r="J328" i="4"/>
  <c r="K328" i="4"/>
  <c r="B329" i="4"/>
  <c r="C329" i="4"/>
  <c r="D329" i="4"/>
  <c r="E329" i="4"/>
  <c r="F329" i="4"/>
  <c r="G329" i="4"/>
  <c r="H329" i="4"/>
  <c r="I329" i="4"/>
  <c r="J329" i="4"/>
  <c r="K329" i="4"/>
  <c r="B330" i="4"/>
  <c r="C330" i="4"/>
  <c r="D330" i="4"/>
  <c r="E330" i="4"/>
  <c r="F330" i="4"/>
  <c r="G330" i="4"/>
  <c r="H330" i="4"/>
  <c r="I330" i="4"/>
  <c r="J330" i="4"/>
  <c r="K330" i="4"/>
  <c r="B331" i="4"/>
  <c r="C331" i="4"/>
  <c r="D331" i="4"/>
  <c r="E331" i="4"/>
  <c r="F331" i="4"/>
  <c r="G331" i="4"/>
  <c r="H331" i="4"/>
  <c r="I331" i="4"/>
  <c r="J331" i="4"/>
  <c r="K331" i="4"/>
  <c r="B332" i="4"/>
  <c r="C332" i="4"/>
  <c r="D332" i="4"/>
  <c r="E332" i="4"/>
  <c r="F332" i="4"/>
  <c r="G332" i="4"/>
  <c r="H332" i="4"/>
  <c r="I332" i="4"/>
  <c r="J332" i="4"/>
  <c r="K332" i="4"/>
  <c r="B333" i="4"/>
  <c r="C333" i="4"/>
  <c r="D333" i="4"/>
  <c r="E333" i="4"/>
  <c r="F333" i="4"/>
  <c r="G333" i="4"/>
  <c r="H333" i="4"/>
  <c r="I333" i="4"/>
  <c r="J333" i="4"/>
  <c r="K333" i="4"/>
  <c r="B334" i="4"/>
  <c r="C334" i="4"/>
  <c r="D334" i="4"/>
  <c r="E334" i="4"/>
  <c r="F334" i="4"/>
  <c r="G334" i="4"/>
  <c r="H334" i="4"/>
  <c r="I334" i="4"/>
  <c r="J334" i="4"/>
  <c r="K334" i="4"/>
  <c r="B335" i="4"/>
  <c r="C335" i="4"/>
  <c r="D335" i="4"/>
  <c r="E335" i="4"/>
  <c r="F335" i="4"/>
  <c r="G335" i="4"/>
  <c r="H335" i="4"/>
  <c r="I335" i="4"/>
  <c r="J335" i="4"/>
  <c r="K335" i="4"/>
  <c r="B336" i="4"/>
  <c r="C336" i="4"/>
  <c r="D336" i="4"/>
  <c r="E336" i="4"/>
  <c r="F336" i="4"/>
  <c r="G336" i="4"/>
  <c r="H336" i="4"/>
  <c r="I336" i="4"/>
  <c r="J336" i="4"/>
  <c r="K336" i="4"/>
  <c r="B337" i="4"/>
  <c r="C337" i="4"/>
  <c r="D337" i="4"/>
  <c r="E337" i="4"/>
  <c r="F337" i="4"/>
  <c r="G337" i="4"/>
  <c r="H337" i="4"/>
  <c r="I337" i="4"/>
  <c r="J337" i="4"/>
  <c r="K337" i="4"/>
  <c r="B338" i="4"/>
  <c r="C338" i="4"/>
  <c r="D338" i="4"/>
  <c r="E338" i="4"/>
  <c r="F338" i="4"/>
  <c r="G338" i="4"/>
  <c r="H338" i="4"/>
  <c r="I338" i="4"/>
  <c r="J338" i="4"/>
  <c r="K338" i="4"/>
  <c r="B339" i="4"/>
  <c r="C339" i="4"/>
  <c r="D339" i="4"/>
  <c r="E339" i="4"/>
  <c r="F339" i="4"/>
  <c r="G339" i="4"/>
  <c r="H339" i="4"/>
  <c r="I339" i="4"/>
  <c r="J339" i="4"/>
  <c r="K339" i="4"/>
  <c r="B340" i="4"/>
  <c r="C340" i="4"/>
  <c r="D340" i="4"/>
  <c r="E340" i="4"/>
  <c r="F340" i="4"/>
  <c r="G340" i="4"/>
  <c r="H340" i="4"/>
  <c r="I340" i="4"/>
  <c r="J340" i="4"/>
  <c r="K340" i="4"/>
  <c r="B341" i="4"/>
  <c r="C341" i="4"/>
  <c r="D341" i="4"/>
  <c r="E341" i="4"/>
  <c r="F341" i="4"/>
  <c r="G341" i="4"/>
  <c r="H341" i="4"/>
  <c r="I341" i="4"/>
  <c r="J341" i="4"/>
  <c r="K341" i="4"/>
  <c r="B342" i="4"/>
  <c r="C342" i="4"/>
  <c r="D342" i="4"/>
  <c r="E342" i="4"/>
  <c r="F342" i="4"/>
  <c r="G342" i="4"/>
  <c r="H342" i="4"/>
  <c r="I342" i="4"/>
  <c r="J342" i="4"/>
  <c r="K342" i="4"/>
  <c r="B343" i="4"/>
  <c r="C343" i="4"/>
  <c r="D343" i="4"/>
  <c r="E343" i="4"/>
  <c r="F343" i="4"/>
  <c r="G343" i="4"/>
  <c r="H343" i="4"/>
  <c r="I343" i="4"/>
  <c r="J343" i="4"/>
  <c r="K343" i="4"/>
  <c r="B344" i="4"/>
  <c r="C344" i="4"/>
  <c r="D344" i="4"/>
  <c r="E344" i="4"/>
  <c r="F344" i="4"/>
  <c r="G344" i="4"/>
  <c r="H344" i="4"/>
  <c r="I344" i="4"/>
  <c r="J344" i="4"/>
  <c r="K344" i="4"/>
  <c r="B345" i="4"/>
  <c r="C345" i="4"/>
  <c r="D345" i="4"/>
  <c r="E345" i="4"/>
  <c r="F345" i="4"/>
  <c r="G345" i="4"/>
  <c r="H345" i="4"/>
  <c r="I345" i="4"/>
  <c r="J345" i="4"/>
  <c r="K345" i="4"/>
  <c r="B346" i="4"/>
  <c r="C346" i="4"/>
  <c r="D346" i="4"/>
  <c r="E346" i="4"/>
  <c r="F346" i="4"/>
  <c r="G346" i="4"/>
  <c r="H346" i="4"/>
  <c r="I346" i="4"/>
  <c r="J346" i="4"/>
  <c r="K346" i="4"/>
  <c r="B347" i="4"/>
  <c r="C347" i="4"/>
  <c r="D347" i="4"/>
  <c r="E347" i="4"/>
  <c r="F347" i="4"/>
  <c r="G347" i="4"/>
  <c r="H347" i="4"/>
  <c r="I347" i="4"/>
  <c r="J347" i="4"/>
  <c r="K347" i="4"/>
  <c r="B348" i="4"/>
  <c r="C348" i="4"/>
  <c r="D348" i="4"/>
  <c r="E348" i="4"/>
  <c r="F348" i="4"/>
  <c r="G348" i="4"/>
  <c r="H348" i="4"/>
  <c r="I348" i="4"/>
  <c r="J348" i="4"/>
  <c r="K348" i="4"/>
  <c r="B349" i="4"/>
  <c r="C349" i="4"/>
  <c r="D349" i="4"/>
  <c r="E349" i="4"/>
  <c r="F349" i="4"/>
  <c r="G349" i="4"/>
  <c r="H349" i="4"/>
  <c r="I349" i="4"/>
  <c r="J349" i="4"/>
  <c r="K349" i="4"/>
  <c r="B350" i="4"/>
  <c r="C350" i="4"/>
  <c r="D350" i="4"/>
  <c r="E350" i="4"/>
  <c r="F350" i="4"/>
  <c r="G350" i="4"/>
  <c r="H350" i="4"/>
  <c r="I350" i="4"/>
  <c r="J350" i="4"/>
  <c r="K350" i="4"/>
  <c r="B351" i="4"/>
  <c r="C351" i="4"/>
  <c r="D351" i="4"/>
  <c r="E351" i="4"/>
  <c r="F351" i="4"/>
  <c r="G351" i="4"/>
  <c r="H351" i="4"/>
  <c r="I351" i="4"/>
  <c r="J351" i="4"/>
  <c r="K351" i="4"/>
  <c r="B352" i="4"/>
  <c r="C352" i="4"/>
  <c r="D352" i="4"/>
  <c r="E352" i="4"/>
  <c r="F352" i="4"/>
  <c r="G352" i="4"/>
  <c r="H352" i="4"/>
  <c r="I352" i="4"/>
  <c r="J352" i="4"/>
  <c r="K352" i="4"/>
  <c r="B353" i="4"/>
  <c r="C353" i="4"/>
  <c r="D353" i="4"/>
  <c r="E353" i="4"/>
  <c r="F353" i="4"/>
  <c r="G353" i="4"/>
  <c r="H353" i="4"/>
  <c r="I353" i="4"/>
  <c r="J353" i="4"/>
  <c r="K353" i="4"/>
  <c r="B354" i="4"/>
  <c r="C354" i="4"/>
  <c r="D354" i="4"/>
  <c r="E354" i="4"/>
  <c r="F354" i="4"/>
  <c r="G354" i="4"/>
  <c r="H354" i="4"/>
  <c r="I354" i="4"/>
  <c r="J354" i="4"/>
  <c r="K354" i="4"/>
  <c r="B355" i="4"/>
  <c r="C355" i="4"/>
  <c r="D355" i="4"/>
  <c r="E355" i="4"/>
  <c r="F355" i="4"/>
  <c r="G355" i="4"/>
  <c r="H355" i="4"/>
  <c r="I355" i="4"/>
  <c r="J355" i="4"/>
  <c r="K355" i="4"/>
  <c r="B356" i="4"/>
  <c r="C356" i="4"/>
  <c r="D356" i="4"/>
  <c r="E356" i="4"/>
  <c r="F356" i="4"/>
  <c r="G356" i="4"/>
  <c r="H356" i="4"/>
  <c r="I356" i="4"/>
  <c r="J356" i="4"/>
  <c r="K356" i="4"/>
  <c r="B357" i="4"/>
  <c r="C357" i="4"/>
  <c r="D357" i="4"/>
  <c r="E357" i="4"/>
  <c r="F357" i="4"/>
  <c r="G357" i="4"/>
  <c r="H357" i="4"/>
  <c r="I357" i="4"/>
  <c r="J357" i="4"/>
  <c r="K357" i="4"/>
  <c r="B358" i="4"/>
  <c r="C358" i="4"/>
  <c r="D358" i="4"/>
  <c r="E358" i="4"/>
  <c r="F358" i="4"/>
  <c r="G358" i="4"/>
  <c r="H358" i="4"/>
  <c r="I358" i="4"/>
  <c r="J358" i="4"/>
  <c r="K358" i="4"/>
  <c r="B359" i="4"/>
  <c r="C359" i="4"/>
  <c r="D359" i="4"/>
  <c r="E359" i="4"/>
  <c r="F359" i="4"/>
  <c r="G359" i="4"/>
  <c r="H359" i="4"/>
  <c r="I359" i="4"/>
  <c r="J359" i="4"/>
  <c r="K359" i="4"/>
  <c r="B360" i="4"/>
  <c r="C360" i="4"/>
  <c r="D360" i="4"/>
  <c r="E360" i="4"/>
  <c r="F360" i="4"/>
  <c r="G360" i="4"/>
  <c r="H360" i="4"/>
  <c r="I360" i="4"/>
  <c r="J360" i="4"/>
  <c r="K360" i="4"/>
  <c r="B361" i="4"/>
  <c r="C361" i="4"/>
  <c r="D361" i="4"/>
  <c r="E361" i="4"/>
  <c r="F361" i="4"/>
  <c r="G361" i="4"/>
  <c r="H361" i="4"/>
  <c r="I361" i="4"/>
  <c r="J361" i="4"/>
  <c r="K361" i="4"/>
  <c r="B362" i="4"/>
  <c r="C362" i="4"/>
  <c r="D362" i="4"/>
  <c r="E362" i="4"/>
  <c r="F362" i="4"/>
  <c r="G362" i="4"/>
  <c r="H362" i="4"/>
  <c r="I362" i="4"/>
  <c r="J362" i="4"/>
  <c r="K362" i="4"/>
  <c r="B363" i="4"/>
  <c r="C363" i="4"/>
  <c r="D363" i="4"/>
  <c r="E363" i="4"/>
  <c r="F363" i="4"/>
  <c r="G363" i="4"/>
  <c r="H363" i="4"/>
  <c r="I363" i="4"/>
  <c r="J363" i="4"/>
  <c r="K363" i="4"/>
  <c r="B364" i="4"/>
  <c r="C364" i="4"/>
  <c r="D364" i="4"/>
  <c r="E364" i="4"/>
  <c r="F364" i="4"/>
  <c r="G364" i="4"/>
  <c r="H364" i="4"/>
  <c r="I364" i="4"/>
  <c r="J364" i="4"/>
  <c r="K364" i="4"/>
  <c r="B365" i="4"/>
  <c r="C365" i="4"/>
  <c r="D365" i="4"/>
  <c r="E365" i="4"/>
  <c r="F365" i="4"/>
  <c r="G365" i="4"/>
  <c r="H365" i="4"/>
  <c r="I365" i="4"/>
  <c r="J365" i="4"/>
  <c r="K365" i="4"/>
  <c r="B366" i="4"/>
  <c r="C366" i="4"/>
  <c r="D366" i="4"/>
  <c r="E366" i="4"/>
  <c r="F366" i="4"/>
  <c r="G366" i="4"/>
  <c r="H366" i="4"/>
  <c r="I366" i="4"/>
  <c r="J366" i="4"/>
  <c r="K366" i="4"/>
  <c r="B367" i="4"/>
  <c r="C367" i="4"/>
  <c r="D367" i="4"/>
  <c r="E367" i="4"/>
  <c r="F367" i="4"/>
  <c r="G367" i="4"/>
  <c r="H367" i="4"/>
  <c r="I367" i="4"/>
  <c r="J367" i="4"/>
  <c r="K367" i="4"/>
  <c r="B368" i="4"/>
  <c r="C368" i="4"/>
  <c r="D368" i="4"/>
  <c r="E368" i="4"/>
  <c r="F368" i="4"/>
  <c r="G368" i="4"/>
  <c r="H368" i="4"/>
  <c r="I368" i="4"/>
  <c r="J368" i="4"/>
  <c r="K368" i="4"/>
  <c r="B369" i="4"/>
  <c r="C369" i="4"/>
  <c r="D369" i="4"/>
  <c r="E369" i="4"/>
  <c r="F369" i="4"/>
  <c r="G369" i="4"/>
  <c r="H369" i="4"/>
  <c r="I369" i="4"/>
  <c r="J369" i="4"/>
  <c r="K369" i="4"/>
  <c r="B370" i="4"/>
  <c r="C370" i="4"/>
  <c r="D370" i="4"/>
  <c r="E370" i="4"/>
  <c r="F370" i="4"/>
  <c r="G370" i="4"/>
  <c r="H370" i="4"/>
  <c r="I370" i="4"/>
  <c r="J370" i="4"/>
  <c r="K370" i="4"/>
  <c r="B371" i="4"/>
  <c r="C371" i="4"/>
  <c r="D371" i="4"/>
  <c r="E371" i="4"/>
  <c r="F371" i="4"/>
  <c r="G371" i="4"/>
  <c r="H371" i="4"/>
  <c r="I371" i="4"/>
  <c r="J371" i="4"/>
  <c r="K371" i="4"/>
  <c r="B372" i="4"/>
  <c r="C372" i="4"/>
  <c r="D372" i="4"/>
  <c r="E372" i="4"/>
  <c r="F372" i="4"/>
  <c r="G372" i="4"/>
  <c r="H372" i="4"/>
  <c r="I372" i="4"/>
  <c r="J372" i="4"/>
  <c r="K372" i="4"/>
  <c r="B373" i="4"/>
  <c r="C373" i="4"/>
  <c r="D373" i="4"/>
  <c r="E373" i="4"/>
  <c r="F373" i="4"/>
  <c r="G373" i="4"/>
  <c r="H373" i="4"/>
  <c r="I373" i="4"/>
  <c r="J373" i="4"/>
  <c r="K373" i="4"/>
  <c r="B374" i="4"/>
  <c r="C374" i="4"/>
  <c r="D374" i="4"/>
  <c r="E374" i="4"/>
  <c r="F374" i="4"/>
  <c r="G374" i="4"/>
  <c r="H374" i="4"/>
  <c r="I374" i="4"/>
  <c r="J374" i="4"/>
  <c r="K374" i="4"/>
  <c r="B375" i="4"/>
  <c r="C375" i="4"/>
  <c r="D375" i="4"/>
  <c r="E375" i="4"/>
  <c r="F375" i="4"/>
  <c r="G375" i="4"/>
  <c r="H375" i="4"/>
  <c r="I375" i="4"/>
  <c r="J375" i="4"/>
  <c r="K375" i="4"/>
  <c r="B376" i="4"/>
  <c r="C376" i="4"/>
  <c r="D376" i="4"/>
  <c r="E376" i="4"/>
  <c r="F376" i="4"/>
  <c r="G376" i="4"/>
  <c r="H376" i="4"/>
  <c r="I376" i="4"/>
  <c r="J376" i="4"/>
  <c r="K376" i="4"/>
  <c r="B377" i="4"/>
  <c r="C377" i="4"/>
  <c r="D377" i="4"/>
  <c r="E377" i="4"/>
  <c r="F377" i="4"/>
  <c r="G377" i="4"/>
  <c r="H377" i="4"/>
  <c r="I377" i="4"/>
  <c r="J377" i="4"/>
  <c r="K377" i="4"/>
  <c r="B378" i="4"/>
  <c r="C378" i="4"/>
  <c r="D378" i="4"/>
  <c r="E378" i="4"/>
  <c r="F378" i="4"/>
  <c r="G378" i="4"/>
  <c r="H378" i="4"/>
  <c r="I378" i="4"/>
  <c r="J378" i="4"/>
  <c r="K378" i="4"/>
  <c r="B379" i="4"/>
  <c r="C379" i="4"/>
  <c r="D379" i="4"/>
  <c r="E379" i="4"/>
  <c r="F379" i="4"/>
  <c r="G379" i="4"/>
  <c r="H379" i="4"/>
  <c r="I379" i="4"/>
  <c r="J379" i="4"/>
  <c r="K379" i="4"/>
  <c r="B380" i="4"/>
  <c r="C380" i="4"/>
  <c r="D380" i="4"/>
  <c r="E380" i="4"/>
  <c r="F380" i="4"/>
  <c r="G380" i="4"/>
  <c r="H380" i="4"/>
  <c r="I380" i="4"/>
  <c r="J380" i="4"/>
  <c r="K380" i="4"/>
  <c r="B381" i="4"/>
  <c r="C381" i="4"/>
  <c r="D381" i="4"/>
  <c r="E381" i="4"/>
  <c r="F381" i="4"/>
  <c r="G381" i="4"/>
  <c r="H381" i="4"/>
  <c r="I381" i="4"/>
  <c r="J381" i="4"/>
  <c r="K381" i="4"/>
  <c r="B382" i="4"/>
  <c r="C382" i="4"/>
  <c r="D382" i="4"/>
  <c r="E382" i="4"/>
  <c r="F382" i="4"/>
  <c r="G382" i="4"/>
  <c r="H382" i="4"/>
  <c r="I382" i="4"/>
  <c r="J382" i="4"/>
  <c r="K382" i="4"/>
  <c r="B383" i="4"/>
  <c r="C383" i="4"/>
  <c r="D383" i="4"/>
  <c r="E383" i="4"/>
  <c r="F383" i="4"/>
  <c r="G383" i="4"/>
  <c r="H383" i="4"/>
  <c r="I383" i="4"/>
  <c r="J383" i="4"/>
  <c r="K383" i="4"/>
  <c r="B384" i="4"/>
  <c r="C384" i="4"/>
  <c r="D384" i="4"/>
  <c r="E384" i="4"/>
  <c r="F384" i="4"/>
  <c r="G384" i="4"/>
  <c r="H384" i="4"/>
  <c r="I384" i="4"/>
  <c r="J384" i="4"/>
  <c r="K384" i="4"/>
  <c r="B385" i="4"/>
  <c r="C385" i="4"/>
  <c r="D385" i="4"/>
  <c r="E385" i="4"/>
  <c r="F385" i="4"/>
  <c r="G385" i="4"/>
  <c r="H385" i="4"/>
  <c r="I385" i="4"/>
  <c r="J385" i="4"/>
  <c r="K385" i="4"/>
  <c r="B386" i="4"/>
  <c r="C386" i="4"/>
  <c r="D386" i="4"/>
  <c r="E386" i="4"/>
  <c r="F386" i="4"/>
  <c r="G386" i="4"/>
  <c r="H386" i="4"/>
  <c r="I386" i="4"/>
  <c r="J386" i="4"/>
  <c r="K386" i="4"/>
  <c r="B387" i="4"/>
  <c r="C387" i="4"/>
  <c r="D387" i="4"/>
  <c r="E387" i="4"/>
  <c r="F387" i="4"/>
  <c r="G387" i="4"/>
  <c r="H387" i="4"/>
  <c r="I387" i="4"/>
  <c r="J387" i="4"/>
  <c r="K387" i="4"/>
  <c r="B388" i="4"/>
  <c r="C388" i="4"/>
  <c r="D388" i="4"/>
  <c r="E388" i="4"/>
  <c r="F388" i="4"/>
  <c r="G388" i="4"/>
  <c r="H388" i="4"/>
  <c r="I388" i="4"/>
  <c r="J388" i="4"/>
  <c r="K388" i="4"/>
  <c r="B389" i="4"/>
  <c r="C389" i="4"/>
  <c r="D389" i="4"/>
  <c r="E389" i="4"/>
  <c r="F389" i="4"/>
  <c r="G389" i="4"/>
  <c r="H389" i="4"/>
  <c r="I389" i="4"/>
  <c r="J389" i="4"/>
  <c r="K389" i="4"/>
  <c r="B390" i="4"/>
  <c r="C390" i="4"/>
  <c r="D390" i="4"/>
  <c r="E390" i="4"/>
  <c r="F390" i="4"/>
  <c r="G390" i="4"/>
  <c r="H390" i="4"/>
  <c r="I390" i="4"/>
  <c r="J390" i="4"/>
  <c r="K390" i="4"/>
  <c r="B391" i="4"/>
  <c r="C391" i="4"/>
  <c r="D391" i="4"/>
  <c r="E391" i="4"/>
  <c r="F391" i="4"/>
  <c r="G391" i="4"/>
  <c r="H391" i="4"/>
  <c r="I391" i="4"/>
  <c r="J391" i="4"/>
  <c r="K391" i="4"/>
  <c r="B392" i="4"/>
  <c r="C392" i="4"/>
  <c r="D392" i="4"/>
  <c r="E392" i="4"/>
  <c r="F392" i="4"/>
  <c r="G392" i="4"/>
  <c r="H392" i="4"/>
  <c r="I392" i="4"/>
  <c r="J392" i="4"/>
  <c r="K392" i="4"/>
  <c r="B393" i="4"/>
  <c r="C393" i="4"/>
  <c r="D393" i="4"/>
  <c r="E393" i="4"/>
  <c r="F393" i="4"/>
  <c r="G393" i="4"/>
  <c r="H393" i="4"/>
  <c r="I393" i="4"/>
  <c r="J393" i="4"/>
  <c r="K393" i="4"/>
  <c r="B394" i="4"/>
  <c r="C394" i="4"/>
  <c r="D394" i="4"/>
  <c r="E394" i="4"/>
  <c r="F394" i="4"/>
  <c r="G394" i="4"/>
  <c r="H394" i="4"/>
  <c r="I394" i="4"/>
  <c r="J394" i="4"/>
  <c r="K394" i="4"/>
  <c r="B395" i="4"/>
  <c r="C395" i="4"/>
  <c r="D395" i="4"/>
  <c r="E395" i="4"/>
  <c r="F395" i="4"/>
  <c r="G395" i="4"/>
  <c r="H395" i="4"/>
  <c r="I395" i="4"/>
  <c r="J395" i="4"/>
  <c r="K395" i="4"/>
  <c r="B396" i="4"/>
  <c r="C396" i="4"/>
  <c r="D396" i="4"/>
  <c r="E396" i="4"/>
  <c r="F396" i="4"/>
  <c r="G396" i="4"/>
  <c r="H396" i="4"/>
  <c r="I396" i="4"/>
  <c r="J396" i="4"/>
  <c r="K396" i="4"/>
  <c r="B397" i="4"/>
  <c r="C397" i="4"/>
  <c r="D397" i="4"/>
  <c r="E397" i="4"/>
  <c r="F397" i="4"/>
  <c r="G397" i="4"/>
  <c r="H397" i="4"/>
  <c r="I397" i="4"/>
  <c r="J397" i="4"/>
  <c r="K397" i="4"/>
  <c r="B398" i="4"/>
  <c r="C398" i="4"/>
  <c r="D398" i="4"/>
  <c r="E398" i="4"/>
  <c r="F398" i="4"/>
  <c r="G398" i="4"/>
  <c r="H398" i="4"/>
  <c r="I398" i="4"/>
  <c r="J398" i="4"/>
  <c r="K398" i="4"/>
  <c r="B399" i="4"/>
  <c r="C399" i="4"/>
  <c r="D399" i="4"/>
  <c r="E399" i="4"/>
  <c r="F399" i="4"/>
  <c r="G399" i="4"/>
  <c r="H399" i="4"/>
  <c r="I399" i="4"/>
  <c r="J399" i="4"/>
  <c r="K399" i="4"/>
  <c r="B400" i="4"/>
  <c r="C400" i="4"/>
  <c r="D400" i="4"/>
  <c r="E400" i="4"/>
  <c r="F400" i="4"/>
  <c r="G400" i="4"/>
  <c r="H400" i="4"/>
  <c r="I400" i="4"/>
  <c r="J400" i="4"/>
  <c r="K400" i="4"/>
  <c r="B401" i="4"/>
  <c r="C401" i="4"/>
  <c r="D401" i="4"/>
  <c r="E401" i="4"/>
  <c r="F401" i="4"/>
  <c r="G401" i="4"/>
  <c r="H401" i="4"/>
  <c r="I401" i="4"/>
  <c r="J401" i="4"/>
  <c r="K401" i="4"/>
  <c r="B402" i="4"/>
  <c r="C402" i="4"/>
  <c r="D402" i="4"/>
  <c r="E402" i="4"/>
  <c r="F402" i="4"/>
  <c r="G402" i="4"/>
  <c r="H402" i="4"/>
  <c r="I402" i="4"/>
  <c r="J402" i="4"/>
  <c r="K402" i="4"/>
  <c r="B403" i="4"/>
  <c r="C403" i="4"/>
  <c r="D403" i="4"/>
  <c r="E403" i="4"/>
  <c r="F403" i="4"/>
  <c r="G403" i="4"/>
  <c r="H403" i="4"/>
  <c r="I403" i="4"/>
  <c r="J403" i="4"/>
  <c r="K403" i="4"/>
  <c r="B404" i="4"/>
  <c r="C404" i="4"/>
  <c r="D404" i="4"/>
  <c r="E404" i="4"/>
  <c r="F404" i="4"/>
  <c r="G404" i="4"/>
  <c r="H404" i="4"/>
  <c r="I404" i="4"/>
  <c r="J404" i="4"/>
  <c r="K404" i="4"/>
  <c r="B405" i="4"/>
  <c r="C405" i="4"/>
  <c r="D405" i="4"/>
  <c r="E405" i="4"/>
  <c r="F405" i="4"/>
  <c r="G405" i="4"/>
  <c r="H405" i="4"/>
  <c r="I405" i="4"/>
  <c r="J405" i="4"/>
  <c r="K405" i="4"/>
  <c r="B406" i="4"/>
  <c r="C406" i="4"/>
  <c r="D406" i="4"/>
  <c r="E406" i="4"/>
  <c r="F406" i="4"/>
  <c r="G406" i="4"/>
  <c r="H406" i="4"/>
  <c r="I406" i="4"/>
  <c r="J406" i="4"/>
  <c r="K406" i="4"/>
  <c r="B407" i="4"/>
  <c r="C407" i="4"/>
  <c r="D407" i="4"/>
  <c r="E407" i="4"/>
  <c r="F407" i="4"/>
  <c r="G407" i="4"/>
  <c r="H407" i="4"/>
  <c r="I407" i="4"/>
  <c r="J407" i="4"/>
  <c r="K407" i="4"/>
  <c r="B408" i="4"/>
  <c r="C408" i="4"/>
  <c r="D408" i="4"/>
  <c r="E408" i="4"/>
  <c r="F408" i="4"/>
  <c r="G408" i="4"/>
  <c r="H408" i="4"/>
  <c r="I408" i="4"/>
  <c r="J408" i="4"/>
  <c r="K408" i="4"/>
  <c r="B409" i="4"/>
  <c r="C409" i="4"/>
  <c r="D409" i="4"/>
  <c r="E409" i="4"/>
  <c r="F409" i="4"/>
  <c r="G409" i="4"/>
  <c r="H409" i="4"/>
  <c r="I409" i="4"/>
  <c r="J409" i="4"/>
  <c r="K409" i="4"/>
  <c r="B410" i="4"/>
  <c r="C410" i="4"/>
  <c r="D410" i="4"/>
  <c r="E410" i="4"/>
  <c r="F410" i="4"/>
  <c r="G410" i="4"/>
  <c r="H410" i="4"/>
  <c r="I410" i="4"/>
  <c r="J410" i="4"/>
  <c r="K410" i="4"/>
  <c r="B411" i="4"/>
  <c r="C411" i="4"/>
  <c r="D411" i="4"/>
  <c r="E411" i="4"/>
  <c r="F411" i="4"/>
  <c r="G411" i="4"/>
  <c r="H411" i="4"/>
  <c r="I411" i="4"/>
  <c r="J411" i="4"/>
  <c r="K411" i="4"/>
  <c r="B412" i="4"/>
  <c r="C412" i="4"/>
  <c r="D412" i="4"/>
  <c r="E412" i="4"/>
  <c r="F412" i="4"/>
  <c r="G412" i="4"/>
  <c r="H412" i="4"/>
  <c r="I412" i="4"/>
  <c r="J412" i="4"/>
  <c r="K412" i="4"/>
  <c r="B413" i="4"/>
  <c r="C413" i="4"/>
  <c r="D413" i="4"/>
  <c r="E413" i="4"/>
  <c r="F413" i="4"/>
  <c r="G413" i="4"/>
  <c r="H413" i="4"/>
  <c r="I413" i="4"/>
  <c r="J413" i="4"/>
  <c r="K413" i="4"/>
  <c r="B414" i="4"/>
  <c r="C414" i="4"/>
  <c r="D414" i="4"/>
  <c r="E414" i="4"/>
  <c r="F414" i="4"/>
  <c r="G414" i="4"/>
  <c r="H414" i="4"/>
  <c r="I414" i="4"/>
  <c r="J414" i="4"/>
  <c r="K414" i="4"/>
  <c r="B415" i="4"/>
  <c r="C415" i="4"/>
  <c r="D415" i="4"/>
  <c r="E415" i="4"/>
  <c r="F415" i="4"/>
  <c r="G415" i="4"/>
  <c r="H415" i="4"/>
  <c r="I415" i="4"/>
  <c r="J415" i="4"/>
  <c r="K415" i="4"/>
  <c r="B416" i="4"/>
  <c r="C416" i="4"/>
  <c r="D416" i="4"/>
  <c r="E416" i="4"/>
  <c r="F416" i="4"/>
  <c r="G416" i="4"/>
  <c r="H416" i="4"/>
  <c r="I416" i="4"/>
  <c r="J416" i="4"/>
  <c r="K416" i="4"/>
  <c r="B417" i="4"/>
  <c r="C417" i="4"/>
  <c r="D417" i="4"/>
  <c r="E417" i="4"/>
  <c r="F417" i="4"/>
  <c r="G417" i="4"/>
  <c r="H417" i="4"/>
  <c r="I417" i="4"/>
  <c r="J417" i="4"/>
  <c r="K417" i="4"/>
  <c r="B418" i="4"/>
  <c r="C418" i="4"/>
  <c r="D418" i="4"/>
  <c r="E418" i="4"/>
  <c r="F418" i="4"/>
  <c r="G418" i="4"/>
  <c r="H418" i="4"/>
  <c r="I418" i="4"/>
  <c r="J418" i="4"/>
  <c r="K418" i="4"/>
  <c r="B419" i="4"/>
  <c r="C419" i="4"/>
  <c r="D419" i="4"/>
  <c r="E419" i="4"/>
  <c r="F419" i="4"/>
  <c r="G419" i="4"/>
  <c r="H419" i="4"/>
  <c r="I419" i="4"/>
  <c r="J419" i="4"/>
  <c r="K419" i="4"/>
  <c r="B420" i="4"/>
  <c r="C420" i="4"/>
  <c r="D420" i="4"/>
  <c r="E420" i="4"/>
  <c r="F420" i="4"/>
  <c r="G420" i="4"/>
  <c r="H420" i="4"/>
  <c r="I420" i="4"/>
  <c r="J420" i="4"/>
  <c r="K420" i="4"/>
  <c r="B421" i="4"/>
  <c r="C421" i="4"/>
  <c r="D421" i="4"/>
  <c r="E421" i="4"/>
  <c r="F421" i="4"/>
  <c r="G421" i="4"/>
  <c r="H421" i="4"/>
  <c r="I421" i="4"/>
  <c r="J421" i="4"/>
  <c r="K421" i="4"/>
  <c r="B422" i="4"/>
  <c r="C422" i="4"/>
  <c r="D422" i="4"/>
  <c r="E422" i="4"/>
  <c r="F422" i="4"/>
  <c r="G422" i="4"/>
  <c r="H422" i="4"/>
  <c r="I422" i="4"/>
  <c r="J422" i="4"/>
  <c r="K422" i="4"/>
  <c r="B423" i="4"/>
  <c r="C423" i="4"/>
  <c r="D423" i="4"/>
  <c r="E423" i="4"/>
  <c r="F423" i="4"/>
  <c r="G423" i="4"/>
  <c r="H423" i="4"/>
  <c r="I423" i="4"/>
  <c r="J423" i="4"/>
  <c r="K423" i="4"/>
  <c r="B424" i="4"/>
  <c r="C424" i="4"/>
  <c r="D424" i="4"/>
  <c r="E424" i="4"/>
  <c r="F424" i="4"/>
  <c r="G424" i="4"/>
  <c r="H424" i="4"/>
  <c r="I424" i="4"/>
  <c r="J424" i="4"/>
  <c r="K424" i="4"/>
  <c r="B425" i="4"/>
  <c r="C425" i="4"/>
  <c r="D425" i="4"/>
  <c r="E425" i="4"/>
  <c r="F425" i="4"/>
  <c r="G425" i="4"/>
  <c r="H425" i="4"/>
  <c r="I425" i="4"/>
  <c r="J425" i="4"/>
  <c r="K425" i="4"/>
  <c r="B426" i="4"/>
  <c r="C426" i="4"/>
  <c r="D426" i="4"/>
  <c r="E426" i="4"/>
  <c r="F426" i="4"/>
  <c r="G426" i="4"/>
  <c r="H426" i="4"/>
  <c r="I426" i="4"/>
  <c r="J426" i="4"/>
  <c r="K426" i="4"/>
  <c r="B427" i="4"/>
  <c r="C427" i="4"/>
  <c r="D427" i="4"/>
  <c r="E427" i="4"/>
  <c r="F427" i="4"/>
  <c r="G427" i="4"/>
  <c r="H427" i="4"/>
  <c r="I427" i="4"/>
  <c r="J427" i="4"/>
  <c r="K427" i="4"/>
  <c r="B428" i="4"/>
  <c r="C428" i="4"/>
  <c r="D428" i="4"/>
  <c r="E428" i="4"/>
  <c r="F428" i="4"/>
  <c r="G428" i="4"/>
  <c r="H428" i="4"/>
  <c r="I428" i="4"/>
  <c r="J428" i="4"/>
  <c r="K428" i="4"/>
  <c r="B429" i="4"/>
  <c r="C429" i="4"/>
  <c r="D429" i="4"/>
  <c r="E429" i="4"/>
  <c r="F429" i="4"/>
  <c r="G429" i="4"/>
  <c r="H429" i="4"/>
  <c r="I429" i="4"/>
  <c r="J429" i="4"/>
  <c r="K429" i="4"/>
  <c r="B430" i="4"/>
  <c r="C430" i="4"/>
  <c r="D430" i="4"/>
  <c r="E430" i="4"/>
  <c r="F430" i="4"/>
  <c r="G430" i="4"/>
  <c r="H430" i="4"/>
  <c r="I430" i="4"/>
  <c r="J430" i="4"/>
  <c r="K430" i="4"/>
  <c r="B431" i="4"/>
  <c r="C431" i="4"/>
  <c r="D431" i="4"/>
  <c r="E431" i="4"/>
  <c r="F431" i="4"/>
  <c r="G431" i="4"/>
  <c r="H431" i="4"/>
  <c r="I431" i="4"/>
  <c r="J431" i="4"/>
  <c r="K431" i="4"/>
  <c r="B432" i="4"/>
  <c r="C432" i="4"/>
  <c r="D432" i="4"/>
  <c r="E432" i="4"/>
  <c r="F432" i="4"/>
  <c r="G432" i="4"/>
  <c r="H432" i="4"/>
  <c r="I432" i="4"/>
  <c r="J432" i="4"/>
  <c r="K432" i="4"/>
  <c r="B433" i="4"/>
  <c r="C433" i="4"/>
  <c r="D433" i="4"/>
  <c r="E433" i="4"/>
  <c r="F433" i="4"/>
  <c r="G433" i="4"/>
  <c r="H433" i="4"/>
  <c r="I433" i="4"/>
  <c r="J433" i="4"/>
  <c r="K433" i="4"/>
  <c r="B434" i="4"/>
  <c r="C434" i="4"/>
  <c r="D434" i="4"/>
  <c r="E434" i="4"/>
  <c r="F434" i="4"/>
  <c r="G434" i="4"/>
  <c r="H434" i="4"/>
  <c r="I434" i="4"/>
  <c r="J434" i="4"/>
  <c r="K434" i="4"/>
  <c r="B435" i="4"/>
  <c r="C435" i="4"/>
  <c r="D435" i="4"/>
  <c r="E435" i="4"/>
  <c r="F435" i="4"/>
  <c r="G435" i="4"/>
  <c r="H435" i="4"/>
  <c r="I435" i="4"/>
  <c r="J435" i="4"/>
  <c r="K435" i="4"/>
  <c r="B436" i="4"/>
  <c r="C436" i="4"/>
  <c r="D436" i="4"/>
  <c r="E436" i="4"/>
  <c r="F436" i="4"/>
  <c r="G436" i="4"/>
  <c r="H436" i="4"/>
  <c r="I436" i="4"/>
  <c r="J436" i="4"/>
  <c r="K436" i="4"/>
  <c r="B437" i="4"/>
  <c r="C437" i="4"/>
  <c r="D437" i="4"/>
  <c r="E437" i="4"/>
  <c r="F437" i="4"/>
  <c r="G437" i="4"/>
  <c r="H437" i="4"/>
  <c r="I437" i="4"/>
  <c r="J437" i="4"/>
  <c r="K437" i="4"/>
  <c r="B438" i="4"/>
  <c r="C438" i="4"/>
  <c r="D438" i="4"/>
  <c r="E438" i="4"/>
  <c r="F438" i="4"/>
  <c r="G438" i="4"/>
  <c r="H438" i="4"/>
  <c r="I438" i="4"/>
  <c r="J438" i="4"/>
  <c r="K438" i="4"/>
  <c r="B439" i="4"/>
  <c r="C439" i="4"/>
  <c r="D439" i="4"/>
  <c r="E439" i="4"/>
  <c r="F439" i="4"/>
  <c r="G439" i="4"/>
  <c r="H439" i="4"/>
  <c r="I439" i="4"/>
  <c r="J439" i="4"/>
  <c r="K439" i="4"/>
  <c r="B440" i="4"/>
  <c r="C440" i="4"/>
  <c r="D440" i="4"/>
  <c r="E440" i="4"/>
  <c r="F440" i="4"/>
  <c r="G440" i="4"/>
  <c r="H440" i="4"/>
  <c r="I440" i="4"/>
  <c r="J440" i="4"/>
  <c r="K440" i="4"/>
  <c r="B441" i="4"/>
  <c r="C441" i="4"/>
  <c r="D441" i="4"/>
  <c r="E441" i="4"/>
  <c r="F441" i="4"/>
  <c r="G441" i="4"/>
  <c r="H441" i="4"/>
  <c r="I441" i="4"/>
  <c r="J441" i="4"/>
  <c r="K441" i="4"/>
  <c r="B442" i="4"/>
  <c r="C442" i="4"/>
  <c r="D442" i="4"/>
  <c r="E442" i="4"/>
  <c r="F442" i="4"/>
  <c r="G442" i="4"/>
  <c r="H442" i="4"/>
  <c r="I442" i="4"/>
  <c r="J442" i="4"/>
  <c r="K442" i="4"/>
  <c r="B443" i="4"/>
  <c r="C443" i="4"/>
  <c r="D443" i="4"/>
  <c r="E443" i="4"/>
  <c r="F443" i="4"/>
  <c r="G443" i="4"/>
  <c r="H443" i="4"/>
  <c r="I443" i="4"/>
  <c r="J443" i="4"/>
  <c r="K443" i="4"/>
  <c r="B444" i="4"/>
  <c r="C444" i="4"/>
  <c r="D444" i="4"/>
  <c r="E444" i="4"/>
  <c r="F444" i="4"/>
  <c r="G444" i="4"/>
  <c r="H444" i="4"/>
  <c r="I444" i="4"/>
  <c r="J444" i="4"/>
  <c r="K444" i="4"/>
  <c r="B445" i="4"/>
  <c r="C445" i="4"/>
  <c r="D445" i="4"/>
  <c r="E445" i="4"/>
  <c r="F445" i="4"/>
  <c r="G445" i="4"/>
  <c r="H445" i="4"/>
  <c r="I445" i="4"/>
  <c r="J445" i="4"/>
  <c r="K445" i="4"/>
  <c r="B446" i="4"/>
  <c r="C446" i="4"/>
  <c r="D446" i="4"/>
  <c r="E446" i="4"/>
  <c r="F446" i="4"/>
  <c r="G446" i="4"/>
  <c r="H446" i="4"/>
  <c r="I446" i="4"/>
  <c r="J446" i="4"/>
  <c r="K446" i="4"/>
  <c r="B447" i="4"/>
  <c r="C447" i="4"/>
  <c r="D447" i="4"/>
  <c r="E447" i="4"/>
  <c r="F447" i="4"/>
  <c r="G447" i="4"/>
  <c r="H447" i="4"/>
  <c r="I447" i="4"/>
  <c r="J447" i="4"/>
  <c r="K447" i="4"/>
  <c r="B448" i="4"/>
  <c r="C448" i="4"/>
  <c r="D448" i="4"/>
  <c r="E448" i="4"/>
  <c r="F448" i="4"/>
  <c r="G448" i="4"/>
  <c r="H448" i="4"/>
  <c r="I448" i="4"/>
  <c r="J448" i="4"/>
  <c r="K448" i="4"/>
  <c r="B449" i="4"/>
  <c r="C449" i="4"/>
  <c r="D449" i="4"/>
  <c r="E449" i="4"/>
  <c r="F449" i="4"/>
  <c r="G449" i="4"/>
  <c r="H449" i="4"/>
  <c r="I449" i="4"/>
  <c r="J449" i="4"/>
  <c r="K449" i="4"/>
  <c r="B450" i="4"/>
  <c r="C450" i="4"/>
  <c r="D450" i="4"/>
  <c r="E450" i="4"/>
  <c r="F450" i="4"/>
  <c r="G450" i="4"/>
  <c r="H450" i="4"/>
  <c r="I450" i="4"/>
  <c r="J450" i="4"/>
  <c r="K450" i="4"/>
  <c r="B451" i="4"/>
  <c r="C451" i="4"/>
  <c r="D451" i="4"/>
  <c r="E451" i="4"/>
  <c r="F451" i="4"/>
  <c r="G451" i="4"/>
  <c r="H451" i="4"/>
  <c r="I451" i="4"/>
  <c r="J451" i="4"/>
  <c r="K451" i="4"/>
  <c r="B452" i="4"/>
  <c r="C452" i="4"/>
  <c r="D452" i="4"/>
  <c r="E452" i="4"/>
  <c r="F452" i="4"/>
  <c r="G452" i="4"/>
  <c r="H452" i="4"/>
  <c r="I452" i="4"/>
  <c r="J452" i="4"/>
  <c r="K452" i="4"/>
  <c r="B453" i="4"/>
  <c r="C453" i="4"/>
  <c r="D453" i="4"/>
  <c r="E453" i="4"/>
  <c r="F453" i="4"/>
  <c r="G453" i="4"/>
  <c r="H453" i="4"/>
  <c r="I453" i="4"/>
  <c r="J453" i="4"/>
  <c r="K453" i="4"/>
  <c r="B454" i="4"/>
  <c r="C454" i="4"/>
  <c r="D454" i="4"/>
  <c r="E454" i="4"/>
  <c r="F454" i="4"/>
  <c r="G454" i="4"/>
  <c r="H454" i="4"/>
  <c r="I454" i="4"/>
  <c r="J454" i="4"/>
  <c r="K454" i="4"/>
  <c r="B455" i="4"/>
  <c r="C455" i="4"/>
  <c r="D455" i="4"/>
  <c r="E455" i="4"/>
  <c r="F455" i="4"/>
  <c r="G455" i="4"/>
  <c r="H455" i="4"/>
  <c r="I455" i="4"/>
  <c r="J455" i="4"/>
  <c r="K455" i="4"/>
  <c r="B456" i="4"/>
  <c r="C456" i="4"/>
  <c r="D456" i="4"/>
  <c r="E456" i="4"/>
  <c r="F456" i="4"/>
  <c r="G456" i="4"/>
  <c r="H456" i="4"/>
  <c r="I456" i="4"/>
  <c r="J456" i="4"/>
  <c r="K456" i="4"/>
  <c r="B457" i="4"/>
  <c r="C457" i="4"/>
  <c r="D457" i="4"/>
  <c r="E457" i="4"/>
  <c r="F457" i="4"/>
  <c r="G457" i="4"/>
  <c r="H457" i="4"/>
  <c r="I457" i="4"/>
  <c r="J457" i="4"/>
  <c r="K457" i="4"/>
  <c r="B458" i="4"/>
  <c r="C458" i="4"/>
  <c r="D458" i="4"/>
  <c r="E458" i="4"/>
  <c r="F458" i="4"/>
  <c r="G458" i="4"/>
  <c r="H458" i="4"/>
  <c r="I458" i="4"/>
  <c r="J458" i="4"/>
  <c r="K458" i="4"/>
  <c r="B459" i="4"/>
  <c r="C459" i="4"/>
  <c r="D459" i="4"/>
  <c r="E459" i="4"/>
  <c r="F459" i="4"/>
  <c r="G459" i="4"/>
  <c r="H459" i="4"/>
  <c r="I459" i="4"/>
  <c r="J459" i="4"/>
  <c r="K459" i="4"/>
  <c r="B460" i="4"/>
  <c r="C460" i="4"/>
  <c r="D460" i="4"/>
  <c r="E460" i="4"/>
  <c r="F460" i="4"/>
  <c r="G460" i="4"/>
  <c r="H460" i="4"/>
  <c r="I460" i="4"/>
  <c r="J460" i="4"/>
  <c r="K460" i="4"/>
  <c r="B461" i="4"/>
  <c r="C461" i="4"/>
  <c r="D461" i="4"/>
  <c r="E461" i="4"/>
  <c r="F461" i="4"/>
  <c r="G461" i="4"/>
  <c r="H461" i="4"/>
  <c r="I461" i="4"/>
  <c r="J461" i="4"/>
  <c r="K461" i="4"/>
  <c r="B462" i="4"/>
  <c r="C462" i="4"/>
  <c r="D462" i="4"/>
  <c r="E462" i="4"/>
  <c r="F462" i="4"/>
  <c r="G462" i="4"/>
  <c r="H462" i="4"/>
  <c r="I462" i="4"/>
  <c r="J462" i="4"/>
  <c r="K462" i="4"/>
  <c r="B463" i="4"/>
  <c r="C463" i="4"/>
  <c r="D463" i="4"/>
  <c r="E463" i="4"/>
  <c r="F463" i="4"/>
  <c r="G463" i="4"/>
  <c r="H463" i="4"/>
  <c r="I463" i="4"/>
  <c r="J463" i="4"/>
  <c r="K463" i="4"/>
  <c r="B464" i="4"/>
  <c r="C464" i="4"/>
  <c r="D464" i="4"/>
  <c r="E464" i="4"/>
  <c r="F464" i="4"/>
  <c r="G464" i="4"/>
  <c r="H464" i="4"/>
  <c r="I464" i="4"/>
  <c r="J464" i="4"/>
  <c r="K464" i="4"/>
  <c r="B465" i="4"/>
  <c r="C465" i="4"/>
  <c r="D465" i="4"/>
  <c r="E465" i="4"/>
  <c r="F465" i="4"/>
  <c r="G465" i="4"/>
  <c r="H465" i="4"/>
  <c r="I465" i="4"/>
  <c r="J465" i="4"/>
  <c r="K465" i="4"/>
  <c r="B466" i="4"/>
  <c r="C466" i="4"/>
  <c r="D466" i="4"/>
  <c r="E466" i="4"/>
  <c r="F466" i="4"/>
  <c r="G466" i="4"/>
  <c r="H466" i="4"/>
  <c r="I466" i="4"/>
  <c r="J466" i="4"/>
  <c r="K466" i="4"/>
  <c r="B467" i="4"/>
  <c r="C467" i="4"/>
  <c r="D467" i="4"/>
  <c r="E467" i="4"/>
  <c r="F467" i="4"/>
  <c r="G467" i="4"/>
  <c r="H467" i="4"/>
  <c r="I467" i="4"/>
  <c r="J467" i="4"/>
  <c r="K467" i="4"/>
  <c r="B468" i="4"/>
  <c r="C468" i="4"/>
  <c r="D468" i="4"/>
  <c r="E468" i="4"/>
  <c r="F468" i="4"/>
  <c r="G468" i="4"/>
  <c r="H468" i="4"/>
  <c r="I468" i="4"/>
  <c r="J468" i="4"/>
  <c r="K468" i="4"/>
  <c r="B469" i="4"/>
  <c r="C469" i="4"/>
  <c r="D469" i="4"/>
  <c r="E469" i="4"/>
  <c r="F469" i="4"/>
  <c r="G469" i="4"/>
  <c r="H469" i="4"/>
  <c r="I469" i="4"/>
  <c r="J469" i="4"/>
  <c r="K469" i="4"/>
  <c r="B470" i="4"/>
  <c r="C470" i="4"/>
  <c r="D470" i="4"/>
  <c r="E470" i="4"/>
  <c r="F470" i="4"/>
  <c r="G470" i="4"/>
  <c r="H470" i="4"/>
  <c r="I470" i="4"/>
  <c r="J470" i="4"/>
  <c r="K470" i="4"/>
  <c r="B471" i="4"/>
  <c r="C471" i="4"/>
  <c r="D471" i="4"/>
  <c r="E471" i="4"/>
  <c r="F471" i="4"/>
  <c r="G471" i="4"/>
  <c r="H471" i="4"/>
  <c r="I471" i="4"/>
  <c r="J471" i="4"/>
  <c r="K471" i="4"/>
  <c r="B472" i="4"/>
  <c r="C472" i="4"/>
  <c r="D472" i="4"/>
  <c r="E472" i="4"/>
  <c r="F472" i="4"/>
  <c r="G472" i="4"/>
  <c r="H472" i="4"/>
  <c r="I472" i="4"/>
  <c r="J472" i="4"/>
  <c r="K472" i="4"/>
  <c r="B473" i="4"/>
  <c r="C473" i="4"/>
  <c r="D473" i="4"/>
  <c r="E473" i="4"/>
  <c r="F473" i="4"/>
  <c r="G473" i="4"/>
  <c r="H473" i="4"/>
  <c r="I473" i="4"/>
  <c r="J473" i="4"/>
  <c r="K473" i="4"/>
  <c r="B474" i="4"/>
  <c r="C474" i="4"/>
  <c r="D474" i="4"/>
  <c r="E474" i="4"/>
  <c r="F474" i="4"/>
  <c r="G474" i="4"/>
  <c r="H474" i="4"/>
  <c r="I474" i="4"/>
  <c r="J474" i="4"/>
  <c r="K474" i="4"/>
  <c r="B475" i="4"/>
  <c r="C475" i="4"/>
  <c r="D475" i="4"/>
  <c r="E475" i="4"/>
  <c r="F475" i="4"/>
  <c r="G475" i="4"/>
  <c r="H475" i="4"/>
  <c r="I475" i="4"/>
  <c r="J475" i="4"/>
  <c r="K475" i="4"/>
  <c r="B476" i="4"/>
  <c r="C476" i="4"/>
  <c r="D476" i="4"/>
  <c r="E476" i="4"/>
  <c r="F476" i="4"/>
  <c r="G476" i="4"/>
  <c r="H476" i="4"/>
  <c r="I476" i="4"/>
  <c r="J476" i="4"/>
  <c r="K476" i="4"/>
  <c r="B477" i="4"/>
  <c r="C477" i="4"/>
  <c r="D477" i="4"/>
  <c r="E477" i="4"/>
  <c r="F477" i="4"/>
  <c r="G477" i="4"/>
  <c r="H477" i="4"/>
  <c r="I477" i="4"/>
  <c r="J477" i="4"/>
  <c r="K477" i="4"/>
  <c r="B478" i="4"/>
  <c r="C478" i="4"/>
  <c r="D478" i="4"/>
  <c r="E478" i="4"/>
  <c r="F478" i="4"/>
  <c r="G478" i="4"/>
  <c r="H478" i="4"/>
  <c r="I478" i="4"/>
  <c r="J478" i="4"/>
  <c r="K478" i="4"/>
  <c r="B479" i="4"/>
  <c r="C479" i="4"/>
  <c r="D479" i="4"/>
  <c r="E479" i="4"/>
  <c r="F479" i="4"/>
  <c r="G479" i="4"/>
  <c r="H479" i="4"/>
  <c r="I479" i="4"/>
  <c r="J479" i="4"/>
  <c r="K479" i="4"/>
  <c r="B480" i="4"/>
  <c r="C480" i="4"/>
  <c r="D480" i="4"/>
  <c r="E480" i="4"/>
  <c r="F480" i="4"/>
  <c r="G480" i="4"/>
  <c r="H480" i="4"/>
  <c r="I480" i="4"/>
  <c r="J480" i="4"/>
  <c r="K480" i="4"/>
  <c r="B481" i="4"/>
  <c r="C481" i="4"/>
  <c r="D481" i="4"/>
  <c r="E481" i="4"/>
  <c r="F481" i="4"/>
  <c r="G481" i="4"/>
  <c r="H481" i="4"/>
  <c r="I481" i="4"/>
  <c r="J481" i="4"/>
  <c r="K481" i="4"/>
  <c r="B482" i="4"/>
  <c r="C482" i="4"/>
  <c r="D482" i="4"/>
  <c r="E482" i="4"/>
  <c r="F482" i="4"/>
  <c r="G482" i="4"/>
  <c r="H482" i="4"/>
  <c r="I482" i="4"/>
  <c r="J482" i="4"/>
  <c r="K482" i="4"/>
  <c r="B483" i="4"/>
  <c r="C483" i="4"/>
  <c r="D483" i="4"/>
  <c r="E483" i="4"/>
  <c r="F483" i="4"/>
  <c r="G483" i="4"/>
  <c r="H483" i="4"/>
  <c r="I483" i="4"/>
  <c r="J483" i="4"/>
  <c r="K483" i="4"/>
  <c r="B484" i="4"/>
  <c r="C484" i="4"/>
  <c r="D484" i="4"/>
  <c r="E484" i="4"/>
  <c r="F484" i="4"/>
  <c r="G484" i="4"/>
  <c r="H484" i="4"/>
  <c r="I484" i="4"/>
  <c r="J484" i="4"/>
  <c r="K484" i="4"/>
  <c r="B485" i="4"/>
  <c r="C485" i="4"/>
  <c r="D485" i="4"/>
  <c r="E485" i="4"/>
  <c r="F485" i="4"/>
  <c r="G485" i="4"/>
  <c r="H485" i="4"/>
  <c r="I485" i="4"/>
  <c r="J485" i="4"/>
  <c r="K485" i="4"/>
  <c r="B486" i="4"/>
  <c r="C486" i="4"/>
  <c r="D486" i="4"/>
  <c r="E486" i="4"/>
  <c r="F486" i="4"/>
  <c r="G486" i="4"/>
  <c r="H486" i="4"/>
  <c r="I486" i="4"/>
  <c r="J486" i="4"/>
  <c r="K486" i="4"/>
  <c r="B487" i="4"/>
  <c r="C487" i="4"/>
  <c r="D487" i="4"/>
  <c r="E487" i="4"/>
  <c r="F487" i="4"/>
  <c r="G487" i="4"/>
  <c r="H487" i="4"/>
  <c r="I487" i="4"/>
  <c r="J487" i="4"/>
  <c r="K487" i="4"/>
  <c r="B488" i="4"/>
  <c r="C488" i="4"/>
  <c r="D488" i="4"/>
  <c r="E488" i="4"/>
  <c r="F488" i="4"/>
  <c r="G488" i="4"/>
  <c r="H488" i="4"/>
  <c r="I488" i="4"/>
  <c r="J488" i="4"/>
  <c r="K488" i="4"/>
  <c r="B489" i="4"/>
  <c r="C489" i="4"/>
  <c r="D489" i="4"/>
  <c r="E489" i="4"/>
  <c r="F489" i="4"/>
  <c r="G489" i="4"/>
  <c r="H489" i="4"/>
  <c r="I489" i="4"/>
  <c r="J489" i="4"/>
  <c r="K489" i="4"/>
  <c r="B490" i="4"/>
  <c r="C490" i="4"/>
  <c r="D490" i="4"/>
  <c r="E490" i="4"/>
  <c r="F490" i="4"/>
  <c r="G490" i="4"/>
  <c r="H490" i="4"/>
  <c r="I490" i="4"/>
  <c r="J490" i="4"/>
  <c r="K490" i="4"/>
  <c r="B491" i="4"/>
  <c r="C491" i="4"/>
  <c r="D491" i="4"/>
  <c r="E491" i="4"/>
  <c r="F491" i="4"/>
  <c r="G491" i="4"/>
  <c r="H491" i="4"/>
  <c r="I491" i="4"/>
  <c r="J491" i="4"/>
  <c r="K491" i="4"/>
  <c r="B492" i="4"/>
  <c r="C492" i="4"/>
  <c r="D492" i="4"/>
  <c r="E492" i="4"/>
  <c r="F492" i="4"/>
  <c r="G492" i="4"/>
  <c r="H492" i="4"/>
  <c r="I492" i="4"/>
  <c r="J492" i="4"/>
  <c r="K492" i="4"/>
  <c r="B493" i="4"/>
  <c r="C493" i="4"/>
  <c r="D493" i="4"/>
  <c r="E493" i="4"/>
  <c r="F493" i="4"/>
  <c r="G493" i="4"/>
  <c r="H493" i="4"/>
  <c r="I493" i="4"/>
  <c r="J493" i="4"/>
  <c r="K493" i="4"/>
  <c r="B494" i="4"/>
  <c r="C494" i="4"/>
  <c r="D494" i="4"/>
  <c r="E494" i="4"/>
  <c r="F494" i="4"/>
  <c r="G494" i="4"/>
  <c r="H494" i="4"/>
  <c r="I494" i="4"/>
  <c r="J494" i="4"/>
  <c r="K494" i="4"/>
  <c r="B495" i="4"/>
  <c r="C495" i="4"/>
  <c r="D495" i="4"/>
  <c r="E495" i="4"/>
  <c r="F495" i="4"/>
  <c r="G495" i="4"/>
  <c r="H495" i="4"/>
  <c r="I495" i="4"/>
  <c r="J495" i="4"/>
  <c r="K495" i="4"/>
  <c r="B496" i="4"/>
  <c r="C496" i="4"/>
  <c r="D496" i="4"/>
  <c r="E496" i="4"/>
  <c r="F496" i="4"/>
  <c r="G496" i="4"/>
  <c r="H496" i="4"/>
  <c r="I496" i="4"/>
  <c r="J496" i="4"/>
  <c r="K496" i="4"/>
  <c r="B497" i="4"/>
  <c r="C497" i="4"/>
  <c r="D497" i="4"/>
  <c r="E497" i="4"/>
  <c r="F497" i="4"/>
  <c r="G497" i="4"/>
  <c r="H497" i="4"/>
  <c r="I497" i="4"/>
  <c r="J497" i="4"/>
  <c r="K497" i="4"/>
  <c r="B498" i="4"/>
  <c r="C498" i="4"/>
  <c r="D498" i="4"/>
  <c r="E498" i="4"/>
  <c r="F498" i="4"/>
  <c r="G498" i="4"/>
  <c r="H498" i="4"/>
  <c r="I498" i="4"/>
  <c r="J498" i="4"/>
  <c r="K498" i="4"/>
  <c r="B499" i="4"/>
  <c r="C499" i="4"/>
  <c r="D499" i="4"/>
  <c r="E499" i="4"/>
  <c r="F499" i="4"/>
  <c r="G499" i="4"/>
  <c r="H499" i="4"/>
  <c r="I499" i="4"/>
  <c r="J499" i="4"/>
  <c r="K499" i="4"/>
  <c r="B500" i="4"/>
  <c r="C500" i="4"/>
  <c r="D500" i="4"/>
  <c r="E500" i="4"/>
  <c r="F500" i="4"/>
  <c r="G500" i="4"/>
  <c r="H500" i="4"/>
  <c r="I500" i="4"/>
  <c r="J500" i="4"/>
  <c r="K500" i="4"/>
  <c r="B501" i="4"/>
  <c r="C501" i="4"/>
  <c r="D501" i="4"/>
  <c r="E501" i="4"/>
  <c r="F501" i="4"/>
  <c r="G501" i="4"/>
  <c r="H501" i="4"/>
  <c r="I501" i="4"/>
  <c r="J501" i="4"/>
  <c r="K501" i="4"/>
  <c r="B502" i="4"/>
  <c r="C502" i="4"/>
  <c r="D502" i="4"/>
  <c r="E502" i="4"/>
  <c r="F502" i="4"/>
  <c r="G502" i="4"/>
  <c r="H502" i="4"/>
  <c r="I502" i="4"/>
  <c r="J502" i="4"/>
  <c r="K502" i="4"/>
  <c r="B503" i="4"/>
  <c r="C503" i="4"/>
  <c r="D503" i="4"/>
  <c r="E503" i="4"/>
  <c r="F503" i="4"/>
  <c r="G503" i="4"/>
  <c r="H503" i="4"/>
  <c r="I503" i="4"/>
  <c r="J503" i="4"/>
  <c r="K503" i="4"/>
  <c r="B504" i="4"/>
  <c r="C504" i="4"/>
  <c r="D504" i="4"/>
  <c r="E504" i="4"/>
  <c r="F504" i="4"/>
  <c r="G504" i="4"/>
  <c r="H504" i="4"/>
  <c r="I504" i="4"/>
  <c r="J504" i="4"/>
  <c r="K504" i="4"/>
  <c r="B505" i="4"/>
  <c r="C505" i="4"/>
  <c r="D505" i="4"/>
  <c r="E505" i="4"/>
  <c r="F505" i="4"/>
  <c r="G505" i="4"/>
  <c r="H505" i="4"/>
  <c r="I505" i="4"/>
  <c r="J505" i="4"/>
  <c r="K505" i="4"/>
  <c r="B506" i="4"/>
  <c r="C506" i="4"/>
  <c r="D506" i="4"/>
  <c r="E506" i="4"/>
  <c r="F506" i="4"/>
  <c r="G506" i="4"/>
  <c r="H506" i="4"/>
  <c r="I506" i="4"/>
  <c r="J506" i="4"/>
  <c r="K506" i="4"/>
  <c r="B507" i="4"/>
  <c r="C507" i="4"/>
  <c r="D507" i="4"/>
  <c r="E507" i="4"/>
  <c r="F507" i="4"/>
  <c r="G507" i="4"/>
  <c r="H507" i="4"/>
  <c r="I507" i="4"/>
  <c r="J507" i="4"/>
  <c r="K507" i="4"/>
  <c r="B508" i="4"/>
  <c r="C508" i="4"/>
  <c r="D508" i="4"/>
  <c r="E508" i="4"/>
  <c r="F508" i="4"/>
  <c r="G508" i="4"/>
  <c r="H508" i="4"/>
  <c r="I508" i="4"/>
  <c r="J508" i="4"/>
  <c r="K508" i="4"/>
  <c r="B509" i="4"/>
  <c r="C509" i="4"/>
  <c r="D509" i="4"/>
  <c r="E509" i="4"/>
  <c r="F509" i="4"/>
  <c r="G509" i="4"/>
  <c r="H509" i="4"/>
  <c r="I509" i="4"/>
  <c r="J509" i="4"/>
  <c r="K509" i="4"/>
  <c r="B510" i="4"/>
  <c r="C510" i="4"/>
  <c r="D510" i="4"/>
  <c r="E510" i="4"/>
  <c r="F510" i="4"/>
  <c r="G510" i="4"/>
  <c r="H510" i="4"/>
  <c r="I510" i="4"/>
  <c r="J510" i="4"/>
  <c r="K510" i="4"/>
  <c r="B511" i="4"/>
  <c r="C511" i="4"/>
  <c r="D511" i="4"/>
  <c r="E511" i="4"/>
  <c r="F511" i="4"/>
  <c r="G511" i="4"/>
  <c r="H511" i="4"/>
  <c r="I511" i="4"/>
  <c r="J511" i="4"/>
  <c r="K511" i="4"/>
  <c r="B512" i="4"/>
  <c r="C512" i="4"/>
  <c r="D512" i="4"/>
  <c r="E512" i="4"/>
  <c r="F512" i="4"/>
  <c r="G512" i="4"/>
  <c r="H512" i="4"/>
  <c r="I512" i="4"/>
  <c r="J512" i="4"/>
  <c r="K512" i="4"/>
  <c r="B513" i="4"/>
  <c r="C513" i="4"/>
  <c r="D513" i="4"/>
  <c r="E513" i="4"/>
  <c r="F513" i="4"/>
  <c r="G513" i="4"/>
  <c r="H513" i="4"/>
  <c r="I513" i="4"/>
  <c r="J513" i="4"/>
  <c r="K513" i="4"/>
  <c r="B514" i="4"/>
  <c r="C514" i="4"/>
  <c r="D514" i="4"/>
  <c r="E514" i="4"/>
  <c r="F514" i="4"/>
  <c r="G514" i="4"/>
  <c r="H514" i="4"/>
  <c r="I514" i="4"/>
  <c r="J514" i="4"/>
  <c r="K514" i="4"/>
  <c r="B515" i="4"/>
  <c r="C515" i="4"/>
  <c r="D515" i="4"/>
  <c r="E515" i="4"/>
  <c r="F515" i="4"/>
  <c r="G515" i="4"/>
  <c r="H515" i="4"/>
  <c r="I515" i="4"/>
  <c r="J515" i="4"/>
  <c r="K515" i="4"/>
  <c r="B516" i="4"/>
  <c r="C516" i="4"/>
  <c r="D516" i="4"/>
  <c r="E516" i="4"/>
  <c r="F516" i="4"/>
  <c r="G516" i="4"/>
  <c r="H516" i="4"/>
  <c r="I516" i="4"/>
  <c r="J516" i="4"/>
  <c r="K516" i="4"/>
  <c r="B517" i="4"/>
  <c r="C517" i="4"/>
  <c r="D517" i="4"/>
  <c r="E517" i="4"/>
  <c r="F517" i="4"/>
  <c r="G517" i="4"/>
  <c r="H517" i="4"/>
  <c r="I517" i="4"/>
  <c r="J517" i="4"/>
  <c r="K517" i="4"/>
  <c r="B518" i="4"/>
  <c r="C518" i="4"/>
  <c r="D518" i="4"/>
  <c r="E518" i="4"/>
  <c r="F518" i="4"/>
  <c r="G518" i="4"/>
  <c r="H518" i="4"/>
  <c r="I518" i="4"/>
  <c r="J518" i="4"/>
  <c r="K518" i="4"/>
  <c r="B519" i="4"/>
  <c r="C519" i="4"/>
  <c r="D519" i="4"/>
  <c r="E519" i="4"/>
  <c r="F519" i="4"/>
  <c r="G519" i="4"/>
  <c r="H519" i="4"/>
  <c r="I519" i="4"/>
  <c r="J519" i="4"/>
  <c r="K519" i="4"/>
  <c r="B520" i="4"/>
  <c r="C520" i="4"/>
  <c r="D520" i="4"/>
  <c r="E520" i="4"/>
  <c r="F520" i="4"/>
  <c r="G520" i="4"/>
  <c r="H520" i="4"/>
  <c r="I520" i="4"/>
  <c r="J520" i="4"/>
  <c r="K520" i="4"/>
  <c r="B521" i="4"/>
  <c r="C521" i="4"/>
  <c r="D521" i="4"/>
  <c r="E521" i="4"/>
  <c r="F521" i="4"/>
  <c r="G521" i="4"/>
  <c r="H521" i="4"/>
  <c r="I521" i="4"/>
  <c r="J521" i="4"/>
  <c r="K521" i="4"/>
  <c r="B522" i="4"/>
  <c r="C522" i="4"/>
  <c r="D522" i="4"/>
  <c r="E522" i="4"/>
  <c r="F522" i="4"/>
  <c r="G522" i="4"/>
  <c r="H522" i="4"/>
  <c r="I522" i="4"/>
  <c r="J522" i="4"/>
  <c r="K522" i="4"/>
  <c r="B523" i="4"/>
  <c r="C523" i="4"/>
  <c r="D523" i="4"/>
  <c r="E523" i="4"/>
  <c r="F523" i="4"/>
  <c r="G523" i="4"/>
  <c r="H523" i="4"/>
  <c r="I523" i="4"/>
  <c r="J523" i="4"/>
  <c r="K523" i="4"/>
  <c r="B524" i="4"/>
  <c r="C524" i="4"/>
  <c r="D524" i="4"/>
  <c r="E524" i="4"/>
  <c r="F524" i="4"/>
  <c r="G524" i="4"/>
  <c r="H524" i="4"/>
  <c r="I524" i="4"/>
  <c r="J524" i="4"/>
  <c r="K524" i="4"/>
  <c r="B525" i="4"/>
  <c r="C525" i="4"/>
  <c r="D525" i="4"/>
  <c r="E525" i="4"/>
  <c r="F525" i="4"/>
  <c r="G525" i="4"/>
  <c r="H525" i="4"/>
  <c r="I525" i="4"/>
  <c r="J525" i="4"/>
  <c r="K525" i="4"/>
  <c r="B526" i="4"/>
  <c r="C526" i="4"/>
  <c r="D526" i="4"/>
  <c r="E526" i="4"/>
  <c r="F526" i="4"/>
  <c r="G526" i="4"/>
  <c r="H526" i="4"/>
  <c r="I526" i="4"/>
  <c r="J526" i="4"/>
  <c r="K526" i="4"/>
  <c r="B527" i="4"/>
  <c r="C527" i="4"/>
  <c r="D527" i="4"/>
  <c r="E527" i="4"/>
  <c r="F527" i="4"/>
  <c r="G527" i="4"/>
  <c r="H527" i="4"/>
  <c r="I527" i="4"/>
  <c r="J527" i="4"/>
  <c r="K527" i="4"/>
  <c r="B528" i="4"/>
  <c r="C528" i="4"/>
  <c r="D528" i="4"/>
  <c r="E528" i="4"/>
  <c r="F528" i="4"/>
  <c r="G528" i="4"/>
  <c r="H528" i="4"/>
  <c r="I528" i="4"/>
  <c r="J528" i="4"/>
  <c r="K528" i="4"/>
  <c r="B529" i="4"/>
  <c r="C529" i="4"/>
  <c r="D529" i="4"/>
  <c r="E529" i="4"/>
  <c r="F529" i="4"/>
  <c r="G529" i="4"/>
  <c r="H529" i="4"/>
  <c r="I529" i="4"/>
  <c r="J529" i="4"/>
  <c r="K529" i="4"/>
  <c r="B530" i="4"/>
  <c r="C530" i="4"/>
  <c r="D530" i="4"/>
  <c r="E530" i="4"/>
  <c r="F530" i="4"/>
  <c r="G530" i="4"/>
  <c r="H530" i="4"/>
  <c r="I530" i="4"/>
  <c r="J530" i="4"/>
  <c r="K530" i="4"/>
  <c r="B531" i="4"/>
  <c r="C531" i="4"/>
  <c r="D531" i="4"/>
  <c r="E531" i="4"/>
  <c r="F531" i="4"/>
  <c r="G531" i="4"/>
  <c r="H531" i="4"/>
  <c r="I531" i="4"/>
  <c r="J531" i="4"/>
  <c r="K531" i="4"/>
  <c r="B532" i="4"/>
  <c r="C532" i="4"/>
  <c r="D532" i="4"/>
  <c r="E532" i="4"/>
  <c r="F532" i="4"/>
  <c r="G532" i="4"/>
  <c r="H532" i="4"/>
  <c r="I532" i="4"/>
  <c r="J532" i="4"/>
  <c r="K532" i="4"/>
  <c r="B533" i="4"/>
  <c r="C533" i="4"/>
  <c r="D533" i="4"/>
  <c r="E533" i="4"/>
  <c r="F533" i="4"/>
  <c r="G533" i="4"/>
  <c r="H533" i="4"/>
  <c r="I533" i="4"/>
  <c r="J533" i="4"/>
  <c r="K533" i="4"/>
  <c r="B534" i="4"/>
  <c r="C534" i="4"/>
  <c r="D534" i="4"/>
  <c r="E534" i="4"/>
  <c r="F534" i="4"/>
  <c r="G534" i="4"/>
  <c r="H534" i="4"/>
  <c r="I534" i="4"/>
  <c r="J534" i="4"/>
  <c r="K534" i="4"/>
  <c r="B535" i="4"/>
  <c r="C535" i="4"/>
  <c r="D535" i="4"/>
  <c r="E535" i="4"/>
  <c r="F535" i="4"/>
  <c r="G535" i="4"/>
  <c r="H535" i="4"/>
  <c r="I535" i="4"/>
  <c r="J535" i="4"/>
  <c r="K535" i="4"/>
  <c r="B536" i="4"/>
  <c r="C536" i="4"/>
  <c r="D536" i="4"/>
  <c r="E536" i="4"/>
  <c r="F536" i="4"/>
  <c r="G536" i="4"/>
  <c r="H536" i="4"/>
  <c r="I536" i="4"/>
  <c r="J536" i="4"/>
  <c r="K536" i="4"/>
  <c r="B537" i="4"/>
  <c r="C537" i="4"/>
  <c r="D537" i="4"/>
  <c r="E537" i="4"/>
  <c r="F537" i="4"/>
  <c r="G537" i="4"/>
  <c r="H537" i="4"/>
  <c r="I537" i="4"/>
  <c r="J537" i="4"/>
  <c r="K537" i="4"/>
  <c r="B538" i="4"/>
  <c r="C538" i="4"/>
  <c r="D538" i="4"/>
  <c r="E538" i="4"/>
  <c r="F538" i="4"/>
  <c r="G538" i="4"/>
  <c r="H538" i="4"/>
  <c r="I538" i="4"/>
  <c r="J538" i="4"/>
  <c r="K538" i="4"/>
  <c r="B539" i="4"/>
  <c r="C539" i="4"/>
  <c r="D539" i="4"/>
  <c r="E539" i="4"/>
  <c r="F539" i="4"/>
  <c r="G539" i="4"/>
  <c r="H539" i="4"/>
  <c r="I539" i="4"/>
  <c r="J539" i="4"/>
  <c r="K539" i="4"/>
  <c r="B540" i="4"/>
  <c r="C540" i="4"/>
  <c r="D540" i="4"/>
  <c r="E540" i="4"/>
  <c r="F540" i="4"/>
  <c r="G540" i="4"/>
  <c r="H540" i="4"/>
  <c r="I540" i="4"/>
  <c r="J540" i="4"/>
  <c r="K540" i="4"/>
  <c r="B541" i="4"/>
  <c r="C541" i="4"/>
  <c r="D541" i="4"/>
  <c r="E541" i="4"/>
  <c r="F541" i="4"/>
  <c r="G541" i="4"/>
  <c r="H541" i="4"/>
  <c r="I541" i="4"/>
  <c r="J541" i="4"/>
  <c r="K541" i="4"/>
  <c r="B542" i="4"/>
  <c r="C542" i="4"/>
  <c r="D542" i="4"/>
  <c r="E542" i="4"/>
  <c r="F542" i="4"/>
  <c r="G542" i="4"/>
  <c r="H542" i="4"/>
  <c r="I542" i="4"/>
  <c r="J542" i="4"/>
  <c r="K542" i="4"/>
  <c r="B543" i="4"/>
  <c r="C543" i="4"/>
  <c r="D543" i="4"/>
  <c r="E543" i="4"/>
  <c r="F543" i="4"/>
  <c r="G543" i="4"/>
  <c r="H543" i="4"/>
  <c r="I543" i="4"/>
  <c r="J543" i="4"/>
  <c r="K543" i="4"/>
  <c r="B544" i="4"/>
  <c r="C544" i="4"/>
  <c r="D544" i="4"/>
  <c r="E544" i="4"/>
  <c r="F544" i="4"/>
  <c r="G544" i="4"/>
  <c r="H544" i="4"/>
  <c r="I544" i="4"/>
  <c r="J544" i="4"/>
  <c r="K544" i="4"/>
  <c r="B545" i="4"/>
  <c r="C545" i="4"/>
  <c r="D545" i="4"/>
  <c r="E545" i="4"/>
  <c r="F545" i="4"/>
  <c r="G545" i="4"/>
  <c r="H545" i="4"/>
  <c r="I545" i="4"/>
  <c r="J545" i="4"/>
  <c r="K545" i="4"/>
  <c r="B546" i="4"/>
  <c r="C546" i="4"/>
  <c r="D546" i="4"/>
  <c r="E546" i="4"/>
  <c r="F546" i="4"/>
  <c r="G546" i="4"/>
  <c r="H546" i="4"/>
  <c r="I546" i="4"/>
  <c r="J546" i="4"/>
  <c r="K546" i="4"/>
  <c r="B547" i="4"/>
  <c r="C547" i="4"/>
  <c r="D547" i="4"/>
  <c r="E547" i="4"/>
  <c r="F547" i="4"/>
  <c r="G547" i="4"/>
  <c r="H547" i="4"/>
  <c r="I547" i="4"/>
  <c r="J547" i="4"/>
  <c r="K547" i="4"/>
  <c r="B548" i="4"/>
  <c r="C548" i="4"/>
  <c r="D548" i="4"/>
  <c r="E548" i="4"/>
  <c r="F548" i="4"/>
  <c r="G548" i="4"/>
  <c r="H548" i="4"/>
  <c r="I548" i="4"/>
  <c r="J548" i="4"/>
  <c r="K548" i="4"/>
  <c r="B549" i="4"/>
  <c r="C549" i="4"/>
  <c r="D549" i="4"/>
  <c r="E549" i="4"/>
  <c r="F549" i="4"/>
  <c r="G549" i="4"/>
  <c r="H549" i="4"/>
  <c r="I549" i="4"/>
  <c r="J549" i="4"/>
  <c r="K549" i="4"/>
  <c r="B550" i="4"/>
  <c r="C550" i="4"/>
  <c r="D550" i="4"/>
  <c r="E550" i="4"/>
  <c r="F550" i="4"/>
  <c r="G550" i="4"/>
  <c r="H550" i="4"/>
  <c r="I550" i="4"/>
  <c r="J550" i="4"/>
  <c r="K550" i="4"/>
  <c r="B551" i="4"/>
  <c r="C551" i="4"/>
  <c r="D551" i="4"/>
  <c r="E551" i="4"/>
  <c r="F551" i="4"/>
  <c r="G551" i="4"/>
  <c r="H551" i="4"/>
  <c r="I551" i="4"/>
  <c r="J551" i="4"/>
  <c r="K551" i="4"/>
  <c r="B552" i="4"/>
  <c r="C552" i="4"/>
  <c r="D552" i="4"/>
  <c r="E552" i="4"/>
  <c r="F552" i="4"/>
  <c r="G552" i="4"/>
  <c r="H552" i="4"/>
  <c r="I552" i="4"/>
  <c r="J552" i="4"/>
  <c r="K552" i="4"/>
  <c r="B553" i="4"/>
  <c r="C553" i="4"/>
  <c r="D553" i="4"/>
  <c r="E553" i="4"/>
  <c r="F553" i="4"/>
  <c r="G553" i="4"/>
  <c r="H553" i="4"/>
  <c r="I553" i="4"/>
  <c r="J553" i="4"/>
  <c r="K553" i="4"/>
  <c r="B554" i="4"/>
  <c r="C554" i="4"/>
  <c r="D554" i="4"/>
  <c r="E554" i="4"/>
  <c r="F554" i="4"/>
  <c r="G554" i="4"/>
  <c r="H554" i="4"/>
  <c r="I554" i="4"/>
  <c r="J554" i="4"/>
  <c r="K554" i="4"/>
  <c r="B555" i="4"/>
  <c r="C555" i="4"/>
  <c r="D555" i="4"/>
  <c r="E555" i="4"/>
  <c r="F555" i="4"/>
  <c r="G555" i="4"/>
  <c r="H555" i="4"/>
  <c r="I555" i="4"/>
  <c r="J555" i="4"/>
  <c r="K555" i="4"/>
  <c r="B556" i="4"/>
  <c r="C556" i="4"/>
  <c r="D556" i="4"/>
  <c r="E556" i="4"/>
  <c r="F556" i="4"/>
  <c r="G556" i="4"/>
  <c r="H556" i="4"/>
  <c r="I556" i="4"/>
  <c r="J556" i="4"/>
  <c r="K556" i="4"/>
  <c r="B557" i="4"/>
  <c r="C557" i="4"/>
  <c r="D557" i="4"/>
  <c r="E557" i="4"/>
  <c r="F557" i="4"/>
  <c r="G557" i="4"/>
  <c r="H557" i="4"/>
  <c r="I557" i="4"/>
  <c r="J557" i="4"/>
  <c r="K557" i="4"/>
  <c r="B558" i="4"/>
  <c r="C558" i="4"/>
  <c r="D558" i="4"/>
  <c r="E558" i="4"/>
  <c r="F558" i="4"/>
  <c r="G558" i="4"/>
  <c r="H558" i="4"/>
  <c r="I558" i="4"/>
  <c r="J558" i="4"/>
  <c r="K558" i="4"/>
  <c r="B559" i="4"/>
  <c r="C559" i="4"/>
  <c r="D559" i="4"/>
  <c r="E559" i="4"/>
  <c r="F559" i="4"/>
  <c r="G559" i="4"/>
  <c r="H559" i="4"/>
  <c r="I559" i="4"/>
  <c r="J559" i="4"/>
  <c r="K559" i="4"/>
  <c r="B560" i="4"/>
  <c r="C560" i="4"/>
  <c r="D560" i="4"/>
  <c r="E560" i="4"/>
  <c r="F560" i="4"/>
  <c r="G560" i="4"/>
  <c r="H560" i="4"/>
  <c r="I560" i="4"/>
  <c r="J560" i="4"/>
  <c r="K560" i="4"/>
  <c r="B561" i="4"/>
  <c r="C561" i="4"/>
  <c r="D561" i="4"/>
  <c r="E561" i="4"/>
  <c r="F561" i="4"/>
  <c r="G561" i="4"/>
  <c r="H561" i="4"/>
  <c r="I561" i="4"/>
  <c r="J561" i="4"/>
  <c r="K561" i="4"/>
  <c r="B562" i="4"/>
  <c r="C562" i="4"/>
  <c r="D562" i="4"/>
  <c r="E562" i="4"/>
  <c r="F562" i="4"/>
  <c r="G562" i="4"/>
  <c r="H562" i="4"/>
  <c r="I562" i="4"/>
  <c r="J562" i="4"/>
  <c r="K562" i="4"/>
  <c r="B563" i="4"/>
  <c r="C563" i="4"/>
  <c r="D563" i="4"/>
  <c r="E563" i="4"/>
  <c r="F563" i="4"/>
  <c r="G563" i="4"/>
  <c r="H563" i="4"/>
  <c r="I563" i="4"/>
  <c r="J563" i="4"/>
  <c r="K563" i="4"/>
  <c r="B564" i="4"/>
  <c r="C564" i="4"/>
  <c r="D564" i="4"/>
  <c r="E564" i="4"/>
  <c r="F564" i="4"/>
  <c r="G564" i="4"/>
  <c r="H564" i="4"/>
  <c r="I564" i="4"/>
  <c r="J564" i="4"/>
  <c r="K564" i="4"/>
  <c r="B565" i="4"/>
  <c r="C565" i="4"/>
  <c r="D565" i="4"/>
  <c r="E565" i="4"/>
  <c r="F565" i="4"/>
  <c r="G565" i="4"/>
  <c r="H565" i="4"/>
  <c r="I565" i="4"/>
  <c r="J565" i="4"/>
  <c r="K565" i="4"/>
  <c r="B566" i="4"/>
  <c r="C566" i="4"/>
  <c r="D566" i="4"/>
  <c r="E566" i="4"/>
  <c r="F566" i="4"/>
  <c r="G566" i="4"/>
  <c r="H566" i="4"/>
  <c r="I566" i="4"/>
  <c r="J566" i="4"/>
  <c r="K566" i="4"/>
  <c r="B567" i="4"/>
  <c r="C567" i="4"/>
  <c r="D567" i="4"/>
  <c r="E567" i="4"/>
  <c r="F567" i="4"/>
  <c r="G567" i="4"/>
  <c r="H567" i="4"/>
  <c r="I567" i="4"/>
  <c r="J567" i="4"/>
  <c r="K567" i="4"/>
  <c r="B568" i="4"/>
  <c r="C568" i="4"/>
  <c r="D568" i="4"/>
  <c r="E568" i="4"/>
  <c r="F568" i="4"/>
  <c r="G568" i="4"/>
  <c r="H568" i="4"/>
  <c r="I568" i="4"/>
  <c r="J568" i="4"/>
  <c r="K568" i="4"/>
  <c r="B569" i="4"/>
  <c r="C569" i="4"/>
  <c r="D569" i="4"/>
  <c r="E569" i="4"/>
  <c r="F569" i="4"/>
  <c r="G569" i="4"/>
  <c r="H569" i="4"/>
  <c r="I569" i="4"/>
  <c r="J569" i="4"/>
  <c r="K569" i="4"/>
  <c r="B570" i="4"/>
  <c r="C570" i="4"/>
  <c r="D570" i="4"/>
  <c r="E570" i="4"/>
  <c r="F570" i="4"/>
  <c r="G570" i="4"/>
  <c r="H570" i="4"/>
  <c r="I570" i="4"/>
  <c r="J570" i="4"/>
  <c r="K570" i="4"/>
  <c r="B571" i="4"/>
  <c r="C571" i="4"/>
  <c r="D571" i="4"/>
  <c r="E571" i="4"/>
  <c r="F571" i="4"/>
  <c r="G571" i="4"/>
  <c r="H571" i="4"/>
  <c r="I571" i="4"/>
  <c r="J571" i="4"/>
  <c r="K571" i="4"/>
  <c r="B572" i="4"/>
  <c r="C572" i="4"/>
  <c r="D572" i="4"/>
  <c r="E572" i="4"/>
  <c r="F572" i="4"/>
  <c r="G572" i="4"/>
  <c r="H572" i="4"/>
  <c r="I572" i="4"/>
  <c r="J572" i="4"/>
  <c r="K572" i="4"/>
  <c r="B573" i="4"/>
  <c r="C573" i="4"/>
  <c r="D573" i="4"/>
  <c r="E573" i="4"/>
  <c r="F573" i="4"/>
  <c r="G573" i="4"/>
  <c r="H573" i="4"/>
  <c r="I573" i="4"/>
  <c r="J573" i="4"/>
  <c r="K573" i="4"/>
  <c r="B574" i="4"/>
  <c r="C574" i="4"/>
  <c r="D574" i="4"/>
  <c r="E574" i="4"/>
  <c r="F574" i="4"/>
  <c r="G574" i="4"/>
  <c r="H574" i="4"/>
  <c r="I574" i="4"/>
  <c r="J574" i="4"/>
  <c r="K574" i="4"/>
  <c r="B575" i="4"/>
  <c r="C575" i="4"/>
  <c r="D575" i="4"/>
  <c r="E575" i="4"/>
  <c r="F575" i="4"/>
  <c r="G575" i="4"/>
  <c r="H575" i="4"/>
  <c r="I575" i="4"/>
  <c r="J575" i="4"/>
  <c r="K575" i="4"/>
  <c r="B576" i="4"/>
  <c r="C576" i="4"/>
  <c r="D576" i="4"/>
  <c r="E576" i="4"/>
  <c r="F576" i="4"/>
  <c r="G576" i="4"/>
  <c r="H576" i="4"/>
  <c r="I576" i="4"/>
  <c r="J576" i="4"/>
  <c r="K576" i="4"/>
  <c r="B577" i="4"/>
  <c r="C577" i="4"/>
  <c r="D577" i="4"/>
  <c r="E577" i="4"/>
  <c r="F577" i="4"/>
  <c r="G577" i="4"/>
  <c r="H577" i="4"/>
  <c r="I577" i="4"/>
  <c r="J577" i="4"/>
  <c r="K577" i="4"/>
  <c r="B578" i="4"/>
  <c r="C578" i="4"/>
  <c r="D578" i="4"/>
  <c r="E578" i="4"/>
  <c r="F578" i="4"/>
  <c r="G578" i="4"/>
  <c r="H578" i="4"/>
  <c r="I578" i="4"/>
  <c r="J578" i="4"/>
  <c r="K578" i="4"/>
  <c r="B579" i="4"/>
  <c r="C579" i="4"/>
  <c r="D579" i="4"/>
  <c r="E579" i="4"/>
  <c r="F579" i="4"/>
  <c r="G579" i="4"/>
  <c r="H579" i="4"/>
  <c r="I579" i="4"/>
  <c r="J579" i="4"/>
  <c r="K579" i="4"/>
  <c r="B580" i="4"/>
  <c r="C580" i="4"/>
  <c r="D580" i="4"/>
  <c r="E580" i="4"/>
  <c r="F580" i="4"/>
  <c r="G580" i="4"/>
  <c r="H580" i="4"/>
  <c r="I580" i="4"/>
  <c r="J580" i="4"/>
  <c r="K580" i="4"/>
  <c r="B581" i="4"/>
  <c r="C581" i="4"/>
  <c r="D581" i="4"/>
  <c r="E581" i="4"/>
  <c r="F581" i="4"/>
  <c r="G581" i="4"/>
  <c r="H581" i="4"/>
  <c r="I581" i="4"/>
  <c r="J581" i="4"/>
  <c r="K581" i="4"/>
  <c r="B582" i="4"/>
  <c r="C582" i="4"/>
  <c r="D582" i="4"/>
  <c r="E582" i="4"/>
  <c r="F582" i="4"/>
  <c r="G582" i="4"/>
  <c r="H582" i="4"/>
  <c r="I582" i="4"/>
  <c r="J582" i="4"/>
  <c r="K582" i="4"/>
  <c r="B583" i="4"/>
  <c r="C583" i="4"/>
  <c r="D583" i="4"/>
  <c r="E583" i="4"/>
  <c r="F583" i="4"/>
  <c r="G583" i="4"/>
  <c r="H583" i="4"/>
  <c r="I583" i="4"/>
  <c r="J583" i="4"/>
  <c r="K583" i="4"/>
  <c r="B584" i="4"/>
  <c r="C584" i="4"/>
  <c r="D584" i="4"/>
  <c r="E584" i="4"/>
  <c r="F584" i="4"/>
  <c r="G584" i="4"/>
  <c r="H584" i="4"/>
  <c r="I584" i="4"/>
  <c r="J584" i="4"/>
  <c r="K584" i="4"/>
  <c r="B585" i="4"/>
  <c r="C585" i="4"/>
  <c r="D585" i="4"/>
  <c r="E585" i="4"/>
  <c r="F585" i="4"/>
  <c r="G585" i="4"/>
  <c r="H585" i="4"/>
  <c r="I585" i="4"/>
  <c r="J585" i="4"/>
  <c r="K585" i="4"/>
  <c r="B586" i="4"/>
  <c r="C586" i="4"/>
  <c r="D586" i="4"/>
  <c r="E586" i="4"/>
  <c r="F586" i="4"/>
  <c r="G586" i="4"/>
  <c r="H586" i="4"/>
  <c r="I586" i="4"/>
  <c r="J586" i="4"/>
  <c r="K586" i="4"/>
  <c r="B587" i="4"/>
  <c r="C587" i="4"/>
  <c r="D587" i="4"/>
  <c r="E587" i="4"/>
  <c r="F587" i="4"/>
  <c r="G587" i="4"/>
  <c r="H587" i="4"/>
  <c r="I587" i="4"/>
  <c r="J587" i="4"/>
  <c r="K587" i="4"/>
  <c r="B588" i="4"/>
  <c r="C588" i="4"/>
  <c r="D588" i="4"/>
  <c r="E588" i="4"/>
  <c r="F588" i="4"/>
  <c r="G588" i="4"/>
  <c r="H588" i="4"/>
  <c r="I588" i="4"/>
  <c r="J588" i="4"/>
  <c r="K588" i="4"/>
  <c r="B589" i="4"/>
  <c r="C589" i="4"/>
  <c r="D589" i="4"/>
  <c r="E589" i="4"/>
  <c r="F589" i="4"/>
  <c r="G589" i="4"/>
  <c r="H589" i="4"/>
  <c r="I589" i="4"/>
  <c r="J589" i="4"/>
  <c r="K589" i="4"/>
  <c r="B590" i="4"/>
  <c r="C590" i="4"/>
  <c r="D590" i="4"/>
  <c r="E590" i="4"/>
  <c r="F590" i="4"/>
  <c r="G590" i="4"/>
  <c r="H590" i="4"/>
  <c r="I590" i="4"/>
  <c r="J590" i="4"/>
  <c r="K590" i="4"/>
  <c r="B591" i="4"/>
  <c r="C591" i="4"/>
  <c r="D591" i="4"/>
  <c r="E591" i="4"/>
  <c r="F591" i="4"/>
  <c r="G591" i="4"/>
  <c r="H591" i="4"/>
  <c r="I591" i="4"/>
  <c r="J591" i="4"/>
  <c r="K591" i="4"/>
  <c r="B592" i="4"/>
  <c r="C592" i="4"/>
  <c r="D592" i="4"/>
  <c r="E592" i="4"/>
  <c r="F592" i="4"/>
  <c r="G592" i="4"/>
  <c r="H592" i="4"/>
  <c r="I592" i="4"/>
  <c r="J592" i="4"/>
  <c r="K592" i="4"/>
  <c r="B593" i="4"/>
  <c r="C593" i="4"/>
  <c r="D593" i="4"/>
  <c r="E593" i="4"/>
  <c r="F593" i="4"/>
  <c r="G593" i="4"/>
  <c r="H593" i="4"/>
  <c r="I593" i="4"/>
  <c r="J593" i="4"/>
  <c r="K593" i="4"/>
  <c r="B594" i="4"/>
  <c r="C594" i="4"/>
  <c r="D594" i="4"/>
  <c r="E594" i="4"/>
  <c r="F594" i="4"/>
  <c r="G594" i="4"/>
  <c r="H594" i="4"/>
  <c r="I594" i="4"/>
  <c r="J594" i="4"/>
  <c r="K594" i="4"/>
  <c r="B595" i="4"/>
  <c r="C595" i="4"/>
  <c r="D595" i="4"/>
  <c r="E595" i="4"/>
  <c r="F595" i="4"/>
  <c r="G595" i="4"/>
  <c r="H595" i="4"/>
  <c r="I595" i="4"/>
  <c r="J595" i="4"/>
  <c r="K595" i="4"/>
  <c r="B596" i="4"/>
  <c r="C596" i="4"/>
  <c r="D596" i="4"/>
  <c r="E596" i="4"/>
  <c r="F596" i="4"/>
  <c r="G596" i="4"/>
  <c r="H596" i="4"/>
  <c r="I596" i="4"/>
  <c r="J596" i="4"/>
  <c r="K596" i="4"/>
  <c r="B597" i="4"/>
  <c r="C597" i="4"/>
  <c r="D597" i="4"/>
  <c r="E597" i="4"/>
  <c r="F597" i="4"/>
  <c r="G597" i="4"/>
  <c r="H597" i="4"/>
  <c r="I597" i="4"/>
  <c r="J597" i="4"/>
  <c r="K597" i="4"/>
  <c r="B598" i="4"/>
  <c r="C598" i="4"/>
  <c r="D598" i="4"/>
  <c r="E598" i="4"/>
  <c r="F598" i="4"/>
  <c r="G598" i="4"/>
  <c r="H598" i="4"/>
  <c r="I598" i="4"/>
  <c r="J598" i="4"/>
  <c r="K598" i="4"/>
  <c r="B599" i="4"/>
  <c r="C599" i="4"/>
  <c r="D599" i="4"/>
  <c r="E599" i="4"/>
  <c r="F599" i="4"/>
  <c r="G599" i="4"/>
  <c r="H599" i="4"/>
  <c r="I599" i="4"/>
  <c r="J599" i="4"/>
  <c r="K599" i="4"/>
  <c r="B600" i="4"/>
  <c r="C600" i="4"/>
  <c r="D600" i="4"/>
  <c r="E600" i="4"/>
  <c r="F600" i="4"/>
  <c r="G600" i="4"/>
  <c r="H600" i="4"/>
  <c r="I600" i="4"/>
  <c r="J600" i="4"/>
  <c r="K600" i="4"/>
  <c r="B601" i="4"/>
  <c r="C601" i="4"/>
  <c r="D601" i="4"/>
  <c r="E601" i="4"/>
  <c r="F601" i="4"/>
  <c r="G601" i="4"/>
  <c r="H601" i="4"/>
  <c r="I601" i="4"/>
  <c r="J601" i="4"/>
  <c r="K601" i="4"/>
  <c r="B602" i="4"/>
  <c r="C602" i="4"/>
  <c r="D602" i="4"/>
  <c r="E602" i="4"/>
  <c r="F602" i="4"/>
  <c r="G602" i="4"/>
  <c r="H602" i="4"/>
  <c r="I602" i="4"/>
  <c r="J602" i="4"/>
  <c r="K602" i="4"/>
  <c r="B603" i="4"/>
  <c r="C603" i="4"/>
  <c r="D603" i="4"/>
  <c r="E603" i="4"/>
  <c r="F603" i="4"/>
  <c r="G603" i="4"/>
  <c r="H603" i="4"/>
  <c r="I603" i="4"/>
  <c r="J603" i="4"/>
  <c r="K603" i="4"/>
  <c r="B604" i="4"/>
  <c r="C604" i="4"/>
  <c r="D604" i="4"/>
  <c r="E604" i="4"/>
  <c r="F604" i="4"/>
  <c r="G604" i="4"/>
  <c r="H604" i="4"/>
  <c r="I604" i="4"/>
  <c r="J604" i="4"/>
  <c r="K604" i="4"/>
  <c r="B605" i="4"/>
  <c r="C605" i="4"/>
  <c r="D605" i="4"/>
  <c r="E605" i="4"/>
  <c r="F605" i="4"/>
  <c r="G605" i="4"/>
  <c r="H605" i="4"/>
  <c r="I605" i="4"/>
  <c r="J605" i="4"/>
  <c r="K605" i="4"/>
  <c r="B606" i="4"/>
  <c r="C606" i="4"/>
  <c r="D606" i="4"/>
  <c r="E606" i="4"/>
  <c r="F606" i="4"/>
  <c r="G606" i="4"/>
  <c r="H606" i="4"/>
  <c r="I606" i="4"/>
  <c r="J606" i="4"/>
  <c r="K606" i="4"/>
  <c r="B607" i="4"/>
  <c r="C607" i="4"/>
  <c r="D607" i="4"/>
  <c r="E607" i="4"/>
  <c r="F607" i="4"/>
  <c r="G607" i="4"/>
  <c r="H607" i="4"/>
  <c r="I607" i="4"/>
  <c r="J607" i="4"/>
  <c r="K607" i="4"/>
  <c r="B608" i="4"/>
  <c r="C608" i="4"/>
  <c r="D608" i="4"/>
  <c r="E608" i="4"/>
  <c r="F608" i="4"/>
  <c r="G608" i="4"/>
  <c r="H608" i="4"/>
  <c r="I608" i="4"/>
  <c r="J608" i="4"/>
  <c r="K608" i="4"/>
  <c r="B609" i="4"/>
  <c r="C609" i="4"/>
  <c r="D609" i="4"/>
  <c r="E609" i="4"/>
  <c r="F609" i="4"/>
  <c r="G609" i="4"/>
  <c r="H609" i="4"/>
  <c r="I609" i="4"/>
  <c r="J609" i="4"/>
  <c r="K609" i="4"/>
  <c r="B610" i="4"/>
  <c r="C610" i="4"/>
  <c r="D610" i="4"/>
  <c r="E610" i="4"/>
  <c r="F610" i="4"/>
  <c r="G610" i="4"/>
  <c r="H610" i="4"/>
  <c r="I610" i="4"/>
  <c r="J610" i="4"/>
  <c r="K610" i="4"/>
  <c r="B611" i="4"/>
  <c r="C611" i="4"/>
  <c r="D611" i="4"/>
  <c r="E611" i="4"/>
  <c r="F611" i="4"/>
  <c r="G611" i="4"/>
  <c r="H611" i="4"/>
  <c r="I611" i="4"/>
  <c r="J611" i="4"/>
  <c r="K611" i="4"/>
  <c r="B612" i="4"/>
  <c r="C612" i="4"/>
  <c r="D612" i="4"/>
  <c r="E612" i="4"/>
  <c r="F612" i="4"/>
  <c r="G612" i="4"/>
  <c r="H612" i="4"/>
  <c r="I612" i="4"/>
  <c r="J612" i="4"/>
  <c r="K612" i="4"/>
  <c r="B613" i="4"/>
  <c r="C613" i="4"/>
  <c r="D613" i="4"/>
  <c r="E613" i="4"/>
  <c r="F613" i="4"/>
  <c r="G613" i="4"/>
  <c r="H613" i="4"/>
  <c r="I613" i="4"/>
  <c r="J613" i="4"/>
  <c r="K613" i="4"/>
  <c r="B614" i="4"/>
  <c r="C614" i="4"/>
  <c r="D614" i="4"/>
  <c r="E614" i="4"/>
  <c r="F614" i="4"/>
  <c r="G614" i="4"/>
  <c r="H614" i="4"/>
  <c r="I614" i="4"/>
  <c r="J614" i="4"/>
  <c r="K614" i="4"/>
  <c r="B615" i="4"/>
  <c r="C615" i="4"/>
  <c r="D615" i="4"/>
  <c r="E615" i="4"/>
  <c r="F615" i="4"/>
  <c r="G615" i="4"/>
  <c r="H615" i="4"/>
  <c r="I615" i="4"/>
  <c r="J615" i="4"/>
  <c r="K615" i="4"/>
  <c r="B616" i="4"/>
  <c r="C616" i="4"/>
  <c r="D616" i="4"/>
  <c r="E616" i="4"/>
  <c r="F616" i="4"/>
  <c r="G616" i="4"/>
  <c r="H616" i="4"/>
  <c r="I616" i="4"/>
  <c r="J616" i="4"/>
  <c r="K616" i="4"/>
  <c r="B617" i="4"/>
  <c r="C617" i="4"/>
  <c r="D617" i="4"/>
  <c r="E617" i="4"/>
  <c r="F617" i="4"/>
  <c r="G617" i="4"/>
  <c r="H617" i="4"/>
  <c r="I617" i="4"/>
  <c r="J617" i="4"/>
  <c r="K617" i="4"/>
  <c r="B618" i="4"/>
  <c r="C618" i="4"/>
  <c r="D618" i="4"/>
  <c r="E618" i="4"/>
  <c r="F618" i="4"/>
  <c r="G618" i="4"/>
  <c r="H618" i="4"/>
  <c r="I618" i="4"/>
  <c r="J618" i="4"/>
  <c r="K618" i="4"/>
  <c r="B619" i="4"/>
  <c r="C619" i="4"/>
  <c r="D619" i="4"/>
  <c r="E619" i="4"/>
  <c r="F619" i="4"/>
  <c r="G619" i="4"/>
  <c r="H619" i="4"/>
  <c r="I619" i="4"/>
  <c r="J619" i="4"/>
  <c r="K619" i="4"/>
  <c r="B620" i="4"/>
  <c r="C620" i="4"/>
  <c r="D620" i="4"/>
  <c r="E620" i="4"/>
  <c r="F620" i="4"/>
  <c r="G620" i="4"/>
  <c r="H620" i="4"/>
  <c r="I620" i="4"/>
  <c r="J620" i="4"/>
  <c r="K620" i="4"/>
  <c r="B621" i="4"/>
  <c r="C621" i="4"/>
  <c r="D621" i="4"/>
  <c r="E621" i="4"/>
  <c r="F621" i="4"/>
  <c r="G621" i="4"/>
  <c r="H621" i="4"/>
  <c r="I621" i="4"/>
  <c r="J621" i="4"/>
  <c r="K621" i="4"/>
  <c r="B622" i="4"/>
  <c r="C622" i="4"/>
  <c r="D622" i="4"/>
  <c r="E622" i="4"/>
  <c r="F622" i="4"/>
  <c r="G622" i="4"/>
  <c r="H622" i="4"/>
  <c r="I622" i="4"/>
  <c r="J622" i="4"/>
  <c r="K622" i="4"/>
  <c r="B623" i="4"/>
  <c r="C623" i="4"/>
  <c r="D623" i="4"/>
  <c r="E623" i="4"/>
  <c r="F623" i="4"/>
  <c r="G623" i="4"/>
  <c r="H623" i="4"/>
  <c r="I623" i="4"/>
  <c r="J623" i="4"/>
  <c r="K623" i="4"/>
  <c r="B624" i="4"/>
  <c r="C624" i="4"/>
  <c r="D624" i="4"/>
  <c r="E624" i="4"/>
  <c r="F624" i="4"/>
  <c r="G624" i="4"/>
  <c r="H624" i="4"/>
  <c r="I624" i="4"/>
  <c r="J624" i="4"/>
  <c r="K624" i="4"/>
  <c r="B625" i="4"/>
  <c r="C625" i="4"/>
  <c r="D625" i="4"/>
  <c r="E625" i="4"/>
  <c r="F625" i="4"/>
  <c r="G625" i="4"/>
  <c r="H625" i="4"/>
  <c r="I625" i="4"/>
  <c r="J625" i="4"/>
  <c r="K625" i="4"/>
  <c r="B626" i="4"/>
  <c r="C626" i="4"/>
  <c r="D626" i="4"/>
  <c r="E626" i="4"/>
  <c r="F626" i="4"/>
  <c r="G626" i="4"/>
  <c r="H626" i="4"/>
  <c r="I626" i="4"/>
  <c r="J626" i="4"/>
  <c r="K626" i="4"/>
  <c r="B627" i="4"/>
  <c r="C627" i="4"/>
  <c r="D627" i="4"/>
  <c r="E627" i="4"/>
  <c r="F627" i="4"/>
  <c r="G627" i="4"/>
  <c r="H627" i="4"/>
  <c r="I627" i="4"/>
  <c r="J627" i="4"/>
  <c r="K627" i="4"/>
  <c r="B628" i="4"/>
  <c r="C628" i="4"/>
  <c r="D628" i="4"/>
  <c r="E628" i="4"/>
  <c r="F628" i="4"/>
  <c r="G628" i="4"/>
  <c r="H628" i="4"/>
  <c r="I628" i="4"/>
  <c r="J628" i="4"/>
  <c r="K628" i="4"/>
  <c r="B629" i="4"/>
  <c r="C629" i="4"/>
  <c r="D629" i="4"/>
  <c r="E629" i="4"/>
  <c r="F629" i="4"/>
  <c r="G629" i="4"/>
  <c r="H629" i="4"/>
  <c r="I629" i="4"/>
  <c r="J629" i="4"/>
  <c r="K629" i="4"/>
  <c r="B630" i="4"/>
  <c r="C630" i="4"/>
  <c r="D630" i="4"/>
  <c r="E630" i="4"/>
  <c r="F630" i="4"/>
  <c r="G630" i="4"/>
  <c r="H630" i="4"/>
  <c r="I630" i="4"/>
  <c r="J630" i="4"/>
  <c r="K630" i="4"/>
  <c r="B631" i="4"/>
  <c r="C631" i="4"/>
  <c r="D631" i="4"/>
  <c r="E631" i="4"/>
  <c r="F631" i="4"/>
  <c r="G631" i="4"/>
  <c r="H631" i="4"/>
  <c r="I631" i="4"/>
  <c r="J631" i="4"/>
  <c r="K631" i="4"/>
  <c r="B632" i="4"/>
  <c r="C632" i="4"/>
  <c r="D632" i="4"/>
  <c r="E632" i="4"/>
  <c r="F632" i="4"/>
  <c r="G632" i="4"/>
  <c r="H632" i="4"/>
  <c r="I632" i="4"/>
  <c r="J632" i="4"/>
  <c r="K632" i="4"/>
  <c r="B633" i="4"/>
  <c r="C633" i="4"/>
  <c r="D633" i="4"/>
  <c r="E633" i="4"/>
  <c r="F633" i="4"/>
  <c r="G633" i="4"/>
  <c r="H633" i="4"/>
  <c r="I633" i="4"/>
  <c r="J633" i="4"/>
  <c r="K633" i="4"/>
  <c r="B634" i="4"/>
  <c r="C634" i="4"/>
  <c r="D634" i="4"/>
  <c r="E634" i="4"/>
  <c r="F634" i="4"/>
  <c r="G634" i="4"/>
  <c r="H634" i="4"/>
  <c r="I634" i="4"/>
  <c r="J634" i="4"/>
  <c r="K634" i="4"/>
  <c r="B635" i="4"/>
  <c r="C635" i="4"/>
  <c r="D635" i="4"/>
  <c r="E635" i="4"/>
  <c r="F635" i="4"/>
  <c r="G635" i="4"/>
  <c r="H635" i="4"/>
  <c r="I635" i="4"/>
  <c r="J635" i="4"/>
  <c r="K635" i="4"/>
  <c r="B636" i="4"/>
  <c r="C636" i="4"/>
  <c r="D636" i="4"/>
  <c r="E636" i="4"/>
  <c r="F636" i="4"/>
  <c r="G636" i="4"/>
  <c r="H636" i="4"/>
  <c r="I636" i="4"/>
  <c r="J636" i="4"/>
  <c r="K636" i="4"/>
  <c r="B637" i="4"/>
  <c r="C637" i="4"/>
  <c r="D637" i="4"/>
  <c r="E637" i="4"/>
  <c r="F637" i="4"/>
  <c r="G637" i="4"/>
  <c r="H637" i="4"/>
  <c r="I637" i="4"/>
  <c r="J637" i="4"/>
  <c r="K637" i="4"/>
  <c r="B638" i="4"/>
  <c r="C638" i="4"/>
  <c r="D638" i="4"/>
  <c r="E638" i="4"/>
  <c r="F638" i="4"/>
  <c r="G638" i="4"/>
  <c r="H638" i="4"/>
  <c r="I638" i="4"/>
  <c r="J638" i="4"/>
  <c r="K638" i="4"/>
  <c r="B639" i="4"/>
  <c r="C639" i="4"/>
  <c r="D639" i="4"/>
  <c r="E639" i="4"/>
  <c r="F639" i="4"/>
  <c r="G639" i="4"/>
  <c r="H639" i="4"/>
  <c r="I639" i="4"/>
  <c r="J639" i="4"/>
  <c r="K639" i="4"/>
  <c r="B640" i="4"/>
  <c r="C640" i="4"/>
  <c r="D640" i="4"/>
  <c r="E640" i="4"/>
  <c r="F640" i="4"/>
  <c r="G640" i="4"/>
  <c r="H640" i="4"/>
  <c r="I640" i="4"/>
  <c r="J640" i="4"/>
  <c r="K640" i="4"/>
  <c r="B641" i="4"/>
  <c r="C641" i="4"/>
  <c r="D641" i="4"/>
  <c r="E641" i="4"/>
  <c r="F641" i="4"/>
  <c r="G641" i="4"/>
  <c r="H641" i="4"/>
  <c r="I641" i="4"/>
  <c r="J641" i="4"/>
  <c r="K641" i="4"/>
  <c r="B642" i="4"/>
  <c r="C642" i="4"/>
  <c r="D642" i="4"/>
  <c r="E642" i="4"/>
  <c r="F642" i="4"/>
  <c r="G642" i="4"/>
  <c r="H642" i="4"/>
  <c r="I642" i="4"/>
  <c r="J642" i="4"/>
  <c r="K642" i="4"/>
  <c r="B643" i="4"/>
  <c r="C643" i="4"/>
  <c r="D643" i="4"/>
  <c r="E643" i="4"/>
  <c r="F643" i="4"/>
  <c r="G643" i="4"/>
  <c r="H643" i="4"/>
  <c r="I643" i="4"/>
  <c r="J643" i="4"/>
  <c r="K643" i="4"/>
  <c r="B644" i="4"/>
  <c r="C644" i="4"/>
  <c r="D644" i="4"/>
  <c r="E644" i="4"/>
  <c r="F644" i="4"/>
  <c r="G644" i="4"/>
  <c r="H644" i="4"/>
  <c r="I644" i="4"/>
  <c r="J644" i="4"/>
  <c r="K644" i="4"/>
  <c r="B645" i="4"/>
  <c r="C645" i="4"/>
  <c r="D645" i="4"/>
  <c r="E645" i="4"/>
  <c r="F645" i="4"/>
  <c r="G645" i="4"/>
  <c r="H645" i="4"/>
  <c r="I645" i="4"/>
  <c r="J645" i="4"/>
  <c r="K645" i="4"/>
  <c r="B646" i="4"/>
  <c r="C646" i="4"/>
  <c r="D646" i="4"/>
  <c r="E646" i="4"/>
  <c r="F646" i="4"/>
  <c r="G646" i="4"/>
  <c r="H646" i="4"/>
  <c r="I646" i="4"/>
  <c r="J646" i="4"/>
  <c r="K646" i="4"/>
  <c r="B647" i="4"/>
  <c r="C647" i="4"/>
  <c r="D647" i="4"/>
  <c r="E647" i="4"/>
  <c r="F647" i="4"/>
  <c r="G647" i="4"/>
  <c r="H647" i="4"/>
  <c r="I647" i="4"/>
  <c r="J647" i="4"/>
  <c r="K647" i="4"/>
  <c r="B648" i="4"/>
  <c r="C648" i="4"/>
  <c r="D648" i="4"/>
  <c r="E648" i="4"/>
  <c r="F648" i="4"/>
  <c r="G648" i="4"/>
  <c r="H648" i="4"/>
  <c r="I648" i="4"/>
  <c r="J648" i="4"/>
  <c r="K648" i="4"/>
  <c r="B649" i="4"/>
  <c r="C649" i="4"/>
  <c r="D649" i="4"/>
  <c r="E649" i="4"/>
  <c r="F649" i="4"/>
  <c r="G649" i="4"/>
  <c r="H649" i="4"/>
  <c r="I649" i="4"/>
  <c r="J649" i="4"/>
  <c r="K649" i="4"/>
  <c r="B650" i="4"/>
  <c r="C650" i="4"/>
  <c r="D650" i="4"/>
  <c r="E650" i="4"/>
  <c r="F650" i="4"/>
  <c r="G650" i="4"/>
  <c r="H650" i="4"/>
  <c r="I650" i="4"/>
  <c r="J650" i="4"/>
  <c r="K650" i="4"/>
  <c r="B651" i="4"/>
  <c r="C651" i="4"/>
  <c r="D651" i="4"/>
  <c r="E651" i="4"/>
  <c r="F651" i="4"/>
  <c r="G651" i="4"/>
  <c r="H651" i="4"/>
  <c r="I651" i="4"/>
  <c r="J651" i="4"/>
  <c r="K651" i="4"/>
  <c r="B652" i="4"/>
  <c r="C652" i="4"/>
  <c r="D652" i="4"/>
  <c r="E652" i="4"/>
  <c r="F652" i="4"/>
  <c r="G652" i="4"/>
  <c r="H652" i="4"/>
  <c r="I652" i="4"/>
  <c r="J652" i="4"/>
  <c r="K652" i="4"/>
  <c r="B653" i="4"/>
  <c r="C653" i="4"/>
  <c r="D653" i="4"/>
  <c r="E653" i="4"/>
  <c r="F653" i="4"/>
  <c r="G653" i="4"/>
  <c r="H653" i="4"/>
  <c r="I653" i="4"/>
  <c r="J653" i="4"/>
  <c r="K653" i="4"/>
  <c r="B654" i="4"/>
  <c r="C654" i="4"/>
  <c r="D654" i="4"/>
  <c r="E654" i="4"/>
  <c r="F654" i="4"/>
  <c r="G654" i="4"/>
  <c r="H654" i="4"/>
  <c r="I654" i="4"/>
  <c r="J654" i="4"/>
  <c r="K654" i="4"/>
  <c r="B655" i="4"/>
  <c r="C655" i="4"/>
  <c r="D655" i="4"/>
  <c r="E655" i="4"/>
  <c r="F655" i="4"/>
  <c r="G655" i="4"/>
  <c r="H655" i="4"/>
  <c r="I655" i="4"/>
  <c r="J655" i="4"/>
  <c r="K655" i="4"/>
  <c r="B656" i="4"/>
  <c r="C656" i="4"/>
  <c r="D656" i="4"/>
  <c r="E656" i="4"/>
  <c r="F656" i="4"/>
  <c r="G656" i="4"/>
  <c r="H656" i="4"/>
  <c r="I656" i="4"/>
  <c r="J656" i="4"/>
  <c r="K656" i="4"/>
  <c r="B657" i="4"/>
  <c r="C657" i="4"/>
  <c r="D657" i="4"/>
  <c r="E657" i="4"/>
  <c r="F657" i="4"/>
  <c r="G657" i="4"/>
  <c r="H657" i="4"/>
  <c r="I657" i="4"/>
  <c r="J657" i="4"/>
  <c r="K657" i="4"/>
  <c r="B658" i="4"/>
  <c r="C658" i="4"/>
  <c r="D658" i="4"/>
  <c r="E658" i="4"/>
  <c r="F658" i="4"/>
  <c r="G658" i="4"/>
  <c r="H658" i="4"/>
  <c r="I658" i="4"/>
  <c r="J658" i="4"/>
  <c r="K658" i="4"/>
  <c r="B659" i="4"/>
  <c r="C659" i="4"/>
  <c r="D659" i="4"/>
  <c r="E659" i="4"/>
  <c r="F659" i="4"/>
  <c r="G659" i="4"/>
  <c r="H659" i="4"/>
  <c r="I659" i="4"/>
  <c r="J659" i="4"/>
  <c r="K659" i="4"/>
  <c r="B660" i="4"/>
  <c r="C660" i="4"/>
  <c r="D660" i="4"/>
  <c r="E660" i="4"/>
  <c r="F660" i="4"/>
  <c r="G660" i="4"/>
  <c r="H660" i="4"/>
  <c r="I660" i="4"/>
  <c r="J660" i="4"/>
  <c r="K660" i="4"/>
  <c r="B661" i="4"/>
  <c r="C661" i="4"/>
  <c r="D661" i="4"/>
  <c r="E661" i="4"/>
  <c r="F661" i="4"/>
  <c r="G661" i="4"/>
  <c r="H661" i="4"/>
  <c r="I661" i="4"/>
  <c r="J661" i="4"/>
  <c r="K661" i="4"/>
  <c r="B662" i="4"/>
  <c r="C662" i="4"/>
  <c r="D662" i="4"/>
  <c r="E662" i="4"/>
  <c r="F662" i="4"/>
  <c r="G662" i="4"/>
  <c r="H662" i="4"/>
  <c r="I662" i="4"/>
  <c r="J662" i="4"/>
  <c r="K662" i="4"/>
  <c r="B663" i="4"/>
  <c r="C663" i="4"/>
  <c r="D663" i="4"/>
  <c r="E663" i="4"/>
  <c r="F663" i="4"/>
  <c r="G663" i="4"/>
  <c r="H663" i="4"/>
  <c r="I663" i="4"/>
  <c r="J663" i="4"/>
  <c r="K663" i="4"/>
  <c r="B664" i="4"/>
  <c r="C664" i="4"/>
  <c r="D664" i="4"/>
  <c r="E664" i="4"/>
  <c r="F664" i="4"/>
  <c r="G664" i="4"/>
  <c r="H664" i="4"/>
  <c r="I664" i="4"/>
  <c r="J664" i="4"/>
  <c r="K664" i="4"/>
  <c r="B665" i="4"/>
  <c r="C665" i="4"/>
  <c r="D665" i="4"/>
  <c r="E665" i="4"/>
  <c r="F665" i="4"/>
  <c r="G665" i="4"/>
  <c r="H665" i="4"/>
  <c r="I665" i="4"/>
  <c r="J665" i="4"/>
  <c r="K665" i="4"/>
  <c r="B666" i="4"/>
  <c r="C666" i="4"/>
  <c r="D666" i="4"/>
  <c r="E666" i="4"/>
  <c r="F666" i="4"/>
  <c r="G666" i="4"/>
  <c r="H666" i="4"/>
  <c r="I666" i="4"/>
  <c r="J666" i="4"/>
  <c r="K666" i="4"/>
  <c r="B667" i="4"/>
  <c r="C667" i="4"/>
  <c r="D667" i="4"/>
  <c r="E667" i="4"/>
  <c r="F667" i="4"/>
  <c r="G667" i="4"/>
  <c r="H667" i="4"/>
  <c r="I667" i="4"/>
  <c r="J667" i="4"/>
  <c r="K667" i="4"/>
  <c r="B668" i="4"/>
  <c r="C668" i="4"/>
  <c r="D668" i="4"/>
  <c r="E668" i="4"/>
  <c r="F668" i="4"/>
  <c r="G668" i="4"/>
  <c r="H668" i="4"/>
  <c r="I668" i="4"/>
  <c r="J668" i="4"/>
  <c r="K668" i="4"/>
  <c r="B669" i="4"/>
  <c r="C669" i="4"/>
  <c r="D669" i="4"/>
  <c r="E669" i="4"/>
  <c r="F669" i="4"/>
  <c r="G669" i="4"/>
  <c r="H669" i="4"/>
  <c r="I669" i="4"/>
  <c r="J669" i="4"/>
  <c r="K669" i="4"/>
  <c r="B670" i="4"/>
  <c r="C670" i="4"/>
  <c r="D670" i="4"/>
  <c r="E670" i="4"/>
  <c r="F670" i="4"/>
  <c r="G670" i="4"/>
  <c r="H670" i="4"/>
  <c r="I670" i="4"/>
  <c r="J670" i="4"/>
  <c r="K670" i="4"/>
  <c r="B671" i="4"/>
  <c r="C671" i="4"/>
  <c r="D671" i="4"/>
  <c r="E671" i="4"/>
  <c r="F671" i="4"/>
  <c r="G671" i="4"/>
  <c r="H671" i="4"/>
  <c r="I671" i="4"/>
  <c r="J671" i="4"/>
  <c r="K671" i="4"/>
  <c r="B672" i="4"/>
  <c r="C672" i="4"/>
  <c r="D672" i="4"/>
  <c r="E672" i="4"/>
  <c r="F672" i="4"/>
  <c r="G672" i="4"/>
  <c r="H672" i="4"/>
  <c r="I672" i="4"/>
  <c r="J672" i="4"/>
  <c r="K672" i="4"/>
  <c r="B673" i="4"/>
  <c r="C673" i="4"/>
  <c r="D673" i="4"/>
  <c r="E673" i="4"/>
  <c r="F673" i="4"/>
  <c r="G673" i="4"/>
  <c r="H673" i="4"/>
  <c r="I673" i="4"/>
  <c r="J673" i="4"/>
  <c r="K673" i="4"/>
  <c r="B674" i="4"/>
  <c r="C674" i="4"/>
  <c r="D674" i="4"/>
  <c r="E674" i="4"/>
  <c r="F674" i="4"/>
  <c r="G674" i="4"/>
  <c r="H674" i="4"/>
  <c r="I674" i="4"/>
  <c r="J674" i="4"/>
  <c r="K674" i="4"/>
  <c r="B675" i="4"/>
  <c r="C675" i="4"/>
  <c r="D675" i="4"/>
  <c r="E675" i="4"/>
  <c r="F675" i="4"/>
  <c r="G675" i="4"/>
  <c r="H675" i="4"/>
  <c r="I675" i="4"/>
  <c r="J675" i="4"/>
  <c r="K675" i="4"/>
  <c r="B676" i="4"/>
  <c r="C676" i="4"/>
  <c r="D676" i="4"/>
  <c r="E676" i="4"/>
  <c r="F676" i="4"/>
  <c r="G676" i="4"/>
  <c r="H676" i="4"/>
  <c r="I676" i="4"/>
  <c r="J676" i="4"/>
  <c r="K676" i="4"/>
  <c r="B677" i="4"/>
  <c r="C677" i="4"/>
  <c r="D677" i="4"/>
  <c r="E677" i="4"/>
  <c r="F677" i="4"/>
  <c r="G677" i="4"/>
  <c r="H677" i="4"/>
  <c r="I677" i="4"/>
  <c r="J677" i="4"/>
  <c r="K677" i="4"/>
  <c r="B678" i="4"/>
  <c r="C678" i="4"/>
  <c r="D678" i="4"/>
  <c r="E678" i="4"/>
  <c r="F678" i="4"/>
  <c r="G678" i="4"/>
  <c r="H678" i="4"/>
  <c r="I678" i="4"/>
  <c r="J678" i="4"/>
  <c r="K678" i="4"/>
  <c r="B679" i="4"/>
  <c r="C679" i="4"/>
  <c r="D679" i="4"/>
  <c r="E679" i="4"/>
  <c r="F679" i="4"/>
  <c r="G679" i="4"/>
  <c r="H679" i="4"/>
  <c r="I679" i="4"/>
  <c r="J679" i="4"/>
  <c r="K679" i="4"/>
  <c r="B680" i="4"/>
  <c r="C680" i="4"/>
  <c r="D680" i="4"/>
  <c r="E680" i="4"/>
  <c r="F680" i="4"/>
  <c r="G680" i="4"/>
  <c r="H680" i="4"/>
  <c r="I680" i="4"/>
  <c r="J680" i="4"/>
  <c r="K680" i="4"/>
  <c r="B681" i="4"/>
  <c r="C681" i="4"/>
  <c r="D681" i="4"/>
  <c r="E681" i="4"/>
  <c r="F681" i="4"/>
  <c r="G681" i="4"/>
  <c r="H681" i="4"/>
  <c r="I681" i="4"/>
  <c r="J681" i="4"/>
  <c r="K681" i="4"/>
  <c r="B682" i="4"/>
  <c r="C682" i="4"/>
  <c r="D682" i="4"/>
  <c r="E682" i="4"/>
  <c r="F682" i="4"/>
  <c r="G682" i="4"/>
  <c r="H682" i="4"/>
  <c r="I682" i="4"/>
  <c r="J682" i="4"/>
  <c r="K682" i="4"/>
  <c r="B683" i="4"/>
  <c r="C683" i="4"/>
  <c r="D683" i="4"/>
  <c r="E683" i="4"/>
  <c r="F683" i="4"/>
  <c r="G683" i="4"/>
  <c r="H683" i="4"/>
  <c r="I683" i="4"/>
  <c r="J683" i="4"/>
  <c r="K683" i="4"/>
  <c r="B684" i="4"/>
  <c r="C684" i="4"/>
  <c r="D684" i="4"/>
  <c r="E684" i="4"/>
  <c r="F684" i="4"/>
  <c r="G684" i="4"/>
  <c r="H684" i="4"/>
  <c r="I684" i="4"/>
  <c r="J684" i="4"/>
  <c r="K684" i="4"/>
  <c r="B685" i="4"/>
  <c r="C685" i="4"/>
  <c r="D685" i="4"/>
  <c r="E685" i="4"/>
  <c r="F685" i="4"/>
  <c r="G685" i="4"/>
  <c r="H685" i="4"/>
  <c r="I685" i="4"/>
  <c r="J685" i="4"/>
  <c r="K685" i="4"/>
  <c r="B686" i="4"/>
  <c r="C686" i="4"/>
  <c r="D686" i="4"/>
  <c r="E686" i="4"/>
  <c r="F686" i="4"/>
  <c r="G686" i="4"/>
  <c r="H686" i="4"/>
  <c r="I686" i="4"/>
  <c r="J686" i="4"/>
  <c r="K686" i="4"/>
  <c r="B687" i="4"/>
  <c r="C687" i="4"/>
  <c r="D687" i="4"/>
  <c r="E687" i="4"/>
  <c r="F687" i="4"/>
  <c r="G687" i="4"/>
  <c r="H687" i="4"/>
  <c r="I687" i="4"/>
  <c r="J687" i="4"/>
  <c r="K687" i="4"/>
  <c r="B688" i="4"/>
  <c r="C688" i="4"/>
  <c r="D688" i="4"/>
  <c r="E688" i="4"/>
  <c r="F688" i="4"/>
  <c r="G688" i="4"/>
  <c r="H688" i="4"/>
  <c r="I688" i="4"/>
  <c r="J688" i="4"/>
  <c r="K688" i="4"/>
  <c r="B689" i="4"/>
  <c r="C689" i="4"/>
  <c r="D689" i="4"/>
  <c r="E689" i="4"/>
  <c r="F689" i="4"/>
  <c r="G689" i="4"/>
  <c r="H689" i="4"/>
  <c r="I689" i="4"/>
  <c r="J689" i="4"/>
  <c r="K689" i="4"/>
  <c r="B690" i="4"/>
  <c r="C690" i="4"/>
  <c r="D690" i="4"/>
  <c r="E690" i="4"/>
  <c r="F690" i="4"/>
  <c r="G690" i="4"/>
  <c r="H690" i="4"/>
  <c r="I690" i="4"/>
  <c r="J690" i="4"/>
  <c r="K690" i="4"/>
  <c r="B691" i="4"/>
  <c r="C691" i="4"/>
  <c r="D691" i="4"/>
  <c r="E691" i="4"/>
  <c r="F691" i="4"/>
  <c r="G691" i="4"/>
  <c r="H691" i="4"/>
  <c r="I691" i="4"/>
  <c r="J691" i="4"/>
  <c r="K691" i="4"/>
  <c r="B692" i="4"/>
  <c r="C692" i="4"/>
  <c r="D692" i="4"/>
  <c r="E692" i="4"/>
  <c r="F692" i="4"/>
  <c r="G692" i="4"/>
  <c r="H692" i="4"/>
  <c r="I692" i="4"/>
  <c r="J692" i="4"/>
  <c r="K692" i="4"/>
  <c r="B693" i="4"/>
  <c r="C693" i="4"/>
  <c r="D693" i="4"/>
  <c r="E693" i="4"/>
  <c r="F693" i="4"/>
  <c r="G693" i="4"/>
  <c r="H693" i="4"/>
  <c r="I693" i="4"/>
  <c r="J693" i="4"/>
  <c r="K693" i="4"/>
  <c r="B694" i="4"/>
  <c r="C694" i="4"/>
  <c r="D694" i="4"/>
  <c r="E694" i="4"/>
  <c r="F694" i="4"/>
  <c r="G694" i="4"/>
  <c r="H694" i="4"/>
  <c r="I694" i="4"/>
  <c r="J694" i="4"/>
  <c r="K694" i="4"/>
  <c r="B695" i="4"/>
  <c r="C695" i="4"/>
  <c r="D695" i="4"/>
  <c r="E695" i="4"/>
  <c r="F695" i="4"/>
  <c r="G695" i="4"/>
  <c r="H695" i="4"/>
  <c r="I695" i="4"/>
  <c r="J695" i="4"/>
  <c r="K695" i="4"/>
  <c r="B696" i="4"/>
  <c r="C696" i="4"/>
  <c r="D696" i="4"/>
  <c r="E696" i="4"/>
  <c r="F696" i="4"/>
  <c r="G696" i="4"/>
  <c r="H696" i="4"/>
  <c r="I696" i="4"/>
  <c r="J696" i="4"/>
  <c r="K696" i="4"/>
  <c r="B697" i="4"/>
  <c r="C697" i="4"/>
  <c r="D697" i="4"/>
  <c r="E697" i="4"/>
  <c r="F697" i="4"/>
  <c r="G697" i="4"/>
  <c r="H697" i="4"/>
  <c r="I697" i="4"/>
  <c r="J697" i="4"/>
  <c r="K697" i="4"/>
  <c r="B698" i="4"/>
  <c r="C698" i="4"/>
  <c r="D698" i="4"/>
  <c r="E698" i="4"/>
  <c r="F698" i="4"/>
  <c r="G698" i="4"/>
  <c r="H698" i="4"/>
  <c r="I698" i="4"/>
  <c r="J698" i="4"/>
  <c r="K698" i="4"/>
  <c r="B699" i="4"/>
  <c r="C699" i="4"/>
  <c r="D699" i="4"/>
  <c r="E699" i="4"/>
  <c r="F699" i="4"/>
  <c r="G699" i="4"/>
  <c r="H699" i="4"/>
  <c r="I699" i="4"/>
  <c r="J699" i="4"/>
  <c r="K699" i="4"/>
  <c r="B700" i="4"/>
  <c r="C700" i="4"/>
  <c r="D700" i="4"/>
  <c r="E700" i="4"/>
  <c r="F700" i="4"/>
  <c r="G700" i="4"/>
  <c r="H700" i="4"/>
  <c r="I700" i="4"/>
  <c r="J700" i="4"/>
  <c r="K700" i="4"/>
  <c r="B701" i="4"/>
  <c r="C701" i="4"/>
  <c r="D701" i="4"/>
  <c r="E701" i="4"/>
  <c r="F701" i="4"/>
  <c r="G701" i="4"/>
  <c r="H701" i="4"/>
  <c r="I701" i="4"/>
  <c r="J701" i="4"/>
  <c r="K701" i="4"/>
  <c r="B702" i="4"/>
  <c r="C702" i="4"/>
  <c r="D702" i="4"/>
  <c r="E702" i="4"/>
  <c r="F702" i="4"/>
  <c r="G702" i="4"/>
  <c r="H702" i="4"/>
  <c r="I702" i="4"/>
  <c r="J702" i="4"/>
  <c r="K702" i="4"/>
  <c r="B703" i="4"/>
  <c r="C703" i="4"/>
  <c r="D703" i="4"/>
  <c r="E703" i="4"/>
  <c r="F703" i="4"/>
  <c r="G703" i="4"/>
  <c r="H703" i="4"/>
  <c r="I703" i="4"/>
  <c r="J703" i="4"/>
  <c r="K703" i="4"/>
  <c r="B704" i="4"/>
  <c r="C704" i="4"/>
  <c r="D704" i="4"/>
  <c r="E704" i="4"/>
  <c r="F704" i="4"/>
  <c r="G704" i="4"/>
  <c r="H704" i="4"/>
  <c r="I704" i="4"/>
  <c r="J704" i="4"/>
  <c r="K704" i="4"/>
  <c r="B705" i="4"/>
  <c r="C705" i="4"/>
  <c r="D705" i="4"/>
  <c r="E705" i="4"/>
  <c r="F705" i="4"/>
  <c r="G705" i="4"/>
  <c r="H705" i="4"/>
  <c r="I705" i="4"/>
  <c r="J705" i="4"/>
  <c r="K705" i="4"/>
  <c r="B706" i="4"/>
  <c r="C706" i="4"/>
  <c r="D706" i="4"/>
  <c r="E706" i="4"/>
  <c r="F706" i="4"/>
  <c r="G706" i="4"/>
  <c r="H706" i="4"/>
  <c r="I706" i="4"/>
  <c r="J706" i="4"/>
  <c r="K706" i="4"/>
  <c r="B707" i="4"/>
  <c r="C707" i="4"/>
  <c r="D707" i="4"/>
  <c r="E707" i="4"/>
  <c r="F707" i="4"/>
  <c r="G707" i="4"/>
  <c r="H707" i="4"/>
  <c r="I707" i="4"/>
  <c r="J707" i="4"/>
  <c r="K707" i="4"/>
  <c r="B708" i="4"/>
  <c r="C708" i="4"/>
  <c r="D708" i="4"/>
  <c r="E708" i="4"/>
  <c r="F708" i="4"/>
  <c r="G708" i="4"/>
  <c r="H708" i="4"/>
  <c r="I708" i="4"/>
  <c r="J708" i="4"/>
  <c r="K708" i="4"/>
  <c r="B709" i="4"/>
  <c r="C709" i="4"/>
  <c r="D709" i="4"/>
  <c r="E709" i="4"/>
  <c r="F709" i="4"/>
  <c r="G709" i="4"/>
  <c r="H709" i="4"/>
  <c r="I709" i="4"/>
  <c r="J709" i="4"/>
  <c r="K709" i="4"/>
  <c r="B710" i="4"/>
  <c r="C710" i="4"/>
  <c r="D710" i="4"/>
  <c r="E710" i="4"/>
  <c r="F710" i="4"/>
  <c r="G710" i="4"/>
  <c r="H710" i="4"/>
  <c r="I710" i="4"/>
  <c r="J710" i="4"/>
  <c r="K710" i="4"/>
  <c r="B711" i="4"/>
  <c r="C711" i="4"/>
  <c r="D711" i="4"/>
  <c r="E711" i="4"/>
  <c r="F711" i="4"/>
  <c r="G711" i="4"/>
  <c r="H711" i="4"/>
  <c r="I711" i="4"/>
  <c r="J711" i="4"/>
  <c r="K711" i="4"/>
  <c r="B712" i="4"/>
  <c r="C712" i="4"/>
  <c r="D712" i="4"/>
  <c r="E712" i="4"/>
  <c r="F712" i="4"/>
  <c r="G712" i="4"/>
  <c r="H712" i="4"/>
  <c r="I712" i="4"/>
  <c r="J712" i="4"/>
  <c r="K712" i="4"/>
  <c r="B713" i="4"/>
  <c r="C713" i="4"/>
  <c r="D713" i="4"/>
  <c r="E713" i="4"/>
  <c r="F713" i="4"/>
  <c r="G713" i="4"/>
  <c r="H713" i="4"/>
  <c r="I713" i="4"/>
  <c r="J713" i="4"/>
  <c r="K713" i="4"/>
  <c r="B714" i="4"/>
  <c r="C714" i="4"/>
  <c r="D714" i="4"/>
  <c r="E714" i="4"/>
  <c r="F714" i="4"/>
  <c r="G714" i="4"/>
  <c r="H714" i="4"/>
  <c r="I714" i="4"/>
  <c r="J714" i="4"/>
  <c r="K714" i="4"/>
  <c r="B715" i="4"/>
  <c r="C715" i="4"/>
  <c r="D715" i="4"/>
  <c r="E715" i="4"/>
  <c r="F715" i="4"/>
  <c r="G715" i="4"/>
  <c r="H715" i="4"/>
  <c r="I715" i="4"/>
  <c r="J715" i="4"/>
  <c r="K715" i="4"/>
  <c r="B716" i="4"/>
  <c r="C716" i="4"/>
  <c r="D716" i="4"/>
  <c r="E716" i="4"/>
  <c r="F716" i="4"/>
  <c r="G716" i="4"/>
  <c r="H716" i="4"/>
  <c r="I716" i="4"/>
  <c r="J716" i="4"/>
  <c r="K716" i="4"/>
  <c r="B717" i="4"/>
  <c r="C717" i="4"/>
  <c r="D717" i="4"/>
  <c r="E717" i="4"/>
  <c r="F717" i="4"/>
  <c r="G717" i="4"/>
  <c r="H717" i="4"/>
  <c r="I717" i="4"/>
  <c r="J717" i="4"/>
  <c r="K717" i="4"/>
  <c r="B718" i="4"/>
  <c r="C718" i="4"/>
  <c r="D718" i="4"/>
  <c r="E718" i="4"/>
  <c r="F718" i="4"/>
  <c r="G718" i="4"/>
  <c r="H718" i="4"/>
  <c r="I718" i="4"/>
  <c r="J718" i="4"/>
  <c r="K718" i="4"/>
  <c r="B719" i="4"/>
  <c r="C719" i="4"/>
  <c r="D719" i="4"/>
  <c r="E719" i="4"/>
  <c r="F719" i="4"/>
  <c r="G719" i="4"/>
  <c r="H719" i="4"/>
  <c r="I719" i="4"/>
  <c r="J719" i="4"/>
  <c r="K719" i="4"/>
  <c r="B720" i="4"/>
  <c r="C720" i="4"/>
  <c r="D720" i="4"/>
  <c r="E720" i="4"/>
  <c r="F720" i="4"/>
  <c r="G720" i="4"/>
  <c r="H720" i="4"/>
  <c r="I720" i="4"/>
  <c r="J720" i="4"/>
  <c r="K720" i="4"/>
  <c r="B721" i="4"/>
  <c r="C721" i="4"/>
  <c r="D721" i="4"/>
  <c r="E721" i="4"/>
  <c r="F721" i="4"/>
  <c r="G721" i="4"/>
  <c r="H721" i="4"/>
  <c r="I721" i="4"/>
  <c r="J721" i="4"/>
  <c r="K721" i="4"/>
  <c r="B722" i="4"/>
  <c r="C722" i="4"/>
  <c r="D722" i="4"/>
  <c r="E722" i="4"/>
  <c r="F722" i="4"/>
  <c r="G722" i="4"/>
  <c r="H722" i="4"/>
  <c r="I722" i="4"/>
  <c r="J722" i="4"/>
  <c r="K722" i="4"/>
  <c r="B723" i="4"/>
  <c r="C723" i="4"/>
  <c r="D723" i="4"/>
  <c r="E723" i="4"/>
  <c r="F723" i="4"/>
  <c r="G723" i="4"/>
  <c r="H723" i="4"/>
  <c r="I723" i="4"/>
  <c r="J723" i="4"/>
  <c r="K723" i="4"/>
  <c r="B724" i="4"/>
  <c r="C724" i="4"/>
  <c r="D724" i="4"/>
  <c r="E724" i="4"/>
  <c r="F724" i="4"/>
  <c r="G724" i="4"/>
  <c r="H724" i="4"/>
  <c r="I724" i="4"/>
  <c r="J724" i="4"/>
  <c r="K724" i="4"/>
  <c r="B725" i="4"/>
  <c r="C725" i="4"/>
  <c r="D725" i="4"/>
  <c r="E725" i="4"/>
  <c r="F725" i="4"/>
  <c r="G725" i="4"/>
  <c r="H725" i="4"/>
  <c r="I725" i="4"/>
  <c r="J725" i="4"/>
  <c r="K725" i="4"/>
  <c r="B726" i="4"/>
  <c r="C726" i="4"/>
  <c r="D726" i="4"/>
  <c r="E726" i="4"/>
  <c r="F726" i="4"/>
  <c r="G726" i="4"/>
  <c r="H726" i="4"/>
  <c r="I726" i="4"/>
  <c r="J726" i="4"/>
  <c r="K726" i="4"/>
  <c r="B727" i="4"/>
  <c r="C727" i="4"/>
  <c r="D727" i="4"/>
  <c r="E727" i="4"/>
  <c r="F727" i="4"/>
  <c r="G727" i="4"/>
  <c r="H727" i="4"/>
  <c r="I727" i="4"/>
  <c r="J727" i="4"/>
  <c r="K727" i="4"/>
  <c r="B728" i="4"/>
  <c r="C728" i="4"/>
  <c r="D728" i="4"/>
  <c r="E728" i="4"/>
  <c r="F728" i="4"/>
  <c r="G728" i="4"/>
  <c r="H728" i="4"/>
  <c r="I728" i="4"/>
  <c r="J728" i="4"/>
  <c r="K728" i="4"/>
  <c r="B729" i="4"/>
  <c r="C729" i="4"/>
  <c r="D729" i="4"/>
  <c r="E729" i="4"/>
  <c r="F729" i="4"/>
  <c r="G729" i="4"/>
  <c r="H729" i="4"/>
  <c r="I729" i="4"/>
  <c r="J729" i="4"/>
  <c r="K729" i="4"/>
  <c r="B730" i="4"/>
  <c r="C730" i="4"/>
  <c r="D730" i="4"/>
  <c r="E730" i="4"/>
  <c r="F730" i="4"/>
  <c r="G730" i="4"/>
  <c r="H730" i="4"/>
  <c r="I730" i="4"/>
  <c r="J730" i="4"/>
  <c r="K730" i="4"/>
  <c r="B731" i="4"/>
  <c r="C731" i="4"/>
  <c r="D731" i="4"/>
  <c r="E731" i="4"/>
  <c r="F731" i="4"/>
  <c r="G731" i="4"/>
  <c r="H731" i="4"/>
  <c r="I731" i="4"/>
  <c r="J731" i="4"/>
  <c r="K731" i="4"/>
  <c r="B732" i="4"/>
  <c r="C732" i="4"/>
  <c r="D732" i="4"/>
  <c r="E732" i="4"/>
  <c r="F732" i="4"/>
  <c r="G732" i="4"/>
  <c r="H732" i="4"/>
  <c r="I732" i="4"/>
  <c r="J732" i="4"/>
  <c r="K732" i="4"/>
  <c r="B733" i="4"/>
  <c r="C733" i="4"/>
  <c r="D733" i="4"/>
  <c r="E733" i="4"/>
  <c r="F733" i="4"/>
  <c r="G733" i="4"/>
  <c r="H733" i="4"/>
  <c r="I733" i="4"/>
  <c r="J733" i="4"/>
  <c r="K733" i="4"/>
  <c r="B734" i="4"/>
  <c r="C734" i="4"/>
  <c r="D734" i="4"/>
  <c r="E734" i="4"/>
  <c r="F734" i="4"/>
  <c r="G734" i="4"/>
  <c r="H734" i="4"/>
  <c r="I734" i="4"/>
  <c r="J734" i="4"/>
  <c r="K734" i="4"/>
  <c r="B735" i="4"/>
  <c r="C735" i="4"/>
  <c r="D735" i="4"/>
  <c r="E735" i="4"/>
  <c r="F735" i="4"/>
  <c r="G735" i="4"/>
  <c r="H735" i="4"/>
  <c r="I735" i="4"/>
  <c r="J735" i="4"/>
  <c r="K735" i="4"/>
  <c r="B736" i="4"/>
  <c r="C736" i="4"/>
  <c r="D736" i="4"/>
  <c r="E736" i="4"/>
  <c r="F736" i="4"/>
  <c r="G736" i="4"/>
  <c r="H736" i="4"/>
  <c r="I736" i="4"/>
  <c r="J736" i="4"/>
  <c r="K736" i="4"/>
  <c r="B737" i="4"/>
  <c r="C737" i="4"/>
  <c r="D737" i="4"/>
  <c r="E737" i="4"/>
  <c r="F737" i="4"/>
  <c r="G737" i="4"/>
  <c r="H737" i="4"/>
  <c r="I737" i="4"/>
  <c r="J737" i="4"/>
  <c r="K737" i="4"/>
  <c r="B738" i="4"/>
  <c r="C738" i="4"/>
  <c r="D738" i="4"/>
  <c r="E738" i="4"/>
  <c r="F738" i="4"/>
  <c r="G738" i="4"/>
  <c r="H738" i="4"/>
  <c r="I738" i="4"/>
  <c r="J738" i="4"/>
  <c r="K738" i="4"/>
  <c r="B739" i="4"/>
  <c r="C739" i="4"/>
  <c r="D739" i="4"/>
  <c r="E739" i="4"/>
  <c r="F739" i="4"/>
  <c r="G739" i="4"/>
  <c r="H739" i="4"/>
  <c r="I739" i="4"/>
  <c r="J739" i="4"/>
  <c r="K739" i="4"/>
  <c r="B740" i="4"/>
  <c r="C740" i="4"/>
  <c r="D740" i="4"/>
  <c r="E740" i="4"/>
  <c r="F740" i="4"/>
  <c r="G740" i="4"/>
  <c r="H740" i="4"/>
  <c r="I740" i="4"/>
  <c r="J740" i="4"/>
  <c r="K740" i="4"/>
  <c r="B741" i="4"/>
  <c r="C741" i="4"/>
  <c r="D741" i="4"/>
  <c r="E741" i="4"/>
  <c r="F741" i="4"/>
  <c r="G741" i="4"/>
  <c r="H741" i="4"/>
  <c r="I741" i="4"/>
  <c r="J741" i="4"/>
  <c r="K741" i="4"/>
  <c r="B742" i="4"/>
  <c r="C742" i="4"/>
  <c r="D742" i="4"/>
  <c r="E742" i="4"/>
  <c r="F742" i="4"/>
  <c r="G742" i="4"/>
  <c r="H742" i="4"/>
  <c r="I742" i="4"/>
  <c r="J742" i="4"/>
  <c r="K742" i="4"/>
  <c r="B743" i="4"/>
  <c r="C743" i="4"/>
  <c r="D743" i="4"/>
  <c r="E743" i="4"/>
  <c r="F743" i="4"/>
  <c r="G743" i="4"/>
  <c r="H743" i="4"/>
  <c r="I743" i="4"/>
  <c r="J743" i="4"/>
  <c r="K743" i="4"/>
  <c r="B744" i="4"/>
  <c r="C744" i="4"/>
  <c r="D744" i="4"/>
  <c r="E744" i="4"/>
  <c r="F744" i="4"/>
  <c r="G744" i="4"/>
  <c r="H744" i="4"/>
  <c r="I744" i="4"/>
  <c r="J744" i="4"/>
  <c r="K744" i="4"/>
  <c r="B745" i="4"/>
  <c r="C745" i="4"/>
  <c r="D745" i="4"/>
  <c r="E745" i="4"/>
  <c r="F745" i="4"/>
  <c r="G745" i="4"/>
  <c r="H745" i="4"/>
  <c r="I745" i="4"/>
  <c r="J745" i="4"/>
  <c r="K745" i="4"/>
  <c r="B746" i="4"/>
  <c r="C746" i="4"/>
  <c r="D746" i="4"/>
  <c r="E746" i="4"/>
  <c r="F746" i="4"/>
  <c r="G746" i="4"/>
  <c r="H746" i="4"/>
  <c r="I746" i="4"/>
  <c r="J746" i="4"/>
  <c r="K746" i="4"/>
  <c r="B747" i="4"/>
  <c r="C747" i="4"/>
  <c r="D747" i="4"/>
  <c r="E747" i="4"/>
  <c r="F747" i="4"/>
  <c r="G747" i="4"/>
  <c r="H747" i="4"/>
  <c r="I747" i="4"/>
  <c r="J747" i="4"/>
  <c r="K747" i="4"/>
  <c r="B748" i="4"/>
  <c r="C748" i="4"/>
  <c r="D748" i="4"/>
  <c r="E748" i="4"/>
  <c r="F748" i="4"/>
  <c r="G748" i="4"/>
  <c r="H748" i="4"/>
  <c r="I748" i="4"/>
  <c r="J748" i="4"/>
  <c r="K748" i="4"/>
  <c r="B749" i="4"/>
  <c r="C749" i="4"/>
  <c r="D749" i="4"/>
  <c r="E749" i="4"/>
  <c r="F749" i="4"/>
  <c r="G749" i="4"/>
  <c r="H749" i="4"/>
  <c r="I749" i="4"/>
  <c r="J749" i="4"/>
  <c r="K749" i="4"/>
  <c r="B750" i="4"/>
  <c r="C750" i="4"/>
  <c r="D750" i="4"/>
  <c r="E750" i="4"/>
  <c r="F750" i="4"/>
  <c r="G750" i="4"/>
  <c r="H750" i="4"/>
  <c r="I750" i="4"/>
  <c r="J750" i="4"/>
  <c r="K750" i="4"/>
  <c r="B751" i="4"/>
  <c r="C751" i="4"/>
  <c r="D751" i="4"/>
  <c r="E751" i="4"/>
  <c r="F751" i="4"/>
  <c r="G751" i="4"/>
  <c r="H751" i="4"/>
  <c r="I751" i="4"/>
  <c r="J751" i="4"/>
  <c r="K751" i="4"/>
  <c r="B752" i="4"/>
  <c r="C752" i="4"/>
  <c r="D752" i="4"/>
  <c r="E752" i="4"/>
  <c r="F752" i="4"/>
  <c r="G752" i="4"/>
  <c r="H752" i="4"/>
  <c r="I752" i="4"/>
  <c r="J752" i="4"/>
  <c r="K752" i="4"/>
  <c r="B753" i="4"/>
  <c r="C753" i="4"/>
  <c r="D753" i="4"/>
  <c r="E753" i="4"/>
  <c r="F753" i="4"/>
  <c r="G753" i="4"/>
  <c r="H753" i="4"/>
  <c r="I753" i="4"/>
  <c r="J753" i="4"/>
  <c r="K753" i="4"/>
  <c r="B754" i="4"/>
  <c r="C754" i="4"/>
  <c r="D754" i="4"/>
  <c r="E754" i="4"/>
  <c r="F754" i="4"/>
  <c r="G754" i="4"/>
  <c r="H754" i="4"/>
  <c r="I754" i="4"/>
  <c r="J754" i="4"/>
  <c r="K754" i="4"/>
  <c r="B755" i="4"/>
  <c r="C755" i="4"/>
  <c r="D755" i="4"/>
  <c r="E755" i="4"/>
  <c r="F755" i="4"/>
  <c r="G755" i="4"/>
  <c r="H755" i="4"/>
  <c r="I755" i="4"/>
  <c r="J755" i="4"/>
  <c r="K755" i="4"/>
  <c r="B756" i="4"/>
  <c r="C756" i="4"/>
  <c r="D756" i="4"/>
  <c r="E756" i="4"/>
  <c r="F756" i="4"/>
  <c r="G756" i="4"/>
  <c r="H756" i="4"/>
  <c r="I756" i="4"/>
  <c r="J756" i="4"/>
  <c r="K756" i="4"/>
  <c r="B757" i="4"/>
  <c r="C757" i="4"/>
  <c r="D757" i="4"/>
  <c r="E757" i="4"/>
  <c r="F757" i="4"/>
  <c r="G757" i="4"/>
  <c r="H757" i="4"/>
  <c r="I757" i="4"/>
  <c r="J757" i="4"/>
  <c r="K757" i="4"/>
  <c r="B758" i="4"/>
  <c r="C758" i="4"/>
  <c r="D758" i="4"/>
  <c r="E758" i="4"/>
  <c r="F758" i="4"/>
  <c r="G758" i="4"/>
  <c r="H758" i="4"/>
  <c r="I758" i="4"/>
  <c r="J758" i="4"/>
  <c r="K758" i="4"/>
  <c r="B759" i="4"/>
  <c r="C759" i="4"/>
  <c r="D759" i="4"/>
  <c r="E759" i="4"/>
  <c r="F759" i="4"/>
  <c r="G759" i="4"/>
  <c r="H759" i="4"/>
  <c r="I759" i="4"/>
  <c r="J759" i="4"/>
  <c r="K759" i="4"/>
  <c r="B760" i="4"/>
  <c r="C760" i="4"/>
  <c r="D760" i="4"/>
  <c r="E760" i="4"/>
  <c r="F760" i="4"/>
  <c r="G760" i="4"/>
  <c r="H760" i="4"/>
  <c r="I760" i="4"/>
  <c r="J760" i="4"/>
  <c r="K760" i="4"/>
  <c r="B761" i="4"/>
  <c r="C761" i="4"/>
  <c r="D761" i="4"/>
  <c r="E761" i="4"/>
  <c r="F761" i="4"/>
  <c r="G761" i="4"/>
  <c r="H761" i="4"/>
  <c r="I761" i="4"/>
  <c r="J761" i="4"/>
  <c r="K761" i="4"/>
  <c r="B762" i="4"/>
  <c r="C762" i="4"/>
  <c r="D762" i="4"/>
  <c r="E762" i="4"/>
  <c r="F762" i="4"/>
  <c r="G762" i="4"/>
  <c r="H762" i="4"/>
  <c r="I762" i="4"/>
  <c r="J762" i="4"/>
  <c r="K762" i="4"/>
  <c r="B763" i="4"/>
  <c r="C763" i="4"/>
  <c r="D763" i="4"/>
  <c r="E763" i="4"/>
  <c r="F763" i="4"/>
  <c r="G763" i="4"/>
  <c r="H763" i="4"/>
  <c r="I763" i="4"/>
  <c r="J763" i="4"/>
  <c r="K763" i="4"/>
  <c r="B764" i="4"/>
  <c r="C764" i="4"/>
  <c r="D764" i="4"/>
  <c r="E764" i="4"/>
  <c r="F764" i="4"/>
  <c r="G764" i="4"/>
  <c r="H764" i="4"/>
  <c r="I764" i="4"/>
  <c r="J764" i="4"/>
  <c r="K764" i="4"/>
  <c r="B765" i="4"/>
  <c r="C765" i="4"/>
  <c r="D765" i="4"/>
  <c r="E765" i="4"/>
  <c r="F765" i="4"/>
  <c r="G765" i="4"/>
  <c r="H765" i="4"/>
  <c r="I765" i="4"/>
  <c r="J765" i="4"/>
  <c r="K765" i="4"/>
  <c r="B766" i="4"/>
  <c r="C766" i="4"/>
  <c r="D766" i="4"/>
  <c r="E766" i="4"/>
  <c r="F766" i="4"/>
  <c r="G766" i="4"/>
  <c r="H766" i="4"/>
  <c r="I766" i="4"/>
  <c r="J766" i="4"/>
  <c r="K766" i="4"/>
  <c r="B767" i="4"/>
  <c r="C767" i="4"/>
  <c r="D767" i="4"/>
  <c r="E767" i="4"/>
  <c r="F767" i="4"/>
  <c r="G767" i="4"/>
  <c r="H767" i="4"/>
  <c r="I767" i="4"/>
  <c r="J767" i="4"/>
  <c r="K767" i="4"/>
  <c r="B768" i="4"/>
  <c r="C768" i="4"/>
  <c r="D768" i="4"/>
  <c r="E768" i="4"/>
  <c r="F768" i="4"/>
  <c r="G768" i="4"/>
  <c r="H768" i="4"/>
  <c r="I768" i="4"/>
  <c r="J768" i="4"/>
  <c r="K768" i="4"/>
  <c r="B769" i="4"/>
  <c r="C769" i="4"/>
  <c r="D769" i="4"/>
  <c r="E769" i="4"/>
  <c r="F769" i="4"/>
  <c r="G769" i="4"/>
  <c r="H769" i="4"/>
  <c r="I769" i="4"/>
  <c r="J769" i="4"/>
  <c r="K769" i="4"/>
  <c r="B770" i="4"/>
  <c r="C770" i="4"/>
  <c r="D770" i="4"/>
  <c r="E770" i="4"/>
  <c r="F770" i="4"/>
  <c r="G770" i="4"/>
  <c r="H770" i="4"/>
  <c r="I770" i="4"/>
  <c r="J770" i="4"/>
  <c r="K770" i="4"/>
  <c r="B771" i="4"/>
  <c r="C771" i="4"/>
  <c r="D771" i="4"/>
  <c r="E771" i="4"/>
  <c r="F771" i="4"/>
  <c r="G771" i="4"/>
  <c r="H771" i="4"/>
  <c r="I771" i="4"/>
  <c r="J771" i="4"/>
  <c r="K771" i="4"/>
  <c r="B772" i="4"/>
  <c r="C772" i="4"/>
  <c r="D772" i="4"/>
  <c r="E772" i="4"/>
  <c r="F772" i="4"/>
  <c r="G772" i="4"/>
  <c r="H772" i="4"/>
  <c r="I772" i="4"/>
  <c r="J772" i="4"/>
  <c r="K772" i="4"/>
  <c r="B773" i="4"/>
  <c r="C773" i="4"/>
  <c r="D773" i="4"/>
  <c r="E773" i="4"/>
  <c r="F773" i="4"/>
  <c r="G773" i="4"/>
  <c r="H773" i="4"/>
  <c r="I773" i="4"/>
  <c r="J773" i="4"/>
  <c r="K773" i="4"/>
  <c r="B774" i="4"/>
  <c r="C774" i="4"/>
  <c r="D774" i="4"/>
  <c r="E774" i="4"/>
  <c r="F774" i="4"/>
  <c r="G774" i="4"/>
  <c r="H774" i="4"/>
  <c r="I774" i="4"/>
  <c r="J774" i="4"/>
  <c r="K774" i="4"/>
  <c r="B775" i="4"/>
  <c r="C775" i="4"/>
  <c r="D775" i="4"/>
  <c r="E775" i="4"/>
  <c r="F775" i="4"/>
  <c r="G775" i="4"/>
  <c r="H775" i="4"/>
  <c r="I775" i="4"/>
  <c r="J775" i="4"/>
  <c r="K775" i="4"/>
  <c r="B776" i="4"/>
  <c r="C776" i="4"/>
  <c r="D776" i="4"/>
  <c r="E776" i="4"/>
  <c r="F776" i="4"/>
  <c r="G776" i="4"/>
  <c r="H776" i="4"/>
  <c r="I776" i="4"/>
  <c r="J776" i="4"/>
  <c r="K776" i="4"/>
  <c r="B777" i="4"/>
  <c r="C777" i="4"/>
  <c r="D777" i="4"/>
  <c r="E777" i="4"/>
  <c r="F777" i="4"/>
  <c r="G777" i="4"/>
  <c r="H777" i="4"/>
  <c r="I777" i="4"/>
  <c r="J777" i="4"/>
  <c r="K777" i="4"/>
  <c r="B778" i="4"/>
  <c r="C778" i="4"/>
  <c r="D778" i="4"/>
  <c r="E778" i="4"/>
  <c r="F778" i="4"/>
  <c r="G778" i="4"/>
  <c r="H778" i="4"/>
  <c r="I778" i="4"/>
  <c r="J778" i="4"/>
  <c r="K778" i="4"/>
  <c r="B779" i="4"/>
  <c r="C779" i="4"/>
  <c r="D779" i="4"/>
  <c r="E779" i="4"/>
  <c r="F779" i="4"/>
  <c r="G779" i="4"/>
  <c r="H779" i="4"/>
  <c r="I779" i="4"/>
  <c r="J779" i="4"/>
  <c r="K779" i="4"/>
  <c r="B780" i="4"/>
  <c r="C780" i="4"/>
  <c r="D780" i="4"/>
  <c r="E780" i="4"/>
  <c r="F780" i="4"/>
  <c r="G780" i="4"/>
  <c r="H780" i="4"/>
  <c r="I780" i="4"/>
  <c r="J780" i="4"/>
  <c r="K780" i="4"/>
  <c r="B781" i="4"/>
  <c r="C781" i="4"/>
  <c r="D781" i="4"/>
  <c r="E781" i="4"/>
  <c r="F781" i="4"/>
  <c r="G781" i="4"/>
  <c r="H781" i="4"/>
  <c r="I781" i="4"/>
  <c r="J781" i="4"/>
  <c r="K781" i="4"/>
  <c r="B782" i="4"/>
  <c r="C782" i="4"/>
  <c r="D782" i="4"/>
  <c r="E782" i="4"/>
  <c r="F782" i="4"/>
  <c r="G782" i="4"/>
  <c r="H782" i="4"/>
  <c r="I782" i="4"/>
  <c r="J782" i="4"/>
  <c r="K782" i="4"/>
  <c r="B783" i="4"/>
  <c r="C783" i="4"/>
  <c r="D783" i="4"/>
  <c r="E783" i="4"/>
  <c r="F783" i="4"/>
  <c r="G783" i="4"/>
  <c r="H783" i="4"/>
  <c r="I783" i="4"/>
  <c r="J783" i="4"/>
  <c r="K783" i="4"/>
  <c r="B784" i="4"/>
  <c r="C784" i="4"/>
  <c r="D784" i="4"/>
  <c r="E784" i="4"/>
  <c r="F784" i="4"/>
  <c r="G784" i="4"/>
  <c r="H784" i="4"/>
  <c r="I784" i="4"/>
  <c r="J784" i="4"/>
  <c r="K784" i="4"/>
  <c r="B785" i="4"/>
  <c r="C785" i="4"/>
  <c r="D785" i="4"/>
  <c r="E785" i="4"/>
  <c r="F785" i="4"/>
  <c r="G785" i="4"/>
  <c r="H785" i="4"/>
  <c r="I785" i="4"/>
  <c r="J785" i="4"/>
  <c r="K785" i="4"/>
  <c r="B786" i="4"/>
  <c r="C786" i="4"/>
  <c r="D786" i="4"/>
  <c r="E786" i="4"/>
  <c r="F786" i="4"/>
  <c r="G786" i="4"/>
  <c r="H786" i="4"/>
  <c r="I786" i="4"/>
  <c r="J786" i="4"/>
  <c r="K786" i="4"/>
  <c r="B787" i="4"/>
  <c r="C787" i="4"/>
  <c r="D787" i="4"/>
  <c r="E787" i="4"/>
  <c r="F787" i="4"/>
  <c r="G787" i="4"/>
  <c r="H787" i="4"/>
  <c r="I787" i="4"/>
  <c r="J787" i="4"/>
  <c r="K787" i="4"/>
  <c r="B788" i="4"/>
  <c r="C788" i="4"/>
  <c r="D788" i="4"/>
  <c r="E788" i="4"/>
  <c r="F788" i="4"/>
  <c r="G788" i="4"/>
  <c r="H788" i="4"/>
  <c r="I788" i="4"/>
  <c r="J788" i="4"/>
  <c r="K788" i="4"/>
  <c r="B789" i="4"/>
  <c r="C789" i="4"/>
  <c r="D789" i="4"/>
  <c r="E789" i="4"/>
  <c r="F789" i="4"/>
  <c r="G789" i="4"/>
  <c r="H789" i="4"/>
  <c r="I789" i="4"/>
  <c r="J789" i="4"/>
  <c r="K789" i="4"/>
  <c r="B790" i="4"/>
  <c r="C790" i="4"/>
  <c r="D790" i="4"/>
  <c r="E790" i="4"/>
  <c r="F790" i="4"/>
  <c r="G790" i="4"/>
  <c r="H790" i="4"/>
  <c r="I790" i="4"/>
  <c r="J790" i="4"/>
  <c r="K790" i="4"/>
  <c r="B791" i="4"/>
  <c r="C791" i="4"/>
  <c r="D791" i="4"/>
  <c r="E791" i="4"/>
  <c r="F791" i="4"/>
  <c r="G791" i="4"/>
  <c r="H791" i="4"/>
  <c r="I791" i="4"/>
  <c r="J791" i="4"/>
  <c r="K791" i="4"/>
  <c r="B792" i="4"/>
  <c r="C792" i="4"/>
  <c r="D792" i="4"/>
  <c r="E792" i="4"/>
  <c r="F792" i="4"/>
  <c r="G792" i="4"/>
  <c r="H792" i="4"/>
  <c r="I792" i="4"/>
  <c r="J792" i="4"/>
  <c r="K792" i="4"/>
  <c r="B793" i="4"/>
  <c r="C793" i="4"/>
  <c r="D793" i="4"/>
  <c r="E793" i="4"/>
  <c r="F793" i="4"/>
  <c r="G793" i="4"/>
  <c r="H793" i="4"/>
  <c r="I793" i="4"/>
  <c r="J793" i="4"/>
  <c r="K793" i="4"/>
  <c r="B794" i="4"/>
  <c r="C794" i="4"/>
  <c r="D794" i="4"/>
  <c r="E794" i="4"/>
  <c r="F794" i="4"/>
  <c r="G794" i="4"/>
  <c r="H794" i="4"/>
  <c r="I794" i="4"/>
  <c r="J794" i="4"/>
  <c r="K794" i="4"/>
  <c r="B795" i="4"/>
  <c r="C795" i="4"/>
  <c r="D795" i="4"/>
  <c r="E795" i="4"/>
  <c r="F795" i="4"/>
  <c r="G795" i="4"/>
  <c r="H795" i="4"/>
  <c r="I795" i="4"/>
  <c r="J795" i="4"/>
  <c r="K795" i="4"/>
  <c r="B796" i="4"/>
  <c r="C796" i="4"/>
  <c r="D796" i="4"/>
  <c r="E796" i="4"/>
  <c r="F796" i="4"/>
  <c r="G796" i="4"/>
  <c r="H796" i="4"/>
  <c r="I796" i="4"/>
  <c r="J796" i="4"/>
  <c r="K796" i="4"/>
  <c r="B797" i="4"/>
  <c r="C797" i="4"/>
  <c r="D797" i="4"/>
  <c r="E797" i="4"/>
  <c r="F797" i="4"/>
  <c r="G797" i="4"/>
  <c r="H797" i="4"/>
  <c r="I797" i="4"/>
  <c r="J797" i="4"/>
  <c r="K797" i="4"/>
  <c r="B798" i="4"/>
  <c r="C798" i="4"/>
  <c r="D798" i="4"/>
  <c r="E798" i="4"/>
  <c r="F798" i="4"/>
  <c r="G798" i="4"/>
  <c r="H798" i="4"/>
  <c r="I798" i="4"/>
  <c r="J798" i="4"/>
  <c r="K798" i="4"/>
  <c r="B799" i="4"/>
  <c r="C799" i="4"/>
  <c r="D799" i="4"/>
  <c r="E799" i="4"/>
  <c r="F799" i="4"/>
  <c r="G799" i="4"/>
  <c r="H799" i="4"/>
  <c r="I799" i="4"/>
  <c r="J799" i="4"/>
  <c r="K799" i="4"/>
  <c r="B800" i="4"/>
  <c r="C800" i="4"/>
  <c r="D800" i="4"/>
  <c r="E800" i="4"/>
  <c r="F800" i="4"/>
  <c r="G800" i="4"/>
  <c r="H800" i="4"/>
  <c r="I800" i="4"/>
  <c r="J800" i="4"/>
  <c r="K800" i="4"/>
  <c r="B801" i="4"/>
  <c r="C801" i="4"/>
  <c r="D801" i="4"/>
  <c r="E801" i="4"/>
  <c r="F801" i="4"/>
  <c r="G801" i="4"/>
  <c r="H801" i="4"/>
  <c r="I801" i="4"/>
  <c r="J801" i="4"/>
  <c r="K801" i="4"/>
  <c r="B802" i="4"/>
  <c r="C802" i="4"/>
  <c r="D802" i="4"/>
  <c r="E802" i="4"/>
  <c r="F802" i="4"/>
  <c r="G802" i="4"/>
  <c r="H802" i="4"/>
  <c r="I802" i="4"/>
  <c r="J802" i="4"/>
  <c r="K802" i="4"/>
  <c r="B803" i="4"/>
  <c r="C803" i="4"/>
  <c r="D803" i="4"/>
  <c r="E803" i="4"/>
  <c r="F803" i="4"/>
  <c r="G803" i="4"/>
  <c r="H803" i="4"/>
  <c r="I803" i="4"/>
  <c r="J803" i="4"/>
  <c r="K803" i="4"/>
  <c r="B804" i="4"/>
  <c r="C804" i="4"/>
  <c r="D804" i="4"/>
  <c r="E804" i="4"/>
  <c r="F804" i="4"/>
  <c r="G804" i="4"/>
  <c r="H804" i="4"/>
  <c r="I804" i="4"/>
  <c r="J804" i="4"/>
  <c r="K804" i="4"/>
  <c r="B805" i="4"/>
  <c r="C805" i="4"/>
  <c r="D805" i="4"/>
  <c r="E805" i="4"/>
  <c r="F805" i="4"/>
  <c r="G805" i="4"/>
  <c r="H805" i="4"/>
  <c r="I805" i="4"/>
  <c r="J805" i="4"/>
  <c r="K805" i="4"/>
  <c r="B806" i="4"/>
  <c r="C806" i="4"/>
  <c r="D806" i="4"/>
  <c r="E806" i="4"/>
  <c r="F806" i="4"/>
  <c r="G806" i="4"/>
  <c r="H806" i="4"/>
  <c r="I806" i="4"/>
  <c r="J806" i="4"/>
  <c r="K806" i="4"/>
  <c r="B807" i="4"/>
  <c r="C807" i="4"/>
  <c r="D807" i="4"/>
  <c r="E807" i="4"/>
  <c r="F807" i="4"/>
  <c r="G807" i="4"/>
  <c r="H807" i="4"/>
  <c r="I807" i="4"/>
  <c r="J807" i="4"/>
  <c r="K807" i="4"/>
  <c r="B808" i="4"/>
  <c r="C808" i="4"/>
  <c r="D808" i="4"/>
  <c r="E808" i="4"/>
  <c r="F808" i="4"/>
  <c r="G808" i="4"/>
  <c r="H808" i="4"/>
  <c r="I808" i="4"/>
  <c r="J808" i="4"/>
  <c r="K808" i="4"/>
  <c r="B809" i="4"/>
  <c r="C809" i="4"/>
  <c r="D809" i="4"/>
  <c r="E809" i="4"/>
  <c r="F809" i="4"/>
  <c r="G809" i="4"/>
  <c r="H809" i="4"/>
  <c r="I809" i="4"/>
  <c r="J809" i="4"/>
  <c r="K809" i="4"/>
  <c r="B810" i="4"/>
  <c r="C810" i="4"/>
  <c r="D810" i="4"/>
  <c r="E810" i="4"/>
  <c r="F810" i="4"/>
  <c r="G810" i="4"/>
  <c r="H810" i="4"/>
  <c r="I810" i="4"/>
  <c r="J810" i="4"/>
  <c r="K810" i="4"/>
  <c r="B811" i="4"/>
  <c r="C811" i="4"/>
  <c r="D811" i="4"/>
  <c r="E811" i="4"/>
  <c r="F811" i="4"/>
  <c r="G811" i="4"/>
  <c r="H811" i="4"/>
  <c r="I811" i="4"/>
  <c r="J811" i="4"/>
  <c r="K811" i="4"/>
  <c r="B812" i="4"/>
  <c r="C812" i="4"/>
  <c r="D812" i="4"/>
  <c r="E812" i="4"/>
  <c r="F812" i="4"/>
  <c r="G812" i="4"/>
  <c r="H812" i="4"/>
  <c r="I812" i="4"/>
  <c r="J812" i="4"/>
  <c r="K812" i="4"/>
  <c r="B813" i="4"/>
  <c r="C813" i="4"/>
  <c r="D813" i="4"/>
  <c r="E813" i="4"/>
  <c r="F813" i="4"/>
  <c r="G813" i="4"/>
  <c r="H813" i="4"/>
  <c r="I813" i="4"/>
  <c r="J813" i="4"/>
  <c r="K813" i="4"/>
  <c r="B814" i="4"/>
  <c r="C814" i="4"/>
  <c r="D814" i="4"/>
  <c r="E814" i="4"/>
  <c r="F814" i="4"/>
  <c r="G814" i="4"/>
  <c r="H814" i="4"/>
  <c r="I814" i="4"/>
  <c r="J814" i="4"/>
  <c r="K814" i="4"/>
  <c r="B815" i="4"/>
  <c r="C815" i="4"/>
  <c r="D815" i="4"/>
  <c r="E815" i="4"/>
  <c r="F815" i="4"/>
  <c r="G815" i="4"/>
  <c r="H815" i="4"/>
  <c r="I815" i="4"/>
  <c r="J815" i="4"/>
  <c r="K815" i="4"/>
  <c r="B816" i="4"/>
  <c r="C816" i="4"/>
  <c r="D816" i="4"/>
  <c r="E816" i="4"/>
  <c r="F816" i="4"/>
  <c r="G816" i="4"/>
  <c r="H816" i="4"/>
  <c r="I816" i="4"/>
  <c r="J816" i="4"/>
  <c r="K816" i="4"/>
  <c r="B817" i="4"/>
  <c r="C817" i="4"/>
  <c r="D817" i="4"/>
  <c r="E817" i="4"/>
  <c r="F817" i="4"/>
  <c r="G817" i="4"/>
  <c r="H817" i="4"/>
  <c r="I817" i="4"/>
  <c r="J817" i="4"/>
  <c r="K817" i="4"/>
  <c r="B818" i="4"/>
  <c r="C818" i="4"/>
  <c r="D818" i="4"/>
  <c r="E818" i="4"/>
  <c r="F818" i="4"/>
  <c r="G818" i="4"/>
  <c r="H818" i="4"/>
  <c r="I818" i="4"/>
  <c r="J818" i="4"/>
  <c r="K818" i="4"/>
  <c r="B819" i="4"/>
  <c r="C819" i="4"/>
  <c r="D819" i="4"/>
  <c r="E819" i="4"/>
  <c r="F819" i="4"/>
  <c r="G819" i="4"/>
  <c r="H819" i="4"/>
  <c r="I819" i="4"/>
  <c r="J819" i="4"/>
  <c r="K819" i="4"/>
  <c r="B820" i="4"/>
  <c r="C820" i="4"/>
  <c r="D820" i="4"/>
  <c r="E820" i="4"/>
  <c r="F820" i="4"/>
  <c r="G820" i="4"/>
  <c r="H820" i="4"/>
  <c r="I820" i="4"/>
  <c r="J820" i="4"/>
  <c r="K820" i="4"/>
  <c r="B821" i="4"/>
  <c r="C821" i="4"/>
  <c r="D821" i="4"/>
  <c r="E821" i="4"/>
  <c r="F821" i="4"/>
  <c r="G821" i="4"/>
  <c r="H821" i="4"/>
  <c r="I821" i="4"/>
  <c r="J821" i="4"/>
  <c r="K821" i="4"/>
  <c r="B822" i="4"/>
  <c r="C822" i="4"/>
  <c r="D822" i="4"/>
  <c r="E822" i="4"/>
  <c r="F822" i="4"/>
  <c r="G822" i="4"/>
  <c r="H822" i="4"/>
  <c r="I822" i="4"/>
  <c r="J822" i="4"/>
  <c r="K822" i="4"/>
  <c r="B823" i="4"/>
  <c r="C823" i="4"/>
  <c r="D823" i="4"/>
  <c r="E823" i="4"/>
  <c r="F823" i="4"/>
  <c r="G823" i="4"/>
  <c r="H823" i="4"/>
  <c r="I823" i="4"/>
  <c r="J823" i="4"/>
  <c r="K823" i="4"/>
  <c r="B824" i="4"/>
  <c r="C824" i="4"/>
  <c r="D824" i="4"/>
  <c r="E824" i="4"/>
  <c r="F824" i="4"/>
  <c r="G824" i="4"/>
  <c r="H824" i="4"/>
  <c r="I824" i="4"/>
  <c r="J824" i="4"/>
  <c r="K824" i="4"/>
  <c r="B825" i="4"/>
  <c r="C825" i="4"/>
  <c r="D825" i="4"/>
  <c r="E825" i="4"/>
  <c r="F825" i="4"/>
  <c r="G825" i="4"/>
  <c r="H825" i="4"/>
  <c r="I825" i="4"/>
  <c r="J825" i="4"/>
  <c r="K825" i="4"/>
  <c r="B826" i="4"/>
  <c r="C826" i="4"/>
  <c r="D826" i="4"/>
  <c r="E826" i="4"/>
  <c r="F826" i="4"/>
  <c r="G826" i="4"/>
  <c r="H826" i="4"/>
  <c r="I826" i="4"/>
  <c r="J826" i="4"/>
  <c r="K826" i="4"/>
  <c r="B827" i="4"/>
  <c r="C827" i="4"/>
  <c r="D827" i="4"/>
  <c r="E827" i="4"/>
  <c r="F827" i="4"/>
  <c r="G827" i="4"/>
  <c r="H827" i="4"/>
  <c r="I827" i="4"/>
  <c r="J827" i="4"/>
  <c r="K827" i="4"/>
  <c r="B828" i="4"/>
  <c r="C828" i="4"/>
  <c r="D828" i="4"/>
  <c r="E828" i="4"/>
  <c r="F828" i="4"/>
  <c r="G828" i="4"/>
  <c r="H828" i="4"/>
  <c r="I828" i="4"/>
  <c r="J828" i="4"/>
  <c r="K828" i="4"/>
  <c r="B829" i="4"/>
  <c r="C829" i="4"/>
  <c r="D829" i="4"/>
  <c r="E829" i="4"/>
  <c r="F829" i="4"/>
  <c r="G829" i="4"/>
  <c r="H829" i="4"/>
  <c r="I829" i="4"/>
  <c r="J829" i="4"/>
  <c r="K829" i="4"/>
  <c r="B830" i="4"/>
  <c r="C830" i="4"/>
  <c r="D830" i="4"/>
  <c r="E830" i="4"/>
  <c r="F830" i="4"/>
  <c r="G830" i="4"/>
  <c r="H830" i="4"/>
  <c r="I830" i="4"/>
  <c r="J830" i="4"/>
  <c r="K830" i="4"/>
  <c r="B831" i="4"/>
  <c r="C831" i="4"/>
  <c r="D831" i="4"/>
  <c r="E831" i="4"/>
  <c r="F831" i="4"/>
  <c r="G831" i="4"/>
  <c r="H831" i="4"/>
  <c r="I831" i="4"/>
  <c r="J831" i="4"/>
  <c r="K831" i="4"/>
  <c r="B832" i="4"/>
  <c r="C832" i="4"/>
  <c r="D832" i="4"/>
  <c r="E832" i="4"/>
  <c r="F832" i="4"/>
  <c r="G832" i="4"/>
  <c r="H832" i="4"/>
  <c r="I832" i="4"/>
  <c r="J832" i="4"/>
  <c r="K832" i="4"/>
  <c r="B833" i="4"/>
  <c r="C833" i="4"/>
  <c r="D833" i="4"/>
  <c r="E833" i="4"/>
  <c r="F833" i="4"/>
  <c r="G833" i="4"/>
  <c r="H833" i="4"/>
  <c r="I833" i="4"/>
  <c r="J833" i="4"/>
  <c r="K833" i="4"/>
  <c r="B834" i="4"/>
  <c r="C834" i="4"/>
  <c r="D834" i="4"/>
  <c r="E834" i="4"/>
  <c r="F834" i="4"/>
  <c r="G834" i="4"/>
  <c r="H834" i="4"/>
  <c r="I834" i="4"/>
  <c r="J834" i="4"/>
  <c r="K834" i="4"/>
  <c r="B835" i="4"/>
  <c r="C835" i="4"/>
  <c r="D835" i="4"/>
  <c r="E835" i="4"/>
  <c r="F835" i="4"/>
  <c r="G835" i="4"/>
  <c r="H835" i="4"/>
  <c r="I835" i="4"/>
  <c r="J835" i="4"/>
  <c r="K835" i="4"/>
  <c r="B836" i="4"/>
  <c r="C836" i="4"/>
  <c r="D836" i="4"/>
  <c r="E836" i="4"/>
  <c r="F836" i="4"/>
  <c r="G836" i="4"/>
  <c r="H836" i="4"/>
  <c r="I836" i="4"/>
  <c r="J836" i="4"/>
  <c r="K836" i="4"/>
  <c r="B837" i="4"/>
  <c r="C837" i="4"/>
  <c r="D837" i="4"/>
  <c r="E837" i="4"/>
  <c r="F837" i="4"/>
  <c r="G837" i="4"/>
  <c r="H837" i="4"/>
  <c r="I837" i="4"/>
  <c r="J837" i="4"/>
  <c r="K837" i="4"/>
  <c r="B838" i="4"/>
  <c r="C838" i="4"/>
  <c r="D838" i="4"/>
  <c r="E838" i="4"/>
  <c r="F838" i="4"/>
  <c r="G838" i="4"/>
  <c r="H838" i="4"/>
  <c r="I838" i="4"/>
  <c r="J838" i="4"/>
  <c r="K838" i="4"/>
  <c r="B839" i="4"/>
  <c r="C839" i="4"/>
  <c r="D839" i="4"/>
  <c r="E839" i="4"/>
  <c r="F839" i="4"/>
  <c r="G839" i="4"/>
  <c r="H839" i="4"/>
  <c r="I839" i="4"/>
  <c r="J839" i="4"/>
  <c r="K839" i="4"/>
  <c r="B840" i="4"/>
  <c r="C840" i="4"/>
  <c r="D840" i="4"/>
  <c r="E840" i="4"/>
  <c r="F840" i="4"/>
  <c r="G840" i="4"/>
  <c r="H840" i="4"/>
  <c r="I840" i="4"/>
  <c r="J840" i="4"/>
  <c r="K840" i="4"/>
  <c r="B841" i="4"/>
  <c r="C841" i="4"/>
  <c r="D841" i="4"/>
  <c r="E841" i="4"/>
  <c r="F841" i="4"/>
  <c r="G841" i="4"/>
  <c r="H841" i="4"/>
  <c r="I841" i="4"/>
  <c r="J841" i="4"/>
  <c r="K841" i="4"/>
  <c r="B842" i="4"/>
  <c r="C842" i="4"/>
  <c r="D842" i="4"/>
  <c r="E842" i="4"/>
  <c r="F842" i="4"/>
  <c r="G842" i="4"/>
  <c r="H842" i="4"/>
  <c r="I842" i="4"/>
  <c r="J842" i="4"/>
  <c r="K842" i="4"/>
  <c r="B843" i="4"/>
  <c r="C843" i="4"/>
  <c r="D843" i="4"/>
  <c r="E843" i="4"/>
  <c r="F843" i="4"/>
  <c r="G843" i="4"/>
  <c r="H843" i="4"/>
  <c r="I843" i="4"/>
  <c r="J843" i="4"/>
  <c r="K843" i="4"/>
  <c r="B844" i="4"/>
  <c r="C844" i="4"/>
  <c r="D844" i="4"/>
  <c r="E844" i="4"/>
  <c r="F844" i="4"/>
  <c r="G844" i="4"/>
  <c r="H844" i="4"/>
  <c r="I844" i="4"/>
  <c r="J844" i="4"/>
  <c r="K844" i="4"/>
  <c r="B845" i="4"/>
  <c r="C845" i="4"/>
  <c r="D845" i="4"/>
  <c r="E845" i="4"/>
  <c r="F845" i="4"/>
  <c r="G845" i="4"/>
  <c r="H845" i="4"/>
  <c r="I845" i="4"/>
  <c r="J845" i="4"/>
  <c r="K845" i="4"/>
  <c r="B846" i="4"/>
  <c r="C846" i="4"/>
  <c r="D846" i="4"/>
  <c r="E846" i="4"/>
  <c r="F846" i="4"/>
  <c r="G846" i="4"/>
  <c r="H846" i="4"/>
  <c r="I846" i="4"/>
  <c r="J846" i="4"/>
  <c r="K846" i="4"/>
  <c r="B847" i="4"/>
  <c r="C847" i="4"/>
  <c r="D847" i="4"/>
  <c r="E847" i="4"/>
  <c r="F847" i="4"/>
  <c r="G847" i="4"/>
  <c r="H847" i="4"/>
  <c r="I847" i="4"/>
  <c r="J847" i="4"/>
  <c r="K847" i="4"/>
  <c r="B848" i="4"/>
  <c r="C848" i="4"/>
  <c r="D848" i="4"/>
  <c r="E848" i="4"/>
  <c r="F848" i="4"/>
  <c r="G848" i="4"/>
  <c r="H848" i="4"/>
  <c r="I848" i="4"/>
  <c r="J848" i="4"/>
  <c r="K848" i="4"/>
  <c r="B849" i="4"/>
  <c r="C849" i="4"/>
  <c r="D849" i="4"/>
  <c r="E849" i="4"/>
  <c r="F849" i="4"/>
  <c r="G849" i="4"/>
  <c r="H849" i="4"/>
  <c r="I849" i="4"/>
  <c r="J849" i="4"/>
  <c r="K849" i="4"/>
  <c r="B850" i="4"/>
  <c r="C850" i="4"/>
  <c r="D850" i="4"/>
  <c r="E850" i="4"/>
  <c r="F850" i="4"/>
  <c r="G850" i="4"/>
  <c r="H850" i="4"/>
  <c r="I850" i="4"/>
  <c r="J850" i="4"/>
  <c r="K850" i="4"/>
  <c r="B851" i="4"/>
  <c r="C851" i="4"/>
  <c r="D851" i="4"/>
  <c r="E851" i="4"/>
  <c r="F851" i="4"/>
  <c r="G851" i="4"/>
  <c r="H851" i="4"/>
  <c r="I851" i="4"/>
  <c r="J851" i="4"/>
  <c r="K851" i="4"/>
  <c r="B852" i="4"/>
  <c r="C852" i="4"/>
  <c r="D852" i="4"/>
  <c r="E852" i="4"/>
  <c r="F852" i="4"/>
  <c r="G852" i="4"/>
  <c r="H852" i="4"/>
  <c r="I852" i="4"/>
  <c r="J852" i="4"/>
  <c r="K852" i="4"/>
  <c r="B853" i="4"/>
  <c r="C853" i="4"/>
  <c r="D853" i="4"/>
  <c r="E853" i="4"/>
  <c r="F853" i="4"/>
  <c r="G853" i="4"/>
  <c r="H853" i="4"/>
  <c r="I853" i="4"/>
  <c r="J853" i="4"/>
  <c r="K853" i="4"/>
  <c r="B854" i="4"/>
  <c r="C854" i="4"/>
  <c r="D854" i="4"/>
  <c r="E854" i="4"/>
  <c r="F854" i="4"/>
  <c r="G854" i="4"/>
  <c r="H854" i="4"/>
  <c r="I854" i="4"/>
  <c r="J854" i="4"/>
  <c r="K854" i="4"/>
  <c r="B855" i="4"/>
  <c r="C855" i="4"/>
  <c r="D855" i="4"/>
  <c r="E855" i="4"/>
  <c r="F855" i="4"/>
  <c r="G855" i="4"/>
  <c r="H855" i="4"/>
  <c r="I855" i="4"/>
  <c r="J855" i="4"/>
  <c r="K855" i="4"/>
  <c r="B856" i="4"/>
  <c r="C856" i="4"/>
  <c r="D856" i="4"/>
  <c r="E856" i="4"/>
  <c r="F856" i="4"/>
  <c r="G856" i="4"/>
  <c r="H856" i="4"/>
  <c r="I856" i="4"/>
  <c r="J856" i="4"/>
  <c r="K856" i="4"/>
  <c r="B857" i="4"/>
  <c r="C857" i="4"/>
  <c r="D857" i="4"/>
  <c r="E857" i="4"/>
  <c r="F857" i="4"/>
  <c r="G857" i="4"/>
  <c r="H857" i="4"/>
  <c r="I857" i="4"/>
  <c r="J857" i="4"/>
  <c r="K857" i="4"/>
  <c r="B858" i="4"/>
  <c r="C858" i="4"/>
  <c r="D858" i="4"/>
  <c r="E858" i="4"/>
  <c r="F858" i="4"/>
  <c r="G858" i="4"/>
  <c r="H858" i="4"/>
  <c r="I858" i="4"/>
  <c r="J858" i="4"/>
  <c r="K858" i="4"/>
  <c r="B859" i="4"/>
  <c r="C859" i="4"/>
  <c r="D859" i="4"/>
  <c r="E859" i="4"/>
  <c r="F859" i="4"/>
  <c r="G859" i="4"/>
  <c r="H859" i="4"/>
  <c r="I859" i="4"/>
  <c r="J859" i="4"/>
  <c r="K859" i="4"/>
  <c r="B860" i="4"/>
  <c r="C860" i="4"/>
  <c r="D860" i="4"/>
  <c r="E860" i="4"/>
  <c r="F860" i="4"/>
  <c r="G860" i="4"/>
  <c r="H860" i="4"/>
  <c r="I860" i="4"/>
  <c r="J860" i="4"/>
  <c r="K860" i="4"/>
  <c r="B861" i="4"/>
  <c r="C861" i="4"/>
  <c r="D861" i="4"/>
  <c r="E861" i="4"/>
  <c r="F861" i="4"/>
  <c r="G861" i="4"/>
  <c r="H861" i="4"/>
  <c r="I861" i="4"/>
  <c r="J861" i="4"/>
  <c r="K861" i="4"/>
  <c r="B862" i="4"/>
  <c r="C862" i="4"/>
  <c r="D862" i="4"/>
  <c r="E862" i="4"/>
  <c r="F862" i="4"/>
  <c r="G862" i="4"/>
  <c r="H862" i="4"/>
  <c r="I862" i="4"/>
  <c r="J862" i="4"/>
  <c r="K862" i="4"/>
  <c r="B863" i="4"/>
  <c r="C863" i="4"/>
  <c r="D863" i="4"/>
  <c r="E863" i="4"/>
  <c r="F863" i="4"/>
  <c r="G863" i="4"/>
  <c r="H863" i="4"/>
  <c r="I863" i="4"/>
  <c r="J863" i="4"/>
  <c r="K863" i="4"/>
  <c r="B864" i="4"/>
  <c r="C864" i="4"/>
  <c r="D864" i="4"/>
  <c r="E864" i="4"/>
  <c r="F864" i="4"/>
  <c r="G864" i="4"/>
  <c r="H864" i="4"/>
  <c r="I864" i="4"/>
  <c r="J864" i="4"/>
  <c r="K864" i="4"/>
  <c r="B865" i="4"/>
  <c r="C865" i="4"/>
  <c r="D865" i="4"/>
  <c r="E865" i="4"/>
  <c r="F865" i="4"/>
  <c r="G865" i="4"/>
  <c r="H865" i="4"/>
  <c r="I865" i="4"/>
  <c r="J865" i="4"/>
  <c r="K865" i="4"/>
  <c r="B866" i="4"/>
  <c r="C866" i="4"/>
  <c r="D866" i="4"/>
  <c r="E866" i="4"/>
  <c r="F866" i="4"/>
  <c r="G866" i="4"/>
  <c r="H866" i="4"/>
  <c r="I866" i="4"/>
  <c r="J866" i="4"/>
  <c r="K866" i="4"/>
  <c r="B867" i="4"/>
  <c r="C867" i="4"/>
  <c r="D867" i="4"/>
  <c r="E867" i="4"/>
  <c r="F867" i="4"/>
  <c r="G867" i="4"/>
  <c r="H867" i="4"/>
  <c r="I867" i="4"/>
  <c r="J867" i="4"/>
  <c r="K867" i="4"/>
  <c r="B868" i="4"/>
  <c r="C868" i="4"/>
  <c r="D868" i="4"/>
  <c r="E868" i="4"/>
  <c r="F868" i="4"/>
  <c r="G868" i="4"/>
  <c r="H868" i="4"/>
  <c r="I868" i="4"/>
  <c r="J868" i="4"/>
  <c r="K868" i="4"/>
  <c r="B869" i="4"/>
  <c r="C869" i="4"/>
  <c r="D869" i="4"/>
  <c r="E869" i="4"/>
  <c r="F869" i="4"/>
  <c r="G869" i="4"/>
  <c r="H869" i="4"/>
  <c r="I869" i="4"/>
  <c r="J869" i="4"/>
  <c r="K869" i="4"/>
  <c r="B870" i="4"/>
  <c r="C870" i="4"/>
  <c r="D870" i="4"/>
  <c r="E870" i="4"/>
  <c r="F870" i="4"/>
  <c r="G870" i="4"/>
  <c r="H870" i="4"/>
  <c r="I870" i="4"/>
  <c r="J870" i="4"/>
  <c r="K870" i="4"/>
  <c r="B871" i="4"/>
  <c r="C871" i="4"/>
  <c r="D871" i="4"/>
  <c r="E871" i="4"/>
  <c r="F871" i="4"/>
  <c r="G871" i="4"/>
  <c r="H871" i="4"/>
  <c r="I871" i="4"/>
  <c r="J871" i="4"/>
  <c r="K871" i="4"/>
  <c r="B872" i="4"/>
  <c r="C872" i="4"/>
  <c r="D872" i="4"/>
  <c r="E872" i="4"/>
  <c r="F872" i="4"/>
  <c r="G872" i="4"/>
  <c r="H872" i="4"/>
  <c r="I872" i="4"/>
  <c r="J872" i="4"/>
  <c r="K872" i="4"/>
  <c r="B873" i="4"/>
  <c r="C873" i="4"/>
  <c r="D873" i="4"/>
  <c r="E873" i="4"/>
  <c r="F873" i="4"/>
  <c r="G873" i="4"/>
  <c r="H873" i="4"/>
  <c r="I873" i="4"/>
  <c r="J873" i="4"/>
  <c r="K873" i="4"/>
  <c r="B874" i="4"/>
  <c r="C874" i="4"/>
  <c r="D874" i="4"/>
  <c r="E874" i="4"/>
  <c r="F874" i="4"/>
  <c r="G874" i="4"/>
  <c r="H874" i="4"/>
  <c r="I874" i="4"/>
  <c r="J874" i="4"/>
  <c r="K874" i="4"/>
  <c r="B875" i="4"/>
  <c r="C875" i="4"/>
  <c r="D875" i="4"/>
  <c r="E875" i="4"/>
  <c r="F875" i="4"/>
  <c r="G875" i="4"/>
  <c r="H875" i="4"/>
  <c r="I875" i="4"/>
  <c r="J875" i="4"/>
  <c r="K875" i="4"/>
  <c r="B876" i="4"/>
  <c r="C876" i="4"/>
  <c r="D876" i="4"/>
  <c r="E876" i="4"/>
  <c r="F876" i="4"/>
  <c r="G876" i="4"/>
  <c r="H876" i="4"/>
  <c r="I876" i="4"/>
  <c r="J876" i="4"/>
  <c r="K876" i="4"/>
  <c r="B877" i="4"/>
  <c r="C877" i="4"/>
  <c r="D877" i="4"/>
  <c r="E877" i="4"/>
  <c r="F877" i="4"/>
  <c r="G877" i="4"/>
  <c r="H877" i="4"/>
  <c r="I877" i="4"/>
  <c r="J877" i="4"/>
  <c r="K877" i="4"/>
  <c r="B878" i="4"/>
  <c r="C878" i="4"/>
  <c r="D878" i="4"/>
  <c r="E878" i="4"/>
  <c r="F878" i="4"/>
  <c r="G878" i="4"/>
  <c r="H878" i="4"/>
  <c r="I878" i="4"/>
  <c r="J878" i="4"/>
  <c r="K878" i="4"/>
  <c r="B879" i="4"/>
  <c r="C879" i="4"/>
  <c r="D879" i="4"/>
  <c r="E879" i="4"/>
  <c r="F879" i="4"/>
  <c r="G879" i="4"/>
  <c r="H879" i="4"/>
  <c r="I879" i="4"/>
  <c r="J879" i="4"/>
  <c r="K879" i="4"/>
  <c r="B880" i="4"/>
  <c r="C880" i="4"/>
  <c r="D880" i="4"/>
  <c r="E880" i="4"/>
  <c r="F880" i="4"/>
  <c r="G880" i="4"/>
  <c r="H880" i="4"/>
  <c r="I880" i="4"/>
  <c r="J880" i="4"/>
  <c r="K880" i="4"/>
  <c r="B881" i="4"/>
  <c r="C881" i="4"/>
  <c r="D881" i="4"/>
  <c r="E881" i="4"/>
  <c r="F881" i="4"/>
  <c r="G881" i="4"/>
  <c r="H881" i="4"/>
  <c r="I881" i="4"/>
  <c r="J881" i="4"/>
  <c r="K881" i="4"/>
  <c r="B882" i="4"/>
  <c r="C882" i="4"/>
  <c r="D882" i="4"/>
  <c r="E882" i="4"/>
  <c r="F882" i="4"/>
  <c r="G882" i="4"/>
  <c r="H882" i="4"/>
  <c r="I882" i="4"/>
  <c r="J882" i="4"/>
  <c r="K882" i="4"/>
  <c r="B883" i="4"/>
  <c r="C883" i="4"/>
  <c r="D883" i="4"/>
  <c r="E883" i="4"/>
  <c r="F883" i="4"/>
  <c r="G883" i="4"/>
  <c r="H883" i="4"/>
  <c r="I883" i="4"/>
  <c r="J883" i="4"/>
  <c r="K883" i="4"/>
  <c r="B884" i="4"/>
  <c r="C884" i="4"/>
  <c r="D884" i="4"/>
  <c r="E884" i="4"/>
  <c r="F884" i="4"/>
  <c r="G884" i="4"/>
  <c r="H884" i="4"/>
  <c r="I884" i="4"/>
  <c r="J884" i="4"/>
  <c r="K884" i="4"/>
  <c r="B885" i="4"/>
  <c r="C885" i="4"/>
  <c r="D885" i="4"/>
  <c r="E885" i="4"/>
  <c r="F885" i="4"/>
  <c r="G885" i="4"/>
  <c r="H885" i="4"/>
  <c r="I885" i="4"/>
  <c r="J885" i="4"/>
  <c r="K885" i="4"/>
  <c r="B886" i="4"/>
  <c r="C886" i="4"/>
  <c r="D886" i="4"/>
  <c r="E886" i="4"/>
  <c r="F886" i="4"/>
  <c r="G886" i="4"/>
  <c r="H886" i="4"/>
  <c r="I886" i="4"/>
  <c r="J886" i="4"/>
  <c r="K886" i="4"/>
  <c r="B887" i="4"/>
  <c r="C887" i="4"/>
  <c r="D887" i="4"/>
  <c r="E887" i="4"/>
  <c r="F887" i="4"/>
  <c r="G887" i="4"/>
  <c r="H887" i="4"/>
  <c r="I887" i="4"/>
  <c r="J887" i="4"/>
  <c r="K887" i="4"/>
  <c r="B888" i="4"/>
  <c r="C888" i="4"/>
  <c r="D888" i="4"/>
  <c r="E888" i="4"/>
  <c r="F888" i="4"/>
  <c r="G888" i="4"/>
  <c r="H888" i="4"/>
  <c r="I888" i="4"/>
  <c r="J888" i="4"/>
  <c r="K888" i="4"/>
  <c r="B889" i="4"/>
  <c r="C889" i="4"/>
  <c r="D889" i="4"/>
  <c r="E889" i="4"/>
  <c r="F889" i="4"/>
  <c r="G889" i="4"/>
  <c r="H889" i="4"/>
  <c r="I889" i="4"/>
  <c r="J889" i="4"/>
  <c r="K889" i="4"/>
  <c r="B890" i="4"/>
  <c r="C890" i="4"/>
  <c r="D890" i="4"/>
  <c r="E890" i="4"/>
  <c r="F890" i="4"/>
  <c r="G890" i="4"/>
  <c r="H890" i="4"/>
  <c r="I890" i="4"/>
  <c r="J890" i="4"/>
  <c r="K890" i="4"/>
  <c r="B891" i="4"/>
  <c r="C891" i="4"/>
  <c r="D891" i="4"/>
  <c r="E891" i="4"/>
  <c r="F891" i="4"/>
  <c r="G891" i="4"/>
  <c r="H891" i="4"/>
  <c r="I891" i="4"/>
  <c r="J891" i="4"/>
  <c r="K891" i="4"/>
  <c r="B892" i="4"/>
  <c r="C892" i="4"/>
  <c r="D892" i="4"/>
  <c r="E892" i="4"/>
  <c r="F892" i="4"/>
  <c r="G892" i="4"/>
  <c r="H892" i="4"/>
  <c r="I892" i="4"/>
  <c r="J892" i="4"/>
  <c r="K892" i="4"/>
  <c r="B893" i="4"/>
  <c r="C893" i="4"/>
  <c r="D893" i="4"/>
  <c r="E893" i="4"/>
  <c r="F893" i="4"/>
  <c r="G893" i="4"/>
  <c r="H893" i="4"/>
  <c r="I893" i="4"/>
  <c r="J893" i="4"/>
  <c r="K893" i="4"/>
  <c r="B894" i="4"/>
  <c r="C894" i="4"/>
  <c r="D894" i="4"/>
  <c r="E894" i="4"/>
  <c r="F894" i="4"/>
  <c r="G894" i="4"/>
  <c r="H894" i="4"/>
  <c r="I894" i="4"/>
  <c r="J894" i="4"/>
  <c r="K894" i="4"/>
  <c r="B895" i="4"/>
  <c r="C895" i="4"/>
  <c r="D895" i="4"/>
  <c r="E895" i="4"/>
  <c r="F895" i="4"/>
  <c r="G895" i="4"/>
  <c r="H895" i="4"/>
  <c r="I895" i="4"/>
  <c r="J895" i="4"/>
  <c r="K895" i="4"/>
  <c r="B896" i="4"/>
  <c r="C896" i="4"/>
  <c r="D896" i="4"/>
  <c r="E896" i="4"/>
  <c r="F896" i="4"/>
  <c r="G896" i="4"/>
  <c r="H896" i="4"/>
  <c r="I896" i="4"/>
  <c r="J896" i="4"/>
  <c r="K896" i="4"/>
  <c r="B897" i="4"/>
  <c r="C897" i="4"/>
  <c r="D897" i="4"/>
  <c r="E897" i="4"/>
  <c r="F897" i="4"/>
  <c r="G897" i="4"/>
  <c r="H897" i="4"/>
  <c r="I897" i="4"/>
  <c r="J897" i="4"/>
  <c r="K897" i="4"/>
  <c r="B898" i="4"/>
  <c r="C898" i="4"/>
  <c r="D898" i="4"/>
  <c r="E898" i="4"/>
  <c r="F898" i="4"/>
  <c r="G898" i="4"/>
  <c r="H898" i="4"/>
  <c r="I898" i="4"/>
  <c r="J898" i="4"/>
  <c r="K898" i="4"/>
  <c r="B899" i="4"/>
  <c r="C899" i="4"/>
  <c r="D899" i="4"/>
  <c r="E899" i="4"/>
  <c r="F899" i="4"/>
  <c r="G899" i="4"/>
  <c r="H899" i="4"/>
  <c r="I899" i="4"/>
  <c r="J899" i="4"/>
  <c r="K899" i="4"/>
  <c r="B900" i="4"/>
  <c r="C900" i="4"/>
  <c r="D900" i="4"/>
  <c r="E900" i="4"/>
  <c r="F900" i="4"/>
  <c r="G900" i="4"/>
  <c r="H900" i="4"/>
  <c r="I900" i="4"/>
  <c r="J900" i="4"/>
  <c r="K900" i="4"/>
  <c r="B901" i="4"/>
  <c r="C901" i="4"/>
  <c r="D901" i="4"/>
  <c r="E901" i="4"/>
  <c r="F901" i="4"/>
  <c r="G901" i="4"/>
  <c r="H901" i="4"/>
  <c r="I901" i="4"/>
  <c r="J901" i="4"/>
  <c r="K901" i="4"/>
  <c r="B902" i="4"/>
  <c r="C902" i="4"/>
  <c r="D902" i="4"/>
  <c r="E902" i="4"/>
  <c r="F902" i="4"/>
  <c r="G902" i="4"/>
  <c r="H902" i="4"/>
  <c r="I902" i="4"/>
  <c r="J902" i="4"/>
  <c r="K902" i="4"/>
  <c r="B903" i="4"/>
  <c r="C903" i="4"/>
  <c r="D903" i="4"/>
  <c r="E903" i="4"/>
  <c r="F903" i="4"/>
  <c r="G903" i="4"/>
  <c r="H903" i="4"/>
  <c r="I903" i="4"/>
  <c r="J903" i="4"/>
  <c r="K903" i="4"/>
  <c r="B904" i="4"/>
  <c r="C904" i="4"/>
  <c r="D904" i="4"/>
  <c r="E904" i="4"/>
  <c r="F904" i="4"/>
  <c r="G904" i="4"/>
  <c r="H904" i="4"/>
  <c r="I904" i="4"/>
  <c r="J904" i="4"/>
  <c r="K904" i="4"/>
  <c r="B905" i="4"/>
  <c r="C905" i="4"/>
  <c r="D905" i="4"/>
  <c r="E905" i="4"/>
  <c r="F905" i="4"/>
  <c r="G905" i="4"/>
  <c r="H905" i="4"/>
  <c r="I905" i="4"/>
  <c r="J905" i="4"/>
  <c r="K905" i="4"/>
  <c r="B906" i="4"/>
  <c r="C906" i="4"/>
  <c r="D906" i="4"/>
  <c r="E906" i="4"/>
  <c r="F906" i="4"/>
  <c r="G906" i="4"/>
  <c r="H906" i="4"/>
  <c r="I906" i="4"/>
  <c r="J906" i="4"/>
  <c r="K906" i="4"/>
  <c r="B907" i="4"/>
  <c r="C907" i="4"/>
  <c r="D907" i="4"/>
  <c r="E907" i="4"/>
  <c r="F907" i="4"/>
  <c r="G907" i="4"/>
  <c r="H907" i="4"/>
  <c r="I907" i="4"/>
  <c r="J907" i="4"/>
  <c r="K907" i="4"/>
  <c r="B908" i="4"/>
  <c r="C908" i="4"/>
  <c r="D908" i="4"/>
  <c r="E908" i="4"/>
  <c r="F908" i="4"/>
  <c r="G908" i="4"/>
  <c r="H908" i="4"/>
  <c r="I908" i="4"/>
  <c r="J908" i="4"/>
  <c r="K908" i="4"/>
  <c r="B909" i="4"/>
  <c r="C909" i="4"/>
  <c r="D909" i="4"/>
  <c r="E909" i="4"/>
  <c r="F909" i="4"/>
  <c r="G909" i="4"/>
  <c r="H909" i="4"/>
  <c r="I909" i="4"/>
  <c r="J909" i="4"/>
  <c r="K909" i="4"/>
  <c r="B910" i="4"/>
  <c r="C910" i="4"/>
  <c r="D910" i="4"/>
  <c r="E910" i="4"/>
  <c r="F910" i="4"/>
  <c r="G910" i="4"/>
  <c r="H910" i="4"/>
  <c r="I910" i="4"/>
  <c r="J910" i="4"/>
  <c r="K910" i="4"/>
  <c r="B911" i="4"/>
  <c r="C911" i="4"/>
  <c r="D911" i="4"/>
  <c r="E911" i="4"/>
  <c r="F911" i="4"/>
  <c r="G911" i="4"/>
  <c r="H911" i="4"/>
  <c r="I911" i="4"/>
  <c r="J911" i="4"/>
  <c r="K911" i="4"/>
  <c r="B912" i="4"/>
  <c r="C912" i="4"/>
  <c r="D912" i="4"/>
  <c r="E912" i="4"/>
  <c r="F912" i="4"/>
  <c r="G912" i="4"/>
  <c r="H912" i="4"/>
  <c r="I912" i="4"/>
  <c r="J912" i="4"/>
  <c r="K912" i="4"/>
  <c r="B913" i="4"/>
  <c r="C913" i="4"/>
  <c r="D913" i="4"/>
  <c r="E913" i="4"/>
  <c r="F913" i="4"/>
  <c r="G913" i="4"/>
  <c r="H913" i="4"/>
  <c r="I913" i="4"/>
  <c r="J913" i="4"/>
  <c r="K913" i="4"/>
  <c r="B914" i="4"/>
  <c r="C914" i="4"/>
  <c r="D914" i="4"/>
  <c r="E914" i="4"/>
  <c r="F914" i="4"/>
  <c r="G914" i="4"/>
  <c r="H914" i="4"/>
  <c r="I914" i="4"/>
  <c r="J914" i="4"/>
  <c r="K914" i="4"/>
  <c r="B915" i="4"/>
  <c r="C915" i="4"/>
  <c r="D915" i="4"/>
  <c r="E915" i="4"/>
  <c r="F915" i="4"/>
  <c r="G915" i="4"/>
  <c r="H915" i="4"/>
  <c r="I915" i="4"/>
  <c r="J915" i="4"/>
  <c r="K915" i="4"/>
  <c r="B916" i="4"/>
  <c r="C916" i="4"/>
  <c r="D916" i="4"/>
  <c r="E916" i="4"/>
  <c r="F916" i="4"/>
  <c r="G916" i="4"/>
  <c r="H916" i="4"/>
  <c r="I916" i="4"/>
  <c r="J916" i="4"/>
  <c r="K916" i="4"/>
  <c r="B917" i="4"/>
  <c r="C917" i="4"/>
  <c r="D917" i="4"/>
  <c r="E917" i="4"/>
  <c r="F917" i="4"/>
  <c r="G917" i="4"/>
  <c r="H917" i="4"/>
  <c r="I917" i="4"/>
  <c r="J917" i="4"/>
  <c r="K917" i="4"/>
  <c r="B918" i="4"/>
  <c r="C918" i="4"/>
  <c r="D918" i="4"/>
  <c r="E918" i="4"/>
  <c r="F918" i="4"/>
  <c r="G918" i="4"/>
  <c r="H918" i="4"/>
  <c r="I918" i="4"/>
  <c r="J918" i="4"/>
  <c r="K918" i="4"/>
  <c r="B919" i="4"/>
  <c r="C919" i="4"/>
  <c r="D919" i="4"/>
  <c r="E919" i="4"/>
  <c r="F919" i="4"/>
  <c r="G919" i="4"/>
  <c r="H919" i="4"/>
  <c r="I919" i="4"/>
  <c r="J919" i="4"/>
  <c r="K919" i="4"/>
  <c r="B920" i="4"/>
  <c r="C920" i="4"/>
  <c r="D920" i="4"/>
  <c r="E920" i="4"/>
  <c r="F920" i="4"/>
  <c r="G920" i="4"/>
  <c r="H920" i="4"/>
  <c r="I920" i="4"/>
  <c r="J920" i="4"/>
  <c r="K920" i="4"/>
  <c r="B921" i="4"/>
  <c r="C921" i="4"/>
  <c r="D921" i="4"/>
  <c r="E921" i="4"/>
  <c r="F921" i="4"/>
  <c r="G921" i="4"/>
  <c r="H921" i="4"/>
  <c r="I921" i="4"/>
  <c r="J921" i="4"/>
  <c r="K921" i="4"/>
  <c r="B922" i="4"/>
  <c r="C922" i="4"/>
  <c r="D922" i="4"/>
  <c r="E922" i="4"/>
  <c r="F922" i="4"/>
  <c r="G922" i="4"/>
  <c r="H922" i="4"/>
  <c r="I922" i="4"/>
  <c r="J922" i="4"/>
  <c r="K922" i="4"/>
  <c r="B923" i="4"/>
  <c r="C923" i="4"/>
  <c r="D923" i="4"/>
  <c r="E923" i="4"/>
  <c r="F923" i="4"/>
  <c r="G923" i="4"/>
  <c r="H923" i="4"/>
  <c r="I923" i="4"/>
  <c r="J923" i="4"/>
  <c r="K923" i="4"/>
  <c r="B924" i="4"/>
  <c r="C924" i="4"/>
  <c r="D924" i="4"/>
  <c r="E924" i="4"/>
  <c r="F924" i="4"/>
  <c r="G924" i="4"/>
  <c r="H924" i="4"/>
  <c r="I924" i="4"/>
  <c r="J924" i="4"/>
  <c r="K924" i="4"/>
  <c r="B925" i="4"/>
  <c r="C925" i="4"/>
  <c r="D925" i="4"/>
  <c r="E925" i="4"/>
  <c r="F925" i="4"/>
  <c r="G925" i="4"/>
  <c r="H925" i="4"/>
  <c r="I925" i="4"/>
  <c r="J925" i="4"/>
  <c r="K925" i="4"/>
  <c r="B926" i="4"/>
  <c r="C926" i="4"/>
  <c r="D926" i="4"/>
  <c r="E926" i="4"/>
  <c r="F926" i="4"/>
  <c r="G926" i="4"/>
  <c r="H926" i="4"/>
  <c r="I926" i="4"/>
  <c r="J926" i="4"/>
  <c r="K926" i="4"/>
  <c r="B927" i="4"/>
  <c r="C927" i="4"/>
  <c r="D927" i="4"/>
  <c r="E927" i="4"/>
  <c r="F927" i="4"/>
  <c r="G927" i="4"/>
  <c r="H927" i="4"/>
  <c r="I927" i="4"/>
  <c r="J927" i="4"/>
  <c r="K927" i="4"/>
  <c r="B928" i="4"/>
  <c r="C928" i="4"/>
  <c r="D928" i="4"/>
  <c r="E928" i="4"/>
  <c r="F928" i="4"/>
  <c r="G928" i="4"/>
  <c r="H928" i="4"/>
  <c r="I928" i="4"/>
  <c r="J928" i="4"/>
  <c r="K928" i="4"/>
  <c r="B929" i="4"/>
  <c r="C929" i="4"/>
  <c r="D929" i="4"/>
  <c r="E929" i="4"/>
  <c r="F929" i="4"/>
  <c r="G929" i="4"/>
  <c r="H929" i="4"/>
  <c r="I929" i="4"/>
  <c r="J929" i="4"/>
  <c r="K929" i="4"/>
  <c r="B930" i="4"/>
  <c r="C930" i="4"/>
  <c r="D930" i="4"/>
  <c r="E930" i="4"/>
  <c r="F930" i="4"/>
  <c r="G930" i="4"/>
  <c r="H930" i="4"/>
  <c r="I930" i="4"/>
  <c r="J930" i="4"/>
  <c r="K930" i="4"/>
  <c r="B931" i="4"/>
  <c r="C931" i="4"/>
  <c r="D931" i="4"/>
  <c r="E931" i="4"/>
  <c r="F931" i="4"/>
  <c r="G931" i="4"/>
  <c r="H931" i="4"/>
  <c r="I931" i="4"/>
  <c r="J931" i="4"/>
  <c r="K931" i="4"/>
  <c r="B932" i="4"/>
  <c r="C932" i="4"/>
  <c r="D932" i="4"/>
  <c r="E932" i="4"/>
  <c r="F932" i="4"/>
  <c r="G932" i="4"/>
  <c r="H932" i="4"/>
  <c r="I932" i="4"/>
  <c r="J932" i="4"/>
  <c r="K932" i="4"/>
  <c r="B933" i="4"/>
  <c r="C933" i="4"/>
  <c r="D933" i="4"/>
  <c r="E933" i="4"/>
  <c r="F933" i="4"/>
  <c r="G933" i="4"/>
  <c r="H933" i="4"/>
  <c r="I933" i="4"/>
  <c r="J933" i="4"/>
  <c r="K933" i="4"/>
  <c r="B934" i="4"/>
  <c r="C934" i="4"/>
  <c r="D934" i="4"/>
  <c r="E934" i="4"/>
  <c r="F934" i="4"/>
  <c r="G934" i="4"/>
  <c r="H934" i="4"/>
  <c r="I934" i="4"/>
  <c r="J934" i="4"/>
  <c r="K934" i="4"/>
  <c r="B935" i="4"/>
  <c r="C935" i="4"/>
  <c r="D935" i="4"/>
  <c r="E935" i="4"/>
  <c r="F935" i="4"/>
  <c r="G935" i="4"/>
  <c r="H935" i="4"/>
  <c r="I935" i="4"/>
  <c r="J935" i="4"/>
  <c r="K935" i="4"/>
  <c r="B936" i="4"/>
  <c r="C936" i="4"/>
  <c r="D936" i="4"/>
  <c r="E936" i="4"/>
  <c r="F936" i="4"/>
  <c r="G936" i="4"/>
  <c r="H936" i="4"/>
  <c r="I936" i="4"/>
  <c r="J936" i="4"/>
  <c r="K936" i="4"/>
  <c r="B937" i="4"/>
  <c r="C937" i="4"/>
  <c r="D937" i="4"/>
  <c r="E937" i="4"/>
  <c r="F937" i="4"/>
  <c r="G937" i="4"/>
  <c r="H937" i="4"/>
  <c r="I937" i="4"/>
  <c r="J937" i="4"/>
  <c r="K937" i="4"/>
  <c r="B938" i="4"/>
  <c r="C938" i="4"/>
  <c r="D938" i="4"/>
  <c r="E938" i="4"/>
  <c r="F938" i="4"/>
  <c r="G938" i="4"/>
  <c r="H938" i="4"/>
  <c r="I938" i="4"/>
  <c r="J938" i="4"/>
  <c r="K938" i="4"/>
  <c r="B939" i="4"/>
  <c r="C939" i="4"/>
  <c r="D939" i="4"/>
  <c r="E939" i="4"/>
  <c r="F939" i="4"/>
  <c r="G939" i="4"/>
  <c r="H939" i="4"/>
  <c r="I939" i="4"/>
  <c r="J939" i="4"/>
  <c r="K939" i="4"/>
  <c r="B940" i="4"/>
  <c r="C940" i="4"/>
  <c r="D940" i="4"/>
  <c r="E940" i="4"/>
  <c r="F940" i="4"/>
  <c r="G940" i="4"/>
  <c r="H940" i="4"/>
  <c r="I940" i="4"/>
  <c r="J940" i="4"/>
  <c r="K940" i="4"/>
  <c r="B941" i="4"/>
  <c r="C941" i="4"/>
  <c r="D941" i="4"/>
  <c r="E941" i="4"/>
  <c r="F941" i="4"/>
  <c r="G941" i="4"/>
  <c r="H941" i="4"/>
  <c r="I941" i="4"/>
  <c r="J941" i="4"/>
  <c r="K941" i="4"/>
  <c r="B942" i="4"/>
  <c r="C942" i="4"/>
  <c r="D942" i="4"/>
  <c r="E942" i="4"/>
  <c r="F942" i="4"/>
  <c r="G942" i="4"/>
  <c r="H942" i="4"/>
  <c r="I942" i="4"/>
  <c r="J942" i="4"/>
  <c r="K942" i="4"/>
  <c r="B943" i="4"/>
  <c r="C943" i="4"/>
  <c r="D943" i="4"/>
  <c r="E943" i="4"/>
  <c r="F943" i="4"/>
  <c r="G943" i="4"/>
  <c r="H943" i="4"/>
  <c r="I943" i="4"/>
  <c r="J943" i="4"/>
  <c r="K943" i="4"/>
  <c r="B944" i="4"/>
  <c r="C944" i="4"/>
  <c r="D944" i="4"/>
  <c r="E944" i="4"/>
  <c r="F944" i="4"/>
  <c r="G944" i="4"/>
  <c r="H944" i="4"/>
  <c r="I944" i="4"/>
  <c r="J944" i="4"/>
  <c r="K944" i="4"/>
  <c r="B945" i="4"/>
  <c r="C945" i="4"/>
  <c r="D945" i="4"/>
  <c r="E945" i="4"/>
  <c r="F945" i="4"/>
  <c r="G945" i="4"/>
  <c r="H945" i="4"/>
  <c r="I945" i="4"/>
  <c r="J945" i="4"/>
  <c r="K945" i="4"/>
  <c r="B946" i="4"/>
  <c r="C946" i="4"/>
  <c r="D946" i="4"/>
  <c r="E946" i="4"/>
  <c r="F946" i="4"/>
  <c r="G946" i="4"/>
  <c r="H946" i="4"/>
  <c r="I946" i="4"/>
  <c r="J946" i="4"/>
  <c r="K946" i="4"/>
  <c r="B947" i="4"/>
  <c r="C947" i="4"/>
  <c r="D947" i="4"/>
  <c r="E947" i="4"/>
  <c r="F947" i="4"/>
  <c r="G947" i="4"/>
  <c r="H947" i="4"/>
  <c r="I947" i="4"/>
  <c r="J947" i="4"/>
  <c r="K947" i="4"/>
  <c r="B948" i="4"/>
  <c r="C948" i="4"/>
  <c r="D948" i="4"/>
  <c r="E948" i="4"/>
  <c r="F948" i="4"/>
  <c r="G948" i="4"/>
  <c r="H948" i="4"/>
  <c r="I948" i="4"/>
  <c r="J948" i="4"/>
  <c r="K948" i="4"/>
  <c r="B949" i="4"/>
  <c r="C949" i="4"/>
  <c r="D949" i="4"/>
  <c r="E949" i="4"/>
  <c r="F949" i="4"/>
  <c r="G949" i="4"/>
  <c r="H949" i="4"/>
  <c r="I949" i="4"/>
  <c r="J949" i="4"/>
  <c r="K949" i="4"/>
  <c r="B950" i="4"/>
  <c r="C950" i="4"/>
  <c r="D950" i="4"/>
  <c r="E950" i="4"/>
  <c r="F950" i="4"/>
  <c r="G950" i="4"/>
  <c r="H950" i="4"/>
  <c r="I950" i="4"/>
  <c r="J950" i="4"/>
  <c r="K950" i="4"/>
  <c r="B951" i="4"/>
  <c r="C951" i="4"/>
  <c r="D951" i="4"/>
  <c r="E951" i="4"/>
  <c r="F951" i="4"/>
  <c r="G951" i="4"/>
  <c r="H951" i="4"/>
  <c r="I951" i="4"/>
  <c r="J951" i="4"/>
  <c r="K951" i="4"/>
  <c r="B952" i="4"/>
  <c r="C952" i="4"/>
  <c r="D952" i="4"/>
  <c r="E952" i="4"/>
  <c r="F952" i="4"/>
  <c r="G952" i="4"/>
  <c r="H952" i="4"/>
  <c r="I952" i="4"/>
  <c r="J952" i="4"/>
  <c r="K952" i="4"/>
  <c r="B953" i="4"/>
  <c r="C953" i="4"/>
  <c r="D953" i="4"/>
  <c r="E953" i="4"/>
  <c r="F953" i="4"/>
  <c r="G953" i="4"/>
  <c r="H953" i="4"/>
  <c r="I953" i="4"/>
  <c r="J953" i="4"/>
  <c r="K953" i="4"/>
  <c r="B954" i="4"/>
  <c r="C954" i="4"/>
  <c r="D954" i="4"/>
  <c r="E954" i="4"/>
  <c r="F954" i="4"/>
  <c r="G954" i="4"/>
  <c r="H954" i="4"/>
  <c r="I954" i="4"/>
  <c r="J954" i="4"/>
  <c r="K954" i="4"/>
  <c r="B955" i="4"/>
  <c r="C955" i="4"/>
  <c r="D955" i="4"/>
  <c r="E955" i="4"/>
  <c r="F955" i="4"/>
  <c r="G955" i="4"/>
  <c r="H955" i="4"/>
  <c r="I955" i="4"/>
  <c r="J955" i="4"/>
  <c r="K955" i="4"/>
  <c r="B956" i="4"/>
  <c r="C956" i="4"/>
  <c r="D956" i="4"/>
  <c r="E956" i="4"/>
  <c r="F956" i="4"/>
  <c r="G956" i="4"/>
  <c r="H956" i="4"/>
  <c r="I956" i="4"/>
  <c r="J956" i="4"/>
  <c r="K956" i="4"/>
  <c r="B957" i="4"/>
  <c r="C957" i="4"/>
  <c r="D957" i="4"/>
  <c r="E957" i="4"/>
  <c r="F957" i="4"/>
  <c r="G957" i="4"/>
  <c r="H957" i="4"/>
  <c r="I957" i="4"/>
  <c r="J957" i="4"/>
  <c r="K957" i="4"/>
  <c r="B958" i="4"/>
  <c r="C958" i="4"/>
  <c r="D958" i="4"/>
  <c r="E958" i="4"/>
  <c r="F958" i="4"/>
  <c r="G958" i="4"/>
  <c r="H958" i="4"/>
  <c r="I958" i="4"/>
  <c r="J958" i="4"/>
  <c r="K958" i="4"/>
  <c r="B959" i="4"/>
  <c r="C959" i="4"/>
  <c r="D959" i="4"/>
  <c r="E959" i="4"/>
  <c r="F959" i="4"/>
  <c r="G959" i="4"/>
  <c r="H959" i="4"/>
  <c r="I959" i="4"/>
  <c r="J959" i="4"/>
  <c r="K959" i="4"/>
  <c r="B960" i="4"/>
  <c r="C960" i="4"/>
  <c r="D960" i="4"/>
  <c r="E960" i="4"/>
  <c r="F960" i="4"/>
  <c r="G960" i="4"/>
  <c r="H960" i="4"/>
  <c r="I960" i="4"/>
  <c r="J960" i="4"/>
  <c r="K960" i="4"/>
  <c r="B961" i="4"/>
  <c r="C961" i="4"/>
  <c r="D961" i="4"/>
  <c r="E961" i="4"/>
  <c r="F961" i="4"/>
  <c r="G961" i="4"/>
  <c r="H961" i="4"/>
  <c r="I961" i="4"/>
  <c r="J961" i="4"/>
  <c r="K961" i="4"/>
  <c r="B962" i="4"/>
  <c r="C962" i="4"/>
  <c r="D962" i="4"/>
  <c r="E962" i="4"/>
  <c r="F962" i="4"/>
  <c r="G962" i="4"/>
  <c r="H962" i="4"/>
  <c r="I962" i="4"/>
  <c r="J962" i="4"/>
  <c r="K962" i="4"/>
  <c r="B963" i="4"/>
  <c r="C963" i="4"/>
  <c r="D963" i="4"/>
  <c r="E963" i="4"/>
  <c r="F963" i="4"/>
  <c r="G963" i="4"/>
  <c r="H963" i="4"/>
  <c r="I963" i="4"/>
  <c r="J963" i="4"/>
  <c r="K963" i="4"/>
  <c r="B964" i="4"/>
  <c r="C964" i="4"/>
  <c r="D964" i="4"/>
  <c r="E964" i="4"/>
  <c r="F964" i="4"/>
  <c r="G964" i="4"/>
  <c r="H964" i="4"/>
  <c r="I964" i="4"/>
  <c r="J964" i="4"/>
  <c r="K964" i="4"/>
  <c r="B965" i="4"/>
  <c r="C965" i="4"/>
  <c r="D965" i="4"/>
  <c r="E965" i="4"/>
  <c r="F965" i="4"/>
  <c r="G965" i="4"/>
  <c r="H965" i="4"/>
  <c r="I965" i="4"/>
  <c r="J965" i="4"/>
  <c r="K965" i="4"/>
  <c r="B966" i="4"/>
  <c r="C966" i="4"/>
  <c r="D966" i="4"/>
  <c r="E966" i="4"/>
  <c r="F966" i="4"/>
  <c r="G966" i="4"/>
  <c r="H966" i="4"/>
  <c r="I966" i="4"/>
  <c r="J966" i="4"/>
  <c r="K966" i="4"/>
  <c r="B967" i="4"/>
  <c r="C967" i="4"/>
  <c r="D967" i="4"/>
  <c r="E967" i="4"/>
  <c r="F967" i="4"/>
  <c r="G967" i="4"/>
  <c r="H967" i="4"/>
  <c r="I967" i="4"/>
  <c r="J967" i="4"/>
  <c r="K967" i="4"/>
  <c r="B968" i="4"/>
  <c r="C968" i="4"/>
  <c r="D968" i="4"/>
  <c r="E968" i="4"/>
  <c r="F968" i="4"/>
  <c r="G968" i="4"/>
  <c r="H968" i="4"/>
  <c r="I968" i="4"/>
  <c r="J968" i="4"/>
  <c r="K968" i="4"/>
  <c r="B969" i="4"/>
  <c r="C969" i="4"/>
  <c r="D969" i="4"/>
  <c r="E969" i="4"/>
  <c r="F969" i="4"/>
  <c r="G969" i="4"/>
  <c r="H969" i="4"/>
  <c r="I969" i="4"/>
  <c r="J969" i="4"/>
  <c r="K969" i="4"/>
  <c r="B970" i="4"/>
  <c r="C970" i="4"/>
  <c r="D970" i="4"/>
  <c r="E970" i="4"/>
  <c r="F970" i="4"/>
  <c r="G970" i="4"/>
  <c r="H970" i="4"/>
  <c r="I970" i="4"/>
  <c r="J970" i="4"/>
  <c r="K970" i="4"/>
  <c r="B971" i="4"/>
  <c r="C971" i="4"/>
  <c r="D971" i="4"/>
  <c r="E971" i="4"/>
  <c r="F971" i="4"/>
  <c r="G971" i="4"/>
  <c r="H971" i="4"/>
  <c r="I971" i="4"/>
  <c r="J971" i="4"/>
  <c r="K971" i="4"/>
  <c r="B972" i="4"/>
  <c r="C972" i="4"/>
  <c r="D972" i="4"/>
  <c r="E972" i="4"/>
  <c r="F972" i="4"/>
  <c r="G972" i="4"/>
  <c r="H972" i="4"/>
  <c r="I972" i="4"/>
  <c r="J972" i="4"/>
  <c r="K972" i="4"/>
  <c r="B973" i="4"/>
  <c r="C973" i="4"/>
  <c r="D973" i="4"/>
  <c r="E973" i="4"/>
  <c r="F973" i="4"/>
  <c r="G973" i="4"/>
  <c r="H973" i="4"/>
  <c r="I973" i="4"/>
  <c r="J973" i="4"/>
  <c r="K973" i="4"/>
  <c r="B974" i="4"/>
  <c r="C974" i="4"/>
  <c r="D974" i="4"/>
  <c r="E974" i="4"/>
  <c r="F974" i="4"/>
  <c r="G974" i="4"/>
  <c r="H974" i="4"/>
  <c r="I974" i="4"/>
  <c r="J974" i="4"/>
  <c r="K974" i="4"/>
  <c r="B975" i="4"/>
  <c r="C975" i="4"/>
  <c r="D975" i="4"/>
  <c r="E975" i="4"/>
  <c r="F975" i="4"/>
  <c r="G975" i="4"/>
  <c r="H975" i="4"/>
  <c r="I975" i="4"/>
  <c r="J975" i="4"/>
  <c r="K975" i="4"/>
  <c r="B976" i="4"/>
  <c r="C976" i="4"/>
  <c r="D976" i="4"/>
  <c r="E976" i="4"/>
  <c r="F976" i="4"/>
  <c r="G976" i="4"/>
  <c r="H976" i="4"/>
  <c r="I976" i="4"/>
  <c r="J976" i="4"/>
  <c r="K976" i="4"/>
  <c r="B977" i="4"/>
  <c r="C977" i="4"/>
  <c r="D977" i="4"/>
  <c r="E977" i="4"/>
  <c r="F977" i="4"/>
  <c r="G977" i="4"/>
  <c r="H977" i="4"/>
  <c r="I977" i="4"/>
  <c r="J977" i="4"/>
  <c r="K977" i="4"/>
  <c r="B978" i="4"/>
  <c r="C978" i="4"/>
  <c r="D978" i="4"/>
  <c r="E978" i="4"/>
  <c r="F978" i="4"/>
  <c r="G978" i="4"/>
  <c r="H978" i="4"/>
  <c r="I978" i="4"/>
  <c r="J978" i="4"/>
  <c r="K978" i="4"/>
  <c r="B979" i="4"/>
  <c r="C979" i="4"/>
  <c r="D979" i="4"/>
  <c r="E979" i="4"/>
  <c r="F979" i="4"/>
  <c r="G979" i="4"/>
  <c r="H979" i="4"/>
  <c r="I979" i="4"/>
  <c r="J979" i="4"/>
  <c r="K979" i="4"/>
  <c r="B980" i="4"/>
  <c r="C980" i="4"/>
  <c r="D980" i="4"/>
  <c r="E980" i="4"/>
  <c r="F980" i="4"/>
  <c r="G980" i="4"/>
  <c r="H980" i="4"/>
  <c r="I980" i="4"/>
  <c r="J980" i="4"/>
  <c r="K980" i="4"/>
  <c r="B981" i="4"/>
  <c r="C981" i="4"/>
  <c r="D981" i="4"/>
  <c r="E981" i="4"/>
  <c r="F981" i="4"/>
  <c r="G981" i="4"/>
  <c r="H981" i="4"/>
  <c r="I981" i="4"/>
  <c r="J981" i="4"/>
  <c r="K981" i="4"/>
  <c r="B982" i="4"/>
  <c r="C982" i="4"/>
  <c r="D982" i="4"/>
  <c r="E982" i="4"/>
  <c r="F982" i="4"/>
  <c r="G982" i="4"/>
  <c r="H982" i="4"/>
  <c r="I982" i="4"/>
  <c r="J982" i="4"/>
  <c r="K982" i="4"/>
  <c r="B983" i="4"/>
  <c r="C983" i="4"/>
  <c r="D983" i="4"/>
  <c r="E983" i="4"/>
  <c r="F983" i="4"/>
  <c r="G983" i="4"/>
  <c r="H983" i="4"/>
  <c r="I983" i="4"/>
  <c r="J983" i="4"/>
  <c r="K983" i="4"/>
  <c r="B984" i="4"/>
  <c r="C984" i="4"/>
  <c r="D984" i="4"/>
  <c r="E984" i="4"/>
  <c r="F984" i="4"/>
  <c r="G984" i="4"/>
  <c r="H984" i="4"/>
  <c r="I984" i="4"/>
  <c r="J984" i="4"/>
  <c r="K984" i="4"/>
  <c r="B985" i="4"/>
  <c r="C985" i="4"/>
  <c r="D985" i="4"/>
  <c r="E985" i="4"/>
  <c r="F985" i="4"/>
  <c r="G985" i="4"/>
  <c r="H985" i="4"/>
  <c r="I985" i="4"/>
  <c r="J985" i="4"/>
  <c r="K985" i="4"/>
  <c r="B986" i="4"/>
  <c r="C986" i="4"/>
  <c r="D986" i="4"/>
  <c r="E986" i="4"/>
  <c r="F986" i="4"/>
  <c r="G986" i="4"/>
  <c r="H986" i="4"/>
  <c r="I986" i="4"/>
  <c r="J986" i="4"/>
  <c r="K986" i="4"/>
  <c r="B987" i="4"/>
  <c r="C987" i="4"/>
  <c r="D987" i="4"/>
  <c r="E987" i="4"/>
  <c r="F987" i="4"/>
  <c r="G987" i="4"/>
  <c r="H987" i="4"/>
  <c r="I987" i="4"/>
  <c r="J987" i="4"/>
  <c r="K987" i="4"/>
  <c r="B988" i="4"/>
  <c r="C988" i="4"/>
  <c r="D988" i="4"/>
  <c r="E988" i="4"/>
  <c r="F988" i="4"/>
  <c r="G988" i="4"/>
  <c r="H988" i="4"/>
  <c r="I988" i="4"/>
  <c r="J988" i="4"/>
  <c r="K988" i="4"/>
  <c r="B989" i="4"/>
  <c r="C989" i="4"/>
  <c r="D989" i="4"/>
  <c r="E989" i="4"/>
  <c r="F989" i="4"/>
  <c r="G989" i="4"/>
  <c r="H989" i="4"/>
  <c r="I989" i="4"/>
  <c r="J989" i="4"/>
  <c r="K989" i="4"/>
  <c r="B990" i="4"/>
  <c r="C990" i="4"/>
  <c r="D990" i="4"/>
  <c r="E990" i="4"/>
  <c r="F990" i="4"/>
  <c r="G990" i="4"/>
  <c r="H990" i="4"/>
  <c r="I990" i="4"/>
  <c r="J990" i="4"/>
  <c r="K990" i="4"/>
  <c r="B991" i="4"/>
  <c r="C991" i="4"/>
  <c r="D991" i="4"/>
  <c r="E991" i="4"/>
  <c r="F991" i="4"/>
  <c r="G991" i="4"/>
  <c r="H991" i="4"/>
  <c r="I991" i="4"/>
  <c r="J991" i="4"/>
  <c r="K991" i="4"/>
  <c r="B992" i="4"/>
  <c r="C992" i="4"/>
  <c r="D992" i="4"/>
  <c r="E992" i="4"/>
  <c r="F992" i="4"/>
  <c r="G992" i="4"/>
  <c r="H992" i="4"/>
  <c r="I992" i="4"/>
  <c r="J992" i="4"/>
  <c r="K992" i="4"/>
  <c r="B993" i="4"/>
  <c r="C993" i="4"/>
  <c r="D993" i="4"/>
  <c r="E993" i="4"/>
  <c r="F993" i="4"/>
  <c r="G993" i="4"/>
  <c r="H993" i="4"/>
  <c r="I993" i="4"/>
  <c r="J993" i="4"/>
  <c r="K993" i="4"/>
  <c r="B994" i="4"/>
  <c r="C994" i="4"/>
  <c r="D994" i="4"/>
  <c r="E994" i="4"/>
  <c r="F994" i="4"/>
  <c r="G994" i="4"/>
  <c r="H994" i="4"/>
  <c r="I994" i="4"/>
  <c r="J994" i="4"/>
  <c r="K994" i="4"/>
  <c r="B995" i="4"/>
  <c r="C995" i="4"/>
  <c r="D995" i="4"/>
  <c r="E995" i="4"/>
  <c r="F995" i="4"/>
  <c r="G995" i="4"/>
  <c r="H995" i="4"/>
  <c r="I995" i="4"/>
  <c r="J995" i="4"/>
  <c r="K995" i="4"/>
  <c r="B996" i="4"/>
  <c r="C996" i="4"/>
  <c r="D996" i="4"/>
  <c r="E996" i="4"/>
  <c r="F996" i="4"/>
  <c r="G996" i="4"/>
  <c r="H996" i="4"/>
  <c r="I996" i="4"/>
  <c r="J996" i="4"/>
  <c r="K996" i="4"/>
  <c r="B997" i="4"/>
  <c r="C997" i="4"/>
  <c r="D997" i="4"/>
  <c r="E997" i="4"/>
  <c r="F997" i="4"/>
  <c r="G997" i="4"/>
  <c r="H997" i="4"/>
  <c r="I997" i="4"/>
  <c r="J997" i="4"/>
  <c r="K997" i="4"/>
  <c r="B998" i="4"/>
  <c r="C998" i="4"/>
  <c r="D998" i="4"/>
  <c r="E998" i="4"/>
  <c r="F998" i="4"/>
  <c r="G998" i="4"/>
  <c r="H998" i="4"/>
  <c r="I998" i="4"/>
  <c r="J998" i="4"/>
  <c r="K998" i="4"/>
  <c r="B999" i="4"/>
  <c r="C999" i="4"/>
  <c r="D999" i="4"/>
  <c r="E999" i="4"/>
  <c r="F999" i="4"/>
  <c r="G999" i="4"/>
  <c r="H999" i="4"/>
  <c r="I999" i="4"/>
  <c r="J999" i="4"/>
  <c r="K999" i="4"/>
  <c r="B1000" i="4"/>
  <c r="C1000" i="4"/>
  <c r="D1000" i="4"/>
  <c r="E1000" i="4"/>
  <c r="F1000" i="4"/>
  <c r="G1000" i="4"/>
  <c r="H1000" i="4"/>
  <c r="I1000" i="4"/>
  <c r="J1000" i="4"/>
  <c r="K1000" i="4"/>
  <c r="B1001" i="4"/>
  <c r="C1001" i="4"/>
  <c r="D1001" i="4"/>
  <c r="E1001" i="4"/>
  <c r="F1001" i="4"/>
  <c r="G1001" i="4"/>
  <c r="H1001" i="4"/>
  <c r="I1001" i="4"/>
  <c r="J1001" i="4"/>
  <c r="K1001" i="4"/>
  <c r="B1002" i="4"/>
  <c r="C1002" i="4"/>
  <c r="D1002" i="4"/>
  <c r="E1002" i="4"/>
  <c r="F1002" i="4"/>
  <c r="G1002" i="4"/>
  <c r="H1002" i="4"/>
  <c r="I1002" i="4"/>
  <c r="J1002" i="4"/>
  <c r="K1002" i="4"/>
  <c r="B1003" i="4"/>
  <c r="C1003" i="4"/>
  <c r="D1003" i="4"/>
  <c r="E1003" i="4"/>
  <c r="F1003" i="4"/>
  <c r="G1003" i="4"/>
  <c r="H1003" i="4"/>
  <c r="I1003" i="4"/>
  <c r="J1003" i="4"/>
  <c r="K1003" i="4"/>
  <c r="B1004" i="4"/>
  <c r="C1004" i="4"/>
  <c r="D1004" i="4"/>
  <c r="E1004" i="4"/>
  <c r="F1004" i="4"/>
  <c r="G1004" i="4"/>
  <c r="H1004" i="4"/>
  <c r="I1004" i="4"/>
  <c r="J1004" i="4"/>
  <c r="K1004" i="4"/>
  <c r="B1005" i="4"/>
  <c r="C1005" i="4"/>
  <c r="D1005" i="4"/>
  <c r="E1005" i="4"/>
  <c r="F1005" i="4"/>
  <c r="G1005" i="4"/>
  <c r="H1005" i="4"/>
  <c r="I1005" i="4"/>
  <c r="J1005" i="4"/>
  <c r="K1005" i="4"/>
  <c r="B1006" i="4"/>
  <c r="C1006" i="4"/>
  <c r="D1006" i="4"/>
  <c r="E1006" i="4"/>
  <c r="F1006" i="4"/>
  <c r="G1006" i="4"/>
  <c r="H1006" i="4"/>
  <c r="I1006" i="4"/>
  <c r="J1006" i="4"/>
  <c r="K1006" i="4"/>
  <c r="B1007" i="4"/>
  <c r="C1007" i="4"/>
  <c r="D1007" i="4"/>
  <c r="E1007" i="4"/>
  <c r="F1007" i="4"/>
  <c r="G1007" i="4"/>
  <c r="H1007" i="4"/>
  <c r="I1007" i="4"/>
  <c r="J1007" i="4"/>
  <c r="K1007" i="4"/>
  <c r="B1008" i="4"/>
  <c r="C1008" i="4"/>
  <c r="D1008" i="4"/>
  <c r="E1008" i="4"/>
  <c r="F1008" i="4"/>
  <c r="G1008" i="4"/>
  <c r="H1008" i="4"/>
  <c r="I1008" i="4"/>
  <c r="J1008" i="4"/>
  <c r="K1008" i="4"/>
  <c r="B1009" i="4"/>
  <c r="C1009" i="4"/>
  <c r="D1009" i="4"/>
  <c r="E1009" i="4"/>
  <c r="F1009" i="4"/>
  <c r="G1009" i="4"/>
  <c r="H1009" i="4"/>
  <c r="I1009" i="4"/>
  <c r="J1009" i="4"/>
  <c r="K1009" i="4"/>
  <c r="B1010" i="4"/>
  <c r="C1010" i="4"/>
  <c r="D1010" i="4"/>
  <c r="E1010" i="4"/>
  <c r="F1010" i="4"/>
  <c r="G1010" i="4"/>
  <c r="H1010" i="4"/>
  <c r="I1010" i="4"/>
  <c r="J1010" i="4"/>
  <c r="K1010" i="4"/>
  <c r="B1011" i="4"/>
  <c r="C1011" i="4"/>
  <c r="D1011" i="4"/>
  <c r="E1011" i="4"/>
  <c r="F1011" i="4"/>
  <c r="G1011" i="4"/>
  <c r="H1011" i="4"/>
  <c r="I1011" i="4"/>
  <c r="J1011" i="4"/>
  <c r="K1011" i="4"/>
  <c r="B1012" i="4"/>
  <c r="C1012" i="4"/>
  <c r="D1012" i="4"/>
  <c r="E1012" i="4"/>
  <c r="F1012" i="4"/>
  <c r="G1012" i="4"/>
  <c r="H1012" i="4"/>
  <c r="I1012" i="4"/>
  <c r="J1012" i="4"/>
  <c r="K1012" i="4"/>
  <c r="B1013" i="4"/>
  <c r="C1013" i="4"/>
  <c r="D1013" i="4"/>
  <c r="E1013" i="4"/>
  <c r="F1013" i="4"/>
  <c r="G1013" i="4"/>
  <c r="H1013" i="4"/>
  <c r="I1013" i="4"/>
  <c r="J1013" i="4"/>
  <c r="K1013" i="4"/>
  <c r="B1014" i="4"/>
  <c r="C1014" i="4"/>
  <c r="D1014" i="4"/>
  <c r="E1014" i="4"/>
  <c r="F1014" i="4"/>
  <c r="G1014" i="4"/>
  <c r="H1014" i="4"/>
  <c r="I1014" i="4"/>
  <c r="J1014" i="4"/>
  <c r="K1014" i="4"/>
  <c r="B1015" i="4"/>
  <c r="C1015" i="4"/>
  <c r="D1015" i="4"/>
  <c r="E1015" i="4"/>
  <c r="F1015" i="4"/>
  <c r="G1015" i="4"/>
  <c r="H1015" i="4"/>
  <c r="I1015" i="4"/>
  <c r="J1015" i="4"/>
  <c r="K1015" i="4"/>
  <c r="B1016" i="4"/>
  <c r="C1016" i="4"/>
  <c r="D1016" i="4"/>
  <c r="E1016" i="4"/>
  <c r="F1016" i="4"/>
  <c r="G1016" i="4"/>
  <c r="H1016" i="4"/>
  <c r="I1016" i="4"/>
  <c r="J1016" i="4"/>
  <c r="K1016" i="4"/>
  <c r="B1017" i="4"/>
  <c r="C1017" i="4"/>
  <c r="D1017" i="4"/>
  <c r="E1017" i="4"/>
  <c r="F1017" i="4"/>
  <c r="G1017" i="4"/>
  <c r="H1017" i="4"/>
  <c r="I1017" i="4"/>
  <c r="J1017" i="4"/>
  <c r="K1017" i="4"/>
  <c r="B1018" i="4"/>
  <c r="C1018" i="4"/>
  <c r="D1018" i="4"/>
  <c r="E1018" i="4"/>
  <c r="F1018" i="4"/>
  <c r="G1018" i="4"/>
  <c r="H1018" i="4"/>
  <c r="I1018" i="4"/>
  <c r="J1018" i="4"/>
  <c r="K1018" i="4"/>
  <c r="B1019" i="4"/>
  <c r="C1019" i="4"/>
  <c r="D1019" i="4"/>
  <c r="E1019" i="4"/>
  <c r="F1019" i="4"/>
  <c r="G1019" i="4"/>
  <c r="H1019" i="4"/>
  <c r="I1019" i="4"/>
  <c r="J1019" i="4"/>
  <c r="K1019" i="4"/>
  <c r="B1020" i="4"/>
  <c r="C1020" i="4"/>
  <c r="D1020" i="4"/>
  <c r="E1020" i="4"/>
  <c r="F1020" i="4"/>
  <c r="G1020" i="4"/>
  <c r="H1020" i="4"/>
  <c r="I1020" i="4"/>
  <c r="J1020" i="4"/>
  <c r="K1020" i="4"/>
  <c r="B1021" i="4"/>
  <c r="C1021" i="4"/>
  <c r="D1021" i="4"/>
  <c r="E1021" i="4"/>
  <c r="F1021" i="4"/>
  <c r="G1021" i="4"/>
  <c r="H1021" i="4"/>
  <c r="I1021" i="4"/>
  <c r="J1021" i="4"/>
  <c r="K1021" i="4"/>
  <c r="B1022" i="4"/>
  <c r="C1022" i="4"/>
  <c r="D1022" i="4"/>
  <c r="E1022" i="4"/>
  <c r="F1022" i="4"/>
  <c r="G1022" i="4"/>
  <c r="H1022" i="4"/>
  <c r="I1022" i="4"/>
  <c r="J1022" i="4"/>
  <c r="K1022" i="4"/>
  <c r="B1023" i="4"/>
  <c r="C1023" i="4"/>
  <c r="D1023" i="4"/>
  <c r="E1023" i="4"/>
  <c r="F1023" i="4"/>
  <c r="G1023" i="4"/>
  <c r="H1023" i="4"/>
  <c r="I1023" i="4"/>
  <c r="J1023" i="4"/>
  <c r="K1023" i="4"/>
  <c r="B1024" i="4"/>
  <c r="C1024" i="4"/>
  <c r="D1024" i="4"/>
  <c r="E1024" i="4"/>
  <c r="F1024" i="4"/>
  <c r="G1024" i="4"/>
  <c r="H1024" i="4"/>
  <c r="I1024" i="4"/>
  <c r="J1024" i="4"/>
  <c r="K1024" i="4"/>
  <c r="B1025" i="4"/>
  <c r="C1025" i="4"/>
  <c r="D1025" i="4"/>
  <c r="E1025" i="4"/>
  <c r="F1025" i="4"/>
  <c r="G1025" i="4"/>
  <c r="H1025" i="4"/>
  <c r="I1025" i="4"/>
  <c r="J1025" i="4"/>
  <c r="K1025" i="4"/>
  <c r="B1026" i="4"/>
  <c r="C1026" i="4"/>
  <c r="D1026" i="4"/>
  <c r="E1026" i="4"/>
  <c r="F1026" i="4"/>
  <c r="G1026" i="4"/>
  <c r="H1026" i="4"/>
  <c r="I1026" i="4"/>
  <c r="J1026" i="4"/>
  <c r="K1026" i="4"/>
  <c r="B1027" i="4"/>
  <c r="C1027" i="4"/>
  <c r="D1027" i="4"/>
  <c r="E1027" i="4"/>
  <c r="F1027" i="4"/>
  <c r="G1027" i="4"/>
  <c r="H1027" i="4"/>
  <c r="I1027" i="4"/>
  <c r="J1027" i="4"/>
  <c r="K1027" i="4"/>
  <c r="B1028" i="4"/>
  <c r="C1028" i="4"/>
  <c r="D1028" i="4"/>
  <c r="E1028" i="4"/>
  <c r="F1028" i="4"/>
  <c r="G1028" i="4"/>
  <c r="H1028" i="4"/>
  <c r="I1028" i="4"/>
  <c r="J1028" i="4"/>
  <c r="K1028" i="4"/>
  <c r="B1029" i="4"/>
  <c r="C1029" i="4"/>
  <c r="D1029" i="4"/>
  <c r="E1029" i="4"/>
  <c r="F1029" i="4"/>
  <c r="G1029" i="4"/>
  <c r="H1029" i="4"/>
  <c r="I1029" i="4"/>
  <c r="J1029" i="4"/>
  <c r="K1029" i="4"/>
  <c r="B1030" i="4"/>
  <c r="C1030" i="4"/>
  <c r="D1030" i="4"/>
  <c r="E1030" i="4"/>
  <c r="F1030" i="4"/>
  <c r="G1030" i="4"/>
  <c r="H1030" i="4"/>
  <c r="I1030" i="4"/>
  <c r="J1030" i="4"/>
  <c r="K1030" i="4"/>
  <c r="B1031" i="4"/>
  <c r="C1031" i="4"/>
  <c r="D1031" i="4"/>
  <c r="E1031" i="4"/>
  <c r="F1031" i="4"/>
  <c r="G1031" i="4"/>
  <c r="H1031" i="4"/>
  <c r="I1031" i="4"/>
  <c r="J1031" i="4"/>
  <c r="K1031" i="4"/>
  <c r="B1032" i="4"/>
  <c r="C1032" i="4"/>
  <c r="D1032" i="4"/>
  <c r="E1032" i="4"/>
  <c r="F1032" i="4"/>
  <c r="G1032" i="4"/>
  <c r="H1032" i="4"/>
  <c r="I1032" i="4"/>
  <c r="J1032" i="4"/>
  <c r="K1032" i="4"/>
  <c r="B1033" i="4"/>
  <c r="C1033" i="4"/>
  <c r="D1033" i="4"/>
  <c r="E1033" i="4"/>
  <c r="F1033" i="4"/>
  <c r="G1033" i="4"/>
  <c r="H1033" i="4"/>
  <c r="I1033" i="4"/>
  <c r="J1033" i="4"/>
  <c r="K1033" i="4"/>
  <c r="B1034" i="4"/>
  <c r="C1034" i="4"/>
  <c r="D1034" i="4"/>
  <c r="E1034" i="4"/>
  <c r="F1034" i="4"/>
  <c r="G1034" i="4"/>
  <c r="H1034" i="4"/>
  <c r="I1034" i="4"/>
  <c r="J1034" i="4"/>
  <c r="K1034" i="4"/>
  <c r="B1035" i="4"/>
  <c r="C1035" i="4"/>
  <c r="D1035" i="4"/>
  <c r="E1035" i="4"/>
  <c r="F1035" i="4"/>
  <c r="G1035" i="4"/>
  <c r="H1035" i="4"/>
  <c r="I1035" i="4"/>
  <c r="J1035" i="4"/>
  <c r="K1035" i="4"/>
  <c r="B1036" i="4"/>
  <c r="C1036" i="4"/>
  <c r="D1036" i="4"/>
  <c r="E1036" i="4"/>
  <c r="F1036" i="4"/>
  <c r="G1036" i="4"/>
  <c r="H1036" i="4"/>
  <c r="I1036" i="4"/>
  <c r="J1036" i="4"/>
  <c r="K1036" i="4"/>
  <c r="B1037" i="4"/>
  <c r="C1037" i="4"/>
  <c r="D1037" i="4"/>
  <c r="E1037" i="4"/>
  <c r="F1037" i="4"/>
  <c r="G1037" i="4"/>
  <c r="H1037" i="4"/>
  <c r="I1037" i="4"/>
  <c r="J1037" i="4"/>
  <c r="K1037" i="4"/>
  <c r="B1038" i="4"/>
  <c r="C1038" i="4"/>
  <c r="D1038" i="4"/>
  <c r="E1038" i="4"/>
  <c r="F1038" i="4"/>
  <c r="G1038" i="4"/>
  <c r="H1038" i="4"/>
  <c r="I1038" i="4"/>
  <c r="J1038" i="4"/>
  <c r="K1038" i="4"/>
  <c r="B1039" i="4"/>
  <c r="C1039" i="4"/>
  <c r="D1039" i="4"/>
  <c r="E1039" i="4"/>
  <c r="F1039" i="4"/>
  <c r="G1039" i="4"/>
  <c r="H1039" i="4"/>
  <c r="I1039" i="4"/>
  <c r="J1039" i="4"/>
  <c r="K1039" i="4"/>
  <c r="B1040" i="4"/>
  <c r="C1040" i="4"/>
  <c r="D1040" i="4"/>
  <c r="E1040" i="4"/>
  <c r="F1040" i="4"/>
  <c r="G1040" i="4"/>
  <c r="G1135" i="4" s="1"/>
  <c r="H1040" i="4"/>
  <c r="I1040" i="4"/>
  <c r="J1040" i="4"/>
  <c r="K1040" i="4"/>
  <c r="B1041" i="4"/>
  <c r="C1041" i="4"/>
  <c r="D1041" i="4"/>
  <c r="E1041" i="4"/>
  <c r="F1041" i="4"/>
  <c r="G1041" i="4"/>
  <c r="H1041" i="4"/>
  <c r="I1041" i="4"/>
  <c r="J1041" i="4"/>
  <c r="K1041" i="4"/>
  <c r="B1042" i="4"/>
  <c r="C1042" i="4"/>
  <c r="D1042" i="4"/>
  <c r="E1042" i="4"/>
  <c r="F1042" i="4"/>
  <c r="G1042" i="4"/>
  <c r="H1042" i="4"/>
  <c r="I1042" i="4"/>
  <c r="J1042" i="4"/>
  <c r="K1042" i="4"/>
  <c r="B1043" i="4"/>
  <c r="C1043" i="4"/>
  <c r="D1043" i="4"/>
  <c r="E1043" i="4"/>
  <c r="F1043" i="4"/>
  <c r="G1043" i="4"/>
  <c r="H1043" i="4"/>
  <c r="I1043" i="4"/>
  <c r="J1043" i="4"/>
  <c r="K1043" i="4"/>
  <c r="B1044" i="4"/>
  <c r="C1044" i="4"/>
  <c r="D1044" i="4"/>
  <c r="E1044" i="4"/>
  <c r="F1044" i="4"/>
  <c r="G1044" i="4"/>
  <c r="H1044" i="4"/>
  <c r="I1044" i="4"/>
  <c r="J1044" i="4"/>
  <c r="K1044" i="4"/>
  <c r="B1045" i="4"/>
  <c r="C1045" i="4"/>
  <c r="D1045" i="4"/>
  <c r="E1045" i="4"/>
  <c r="F1045" i="4"/>
  <c r="G1045" i="4"/>
  <c r="H1045" i="4"/>
  <c r="I1045" i="4"/>
  <c r="J1045" i="4"/>
  <c r="K1045" i="4"/>
  <c r="B1046" i="4"/>
  <c r="C1046" i="4"/>
  <c r="D1046" i="4"/>
  <c r="E1046" i="4"/>
  <c r="F1046" i="4"/>
  <c r="G1046" i="4"/>
  <c r="H1046" i="4"/>
  <c r="I1046" i="4"/>
  <c r="J1046" i="4"/>
  <c r="K1046" i="4"/>
  <c r="B1047" i="4"/>
  <c r="C1047" i="4"/>
  <c r="D1047" i="4"/>
  <c r="E1047" i="4"/>
  <c r="F1047" i="4"/>
  <c r="G1047" i="4"/>
  <c r="H1047" i="4"/>
  <c r="I1047" i="4"/>
  <c r="J1047" i="4"/>
  <c r="K1047" i="4"/>
  <c r="B1048" i="4"/>
  <c r="C1048" i="4"/>
  <c r="D1048" i="4"/>
  <c r="E1048" i="4"/>
  <c r="F1048" i="4"/>
  <c r="G1048" i="4"/>
  <c r="H1048" i="4"/>
  <c r="I1048" i="4"/>
  <c r="J1048" i="4"/>
  <c r="K1048" i="4"/>
  <c r="G1077" i="4"/>
  <c r="C13" i="3"/>
  <c r="E13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101" i="3"/>
  <c r="C101" i="3"/>
  <c r="D101" i="3"/>
  <c r="E101" i="3"/>
  <c r="B102" i="3"/>
  <c r="C102" i="3"/>
  <c r="D102" i="3"/>
  <c r="E102" i="3"/>
  <c r="B103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B109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B118" i="3"/>
  <c r="C118" i="3"/>
  <c r="D118" i="3"/>
  <c r="E118" i="3"/>
  <c r="B119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C124" i="3"/>
  <c r="D124" i="3"/>
  <c r="E124" i="3"/>
  <c r="B125" i="3"/>
  <c r="C125" i="3"/>
  <c r="D125" i="3"/>
  <c r="E125" i="3"/>
  <c r="B126" i="3"/>
  <c r="C126" i="3"/>
  <c r="D126" i="3"/>
  <c r="E126" i="3"/>
  <c r="B127" i="3"/>
  <c r="C127" i="3"/>
  <c r="D127" i="3"/>
  <c r="E127" i="3"/>
  <c r="B128" i="3"/>
  <c r="C128" i="3"/>
  <c r="D128" i="3"/>
  <c r="E128" i="3"/>
  <c r="B129" i="3"/>
  <c r="C129" i="3"/>
  <c r="D129" i="3"/>
  <c r="E129" i="3"/>
  <c r="B130" i="3"/>
  <c r="C130" i="3"/>
  <c r="D130" i="3"/>
  <c r="E130" i="3"/>
  <c r="B131" i="3"/>
  <c r="C131" i="3"/>
  <c r="D131" i="3"/>
  <c r="E131" i="3"/>
  <c r="B132" i="3"/>
  <c r="C132" i="3"/>
  <c r="D132" i="3"/>
  <c r="E132" i="3"/>
  <c r="B133" i="3"/>
  <c r="C133" i="3"/>
  <c r="D133" i="3"/>
  <c r="E133" i="3"/>
  <c r="B134" i="3"/>
  <c r="C134" i="3"/>
  <c r="D134" i="3"/>
  <c r="E134" i="3"/>
  <c r="B135" i="3"/>
  <c r="C135" i="3"/>
  <c r="D135" i="3"/>
  <c r="E135" i="3"/>
  <c r="B136" i="3"/>
  <c r="C136" i="3"/>
  <c r="D136" i="3"/>
  <c r="E136" i="3"/>
  <c r="B137" i="3"/>
  <c r="C137" i="3"/>
  <c r="D137" i="3"/>
  <c r="E137" i="3"/>
  <c r="B138" i="3"/>
  <c r="C138" i="3"/>
  <c r="D138" i="3"/>
  <c r="E138" i="3"/>
  <c r="B139" i="3"/>
  <c r="C139" i="3"/>
  <c r="D139" i="3"/>
  <c r="E139" i="3"/>
  <c r="B140" i="3"/>
  <c r="C140" i="3"/>
  <c r="D140" i="3"/>
  <c r="E140" i="3"/>
  <c r="B141" i="3"/>
  <c r="C141" i="3"/>
  <c r="D141" i="3"/>
  <c r="E141" i="3"/>
  <c r="B142" i="3"/>
  <c r="C142" i="3"/>
  <c r="D142" i="3"/>
  <c r="E142" i="3"/>
  <c r="B143" i="3"/>
  <c r="C143" i="3"/>
  <c r="D143" i="3"/>
  <c r="E143" i="3"/>
  <c r="B144" i="3"/>
  <c r="C144" i="3"/>
  <c r="D144" i="3"/>
  <c r="E144" i="3"/>
  <c r="B145" i="3"/>
  <c r="C145" i="3"/>
  <c r="D145" i="3"/>
  <c r="E145" i="3"/>
  <c r="B146" i="3"/>
  <c r="C146" i="3"/>
  <c r="D146" i="3"/>
  <c r="E146" i="3"/>
  <c r="B147" i="3"/>
  <c r="C147" i="3"/>
  <c r="D147" i="3"/>
  <c r="E147" i="3"/>
  <c r="B148" i="3"/>
  <c r="C148" i="3"/>
  <c r="D148" i="3"/>
  <c r="E148" i="3"/>
  <c r="B149" i="3"/>
  <c r="C149" i="3"/>
  <c r="D149" i="3"/>
  <c r="E149" i="3"/>
  <c r="B150" i="3"/>
  <c r="C150" i="3"/>
  <c r="D150" i="3"/>
  <c r="E150" i="3"/>
  <c r="B151" i="3"/>
  <c r="C151" i="3"/>
  <c r="D151" i="3"/>
  <c r="E151" i="3"/>
  <c r="B152" i="3"/>
  <c r="C152" i="3"/>
  <c r="D152" i="3"/>
  <c r="E152" i="3"/>
  <c r="B153" i="3"/>
  <c r="C153" i="3"/>
  <c r="D153" i="3"/>
  <c r="E153" i="3"/>
  <c r="B154" i="3"/>
  <c r="C154" i="3"/>
  <c r="D154" i="3"/>
  <c r="E154" i="3"/>
  <c r="B155" i="3"/>
  <c r="C155" i="3"/>
  <c r="D155" i="3"/>
  <c r="E155" i="3"/>
  <c r="B156" i="3"/>
  <c r="C156" i="3"/>
  <c r="D156" i="3"/>
  <c r="E156" i="3"/>
  <c r="B157" i="3"/>
  <c r="C157" i="3"/>
  <c r="D157" i="3"/>
  <c r="E157" i="3"/>
  <c r="B158" i="3"/>
  <c r="C158" i="3"/>
  <c r="D158" i="3"/>
  <c r="E158" i="3"/>
  <c r="B159" i="3"/>
  <c r="C159" i="3"/>
  <c r="D159" i="3"/>
  <c r="E159" i="3"/>
  <c r="B160" i="3"/>
  <c r="C160" i="3"/>
  <c r="D160" i="3"/>
  <c r="E160" i="3"/>
  <c r="B161" i="3"/>
  <c r="C161" i="3"/>
  <c r="D161" i="3"/>
  <c r="E161" i="3"/>
  <c r="B162" i="3"/>
  <c r="C162" i="3"/>
  <c r="D162" i="3"/>
  <c r="E162" i="3"/>
  <c r="B163" i="3"/>
  <c r="C163" i="3"/>
  <c r="D163" i="3"/>
  <c r="E163" i="3"/>
  <c r="B164" i="3"/>
  <c r="C164" i="3"/>
  <c r="D164" i="3"/>
  <c r="E164" i="3"/>
  <c r="B165" i="3"/>
  <c r="C165" i="3"/>
  <c r="D165" i="3"/>
  <c r="E165" i="3"/>
  <c r="B166" i="3"/>
  <c r="C166" i="3"/>
  <c r="D166" i="3"/>
  <c r="E166" i="3"/>
  <c r="B167" i="3"/>
  <c r="C167" i="3"/>
  <c r="D167" i="3"/>
  <c r="E167" i="3"/>
  <c r="B168" i="3"/>
  <c r="C168" i="3"/>
  <c r="D168" i="3"/>
  <c r="E168" i="3"/>
  <c r="B169" i="3"/>
  <c r="C169" i="3"/>
  <c r="D169" i="3"/>
  <c r="E169" i="3"/>
  <c r="B170" i="3"/>
  <c r="C170" i="3"/>
  <c r="D170" i="3"/>
  <c r="E170" i="3"/>
  <c r="B171" i="3"/>
  <c r="C171" i="3"/>
  <c r="D171" i="3"/>
  <c r="E171" i="3"/>
  <c r="B172" i="3"/>
  <c r="C172" i="3"/>
  <c r="D172" i="3"/>
  <c r="E172" i="3"/>
  <c r="B173" i="3"/>
  <c r="C173" i="3"/>
  <c r="D173" i="3"/>
  <c r="E173" i="3"/>
  <c r="B174" i="3"/>
  <c r="C174" i="3"/>
  <c r="D174" i="3"/>
  <c r="E174" i="3"/>
  <c r="B175" i="3"/>
  <c r="C175" i="3"/>
  <c r="D175" i="3"/>
  <c r="E175" i="3"/>
  <c r="B176" i="3"/>
  <c r="C176" i="3"/>
  <c r="D176" i="3"/>
  <c r="E176" i="3"/>
  <c r="B177" i="3"/>
  <c r="C177" i="3"/>
  <c r="D177" i="3"/>
  <c r="E177" i="3"/>
  <c r="B178" i="3"/>
  <c r="C178" i="3"/>
  <c r="D178" i="3"/>
  <c r="E178" i="3"/>
  <c r="B179" i="3"/>
  <c r="C179" i="3"/>
  <c r="D179" i="3"/>
  <c r="E179" i="3"/>
  <c r="B180" i="3"/>
  <c r="C180" i="3"/>
  <c r="D180" i="3"/>
  <c r="E180" i="3"/>
  <c r="B181" i="3"/>
  <c r="C181" i="3"/>
  <c r="D181" i="3"/>
  <c r="E181" i="3"/>
  <c r="B182" i="3"/>
  <c r="C182" i="3"/>
  <c r="D182" i="3"/>
  <c r="E182" i="3"/>
  <c r="B183" i="3"/>
  <c r="C183" i="3"/>
  <c r="D183" i="3"/>
  <c r="E183" i="3"/>
  <c r="B184" i="3"/>
  <c r="C184" i="3"/>
  <c r="D184" i="3"/>
  <c r="E184" i="3"/>
  <c r="B185" i="3"/>
  <c r="C185" i="3"/>
  <c r="D185" i="3"/>
  <c r="E185" i="3"/>
  <c r="B186" i="3"/>
  <c r="C186" i="3"/>
  <c r="D186" i="3"/>
  <c r="E186" i="3"/>
  <c r="B187" i="3"/>
  <c r="C187" i="3"/>
  <c r="D187" i="3"/>
  <c r="E187" i="3"/>
  <c r="B188" i="3"/>
  <c r="C188" i="3"/>
  <c r="D188" i="3"/>
  <c r="E188" i="3"/>
  <c r="B189" i="3"/>
  <c r="C189" i="3"/>
  <c r="D189" i="3"/>
  <c r="E189" i="3"/>
  <c r="B190" i="3"/>
  <c r="C190" i="3"/>
  <c r="D190" i="3"/>
  <c r="E190" i="3"/>
  <c r="B191" i="3"/>
  <c r="C191" i="3"/>
  <c r="D191" i="3"/>
  <c r="E191" i="3"/>
  <c r="B192" i="3"/>
  <c r="C192" i="3"/>
  <c r="D192" i="3"/>
  <c r="E192" i="3"/>
  <c r="B193" i="3"/>
  <c r="C193" i="3"/>
  <c r="D193" i="3"/>
  <c r="E193" i="3"/>
  <c r="B194" i="3"/>
  <c r="C194" i="3"/>
  <c r="D194" i="3"/>
  <c r="E194" i="3"/>
  <c r="B195" i="3"/>
  <c r="C195" i="3"/>
  <c r="D195" i="3"/>
  <c r="E195" i="3"/>
  <c r="B196" i="3"/>
  <c r="C196" i="3"/>
  <c r="D196" i="3"/>
  <c r="E196" i="3"/>
  <c r="B197" i="3"/>
  <c r="C197" i="3"/>
  <c r="D197" i="3"/>
  <c r="E197" i="3"/>
  <c r="B198" i="3"/>
  <c r="C198" i="3"/>
  <c r="D198" i="3"/>
  <c r="E198" i="3"/>
  <c r="B199" i="3"/>
  <c r="C199" i="3"/>
  <c r="D199" i="3"/>
  <c r="E199" i="3"/>
  <c r="B200" i="3"/>
  <c r="C200" i="3"/>
  <c r="D200" i="3"/>
  <c r="E200" i="3"/>
  <c r="B201" i="3"/>
  <c r="C201" i="3"/>
  <c r="D201" i="3"/>
  <c r="E201" i="3"/>
  <c r="B202" i="3"/>
  <c r="C202" i="3"/>
  <c r="D202" i="3"/>
  <c r="E202" i="3"/>
  <c r="B203" i="3"/>
  <c r="C203" i="3"/>
  <c r="D203" i="3"/>
  <c r="E203" i="3"/>
  <c r="B204" i="3"/>
  <c r="C204" i="3"/>
  <c r="D204" i="3"/>
  <c r="E204" i="3"/>
  <c r="B205" i="3"/>
  <c r="C205" i="3"/>
  <c r="D205" i="3"/>
  <c r="E205" i="3"/>
  <c r="B206" i="3"/>
  <c r="C206" i="3"/>
  <c r="D206" i="3"/>
  <c r="E206" i="3"/>
  <c r="B207" i="3"/>
  <c r="C207" i="3"/>
  <c r="D207" i="3"/>
  <c r="E207" i="3"/>
  <c r="B208" i="3"/>
  <c r="C208" i="3"/>
  <c r="D208" i="3"/>
  <c r="E208" i="3"/>
  <c r="B209" i="3"/>
  <c r="C209" i="3"/>
  <c r="D209" i="3"/>
  <c r="E209" i="3"/>
  <c r="B210" i="3"/>
  <c r="C210" i="3"/>
  <c r="D210" i="3"/>
  <c r="E210" i="3"/>
  <c r="B211" i="3"/>
  <c r="C211" i="3"/>
  <c r="D211" i="3"/>
  <c r="E211" i="3"/>
  <c r="B212" i="3"/>
  <c r="C212" i="3"/>
  <c r="D212" i="3"/>
  <c r="E212" i="3"/>
  <c r="B213" i="3"/>
  <c r="C213" i="3"/>
  <c r="D213" i="3"/>
  <c r="E213" i="3"/>
  <c r="B214" i="3"/>
  <c r="C214" i="3"/>
  <c r="D214" i="3"/>
  <c r="E214" i="3"/>
  <c r="B215" i="3"/>
  <c r="C215" i="3"/>
  <c r="D215" i="3"/>
  <c r="E215" i="3"/>
  <c r="B216" i="3"/>
  <c r="C216" i="3"/>
  <c r="D216" i="3"/>
  <c r="E216" i="3"/>
  <c r="B217" i="3"/>
  <c r="C217" i="3"/>
  <c r="D217" i="3"/>
  <c r="E217" i="3"/>
  <c r="B218" i="3"/>
  <c r="C218" i="3"/>
  <c r="D218" i="3"/>
  <c r="E218" i="3"/>
  <c r="B219" i="3"/>
  <c r="C219" i="3"/>
  <c r="D219" i="3"/>
  <c r="E219" i="3"/>
  <c r="B220" i="3"/>
  <c r="C220" i="3"/>
  <c r="D220" i="3"/>
  <c r="E220" i="3"/>
  <c r="B221" i="3"/>
  <c r="C221" i="3"/>
  <c r="D221" i="3"/>
  <c r="E221" i="3"/>
  <c r="B222" i="3"/>
  <c r="C222" i="3"/>
  <c r="D222" i="3"/>
  <c r="E222" i="3"/>
  <c r="B223" i="3"/>
  <c r="C223" i="3"/>
  <c r="D223" i="3"/>
  <c r="E223" i="3"/>
  <c r="B224" i="3"/>
  <c r="C224" i="3"/>
  <c r="D224" i="3"/>
  <c r="E224" i="3"/>
  <c r="B225" i="3"/>
  <c r="C225" i="3"/>
  <c r="D225" i="3"/>
  <c r="E225" i="3"/>
  <c r="B226" i="3"/>
  <c r="C226" i="3"/>
  <c r="D226" i="3"/>
  <c r="E226" i="3"/>
  <c r="B227" i="3"/>
  <c r="C227" i="3"/>
  <c r="D227" i="3"/>
  <c r="E227" i="3"/>
  <c r="B228" i="3"/>
  <c r="C228" i="3"/>
  <c r="D228" i="3"/>
  <c r="E228" i="3"/>
  <c r="B229" i="3"/>
  <c r="C229" i="3"/>
  <c r="D229" i="3"/>
  <c r="E229" i="3"/>
  <c r="B230" i="3"/>
  <c r="C230" i="3"/>
  <c r="D230" i="3"/>
  <c r="E230" i="3"/>
  <c r="B231" i="3"/>
  <c r="C231" i="3"/>
  <c r="D231" i="3"/>
  <c r="E231" i="3"/>
  <c r="B232" i="3"/>
  <c r="C232" i="3"/>
  <c r="D232" i="3"/>
  <c r="E232" i="3"/>
  <c r="B233" i="3"/>
  <c r="C233" i="3"/>
  <c r="D233" i="3"/>
  <c r="E233" i="3"/>
  <c r="B234" i="3"/>
  <c r="C234" i="3"/>
  <c r="D234" i="3"/>
  <c r="E234" i="3"/>
  <c r="B235" i="3"/>
  <c r="C235" i="3"/>
  <c r="D235" i="3"/>
  <c r="E235" i="3"/>
  <c r="B236" i="3"/>
  <c r="C236" i="3"/>
  <c r="D236" i="3"/>
  <c r="E236" i="3"/>
  <c r="B237" i="3"/>
  <c r="C237" i="3"/>
  <c r="D237" i="3"/>
  <c r="E237" i="3"/>
  <c r="B238" i="3"/>
  <c r="C238" i="3"/>
  <c r="D238" i="3"/>
  <c r="E238" i="3"/>
  <c r="B239" i="3"/>
  <c r="C239" i="3"/>
  <c r="D239" i="3"/>
  <c r="E239" i="3"/>
  <c r="B240" i="3"/>
  <c r="C240" i="3"/>
  <c r="D240" i="3"/>
  <c r="E240" i="3"/>
  <c r="B241" i="3"/>
  <c r="C241" i="3"/>
  <c r="D241" i="3"/>
  <c r="E241" i="3"/>
  <c r="B242" i="3"/>
  <c r="C242" i="3"/>
  <c r="D242" i="3"/>
  <c r="E242" i="3"/>
  <c r="B243" i="3"/>
  <c r="C243" i="3"/>
  <c r="D243" i="3"/>
  <c r="E243" i="3"/>
  <c r="B244" i="3"/>
  <c r="C244" i="3"/>
  <c r="D244" i="3"/>
  <c r="E244" i="3"/>
  <c r="B245" i="3"/>
  <c r="C245" i="3"/>
  <c r="D245" i="3"/>
  <c r="E245" i="3"/>
  <c r="B246" i="3"/>
  <c r="C246" i="3"/>
  <c r="D246" i="3"/>
  <c r="E246" i="3"/>
  <c r="B247" i="3"/>
  <c r="C247" i="3"/>
  <c r="D247" i="3"/>
  <c r="E247" i="3"/>
  <c r="B248" i="3"/>
  <c r="C248" i="3"/>
  <c r="D248" i="3"/>
  <c r="E248" i="3"/>
  <c r="B249" i="3"/>
  <c r="C249" i="3"/>
  <c r="D249" i="3"/>
  <c r="E249" i="3"/>
  <c r="B250" i="3"/>
  <c r="C250" i="3"/>
  <c r="D250" i="3"/>
  <c r="E250" i="3"/>
  <c r="B251" i="3"/>
  <c r="C251" i="3"/>
  <c r="D251" i="3"/>
  <c r="E251" i="3"/>
  <c r="B252" i="3"/>
  <c r="C252" i="3"/>
  <c r="D252" i="3"/>
  <c r="E252" i="3"/>
  <c r="B253" i="3"/>
  <c r="C253" i="3"/>
  <c r="D253" i="3"/>
  <c r="E253" i="3"/>
  <c r="B254" i="3"/>
  <c r="C254" i="3"/>
  <c r="D254" i="3"/>
  <c r="E254" i="3"/>
  <c r="B255" i="3"/>
  <c r="C255" i="3"/>
  <c r="D255" i="3"/>
  <c r="E255" i="3"/>
  <c r="B256" i="3"/>
  <c r="C256" i="3"/>
  <c r="D256" i="3"/>
  <c r="E256" i="3"/>
  <c r="B257" i="3"/>
  <c r="C257" i="3"/>
  <c r="D257" i="3"/>
  <c r="E257" i="3"/>
  <c r="B258" i="3"/>
  <c r="C258" i="3"/>
  <c r="D258" i="3"/>
  <c r="E258" i="3"/>
  <c r="B259" i="3"/>
  <c r="C259" i="3"/>
  <c r="D259" i="3"/>
  <c r="E259" i="3"/>
  <c r="B260" i="3"/>
  <c r="C260" i="3"/>
  <c r="D260" i="3"/>
  <c r="E260" i="3"/>
  <c r="B261" i="3"/>
  <c r="C261" i="3"/>
  <c r="D261" i="3"/>
  <c r="E261" i="3"/>
  <c r="B262" i="3"/>
  <c r="C262" i="3"/>
  <c r="D262" i="3"/>
  <c r="E262" i="3"/>
  <c r="B263" i="3"/>
  <c r="C263" i="3"/>
  <c r="D263" i="3"/>
  <c r="E263" i="3"/>
  <c r="B264" i="3"/>
  <c r="C264" i="3"/>
  <c r="D264" i="3"/>
  <c r="E264" i="3"/>
  <c r="B265" i="3"/>
  <c r="C265" i="3"/>
  <c r="D265" i="3"/>
  <c r="E265" i="3"/>
  <c r="B266" i="3"/>
  <c r="C266" i="3"/>
  <c r="D266" i="3"/>
  <c r="E266" i="3"/>
  <c r="B267" i="3"/>
  <c r="C267" i="3"/>
  <c r="D267" i="3"/>
  <c r="E267" i="3"/>
  <c r="B268" i="3"/>
  <c r="C268" i="3"/>
  <c r="D268" i="3"/>
  <c r="E268" i="3"/>
  <c r="B269" i="3"/>
  <c r="C269" i="3"/>
  <c r="D269" i="3"/>
  <c r="E269" i="3"/>
  <c r="B270" i="3"/>
  <c r="C270" i="3"/>
  <c r="D270" i="3"/>
  <c r="E270" i="3"/>
  <c r="B271" i="3"/>
  <c r="C271" i="3"/>
  <c r="D271" i="3"/>
  <c r="E271" i="3"/>
  <c r="B272" i="3"/>
  <c r="C272" i="3"/>
  <c r="D272" i="3"/>
  <c r="E272" i="3"/>
  <c r="B273" i="3"/>
  <c r="C273" i="3"/>
  <c r="D273" i="3"/>
  <c r="E273" i="3"/>
  <c r="B274" i="3"/>
  <c r="C274" i="3"/>
  <c r="D274" i="3"/>
  <c r="E274" i="3"/>
  <c r="B275" i="3"/>
  <c r="C275" i="3"/>
  <c r="D275" i="3"/>
  <c r="E275" i="3"/>
  <c r="B276" i="3"/>
  <c r="C276" i="3"/>
  <c r="D276" i="3"/>
  <c r="E276" i="3"/>
  <c r="B277" i="3"/>
  <c r="C277" i="3"/>
  <c r="D277" i="3"/>
  <c r="E277" i="3"/>
  <c r="B278" i="3"/>
  <c r="C278" i="3"/>
  <c r="D278" i="3"/>
  <c r="E278" i="3"/>
  <c r="B279" i="3"/>
  <c r="C279" i="3"/>
  <c r="D279" i="3"/>
  <c r="E279" i="3"/>
  <c r="B280" i="3"/>
  <c r="C280" i="3"/>
  <c r="D280" i="3"/>
  <c r="E280" i="3"/>
  <c r="B281" i="3"/>
  <c r="C281" i="3"/>
  <c r="D281" i="3"/>
  <c r="E281" i="3"/>
  <c r="B282" i="3"/>
  <c r="C282" i="3"/>
  <c r="D282" i="3"/>
  <c r="E282" i="3"/>
  <c r="B283" i="3"/>
  <c r="C283" i="3"/>
  <c r="D283" i="3"/>
  <c r="E283" i="3"/>
  <c r="B284" i="3"/>
  <c r="C284" i="3"/>
  <c r="D284" i="3"/>
  <c r="E284" i="3"/>
  <c r="B285" i="3"/>
  <c r="C285" i="3"/>
  <c r="D285" i="3"/>
  <c r="E285" i="3"/>
  <c r="B286" i="3"/>
  <c r="C286" i="3"/>
  <c r="D286" i="3"/>
  <c r="E286" i="3"/>
  <c r="B287" i="3"/>
  <c r="C287" i="3"/>
  <c r="D287" i="3"/>
  <c r="E287" i="3"/>
  <c r="B288" i="3"/>
  <c r="C288" i="3"/>
  <c r="D288" i="3"/>
  <c r="E288" i="3"/>
  <c r="B289" i="3"/>
  <c r="C289" i="3"/>
  <c r="D289" i="3"/>
  <c r="E289" i="3"/>
  <c r="B290" i="3"/>
  <c r="C290" i="3"/>
  <c r="D290" i="3"/>
  <c r="E290" i="3"/>
  <c r="B291" i="3"/>
  <c r="C291" i="3"/>
  <c r="D291" i="3"/>
  <c r="E291" i="3"/>
  <c r="B292" i="3"/>
  <c r="C292" i="3"/>
  <c r="D292" i="3"/>
  <c r="E292" i="3"/>
  <c r="B293" i="3"/>
  <c r="C293" i="3"/>
  <c r="D293" i="3"/>
  <c r="E293" i="3"/>
  <c r="B294" i="3"/>
  <c r="C294" i="3"/>
  <c r="D294" i="3"/>
  <c r="E294" i="3"/>
  <c r="B295" i="3"/>
  <c r="C295" i="3"/>
  <c r="D295" i="3"/>
  <c r="E295" i="3"/>
  <c r="B296" i="3"/>
  <c r="C296" i="3"/>
  <c r="D296" i="3"/>
  <c r="E296" i="3"/>
  <c r="B297" i="3"/>
  <c r="C297" i="3"/>
  <c r="D297" i="3"/>
  <c r="E297" i="3"/>
  <c r="B298" i="3"/>
  <c r="C298" i="3"/>
  <c r="D298" i="3"/>
  <c r="E298" i="3"/>
  <c r="B299" i="3"/>
  <c r="C299" i="3"/>
  <c r="D299" i="3"/>
  <c r="E299" i="3"/>
  <c r="B300" i="3"/>
  <c r="C300" i="3"/>
  <c r="D300" i="3"/>
  <c r="E300" i="3"/>
  <c r="B301" i="3"/>
  <c r="C301" i="3"/>
  <c r="D301" i="3"/>
  <c r="E301" i="3"/>
  <c r="B302" i="3"/>
  <c r="C302" i="3"/>
  <c r="D302" i="3"/>
  <c r="E302" i="3"/>
  <c r="B303" i="3"/>
  <c r="C303" i="3"/>
  <c r="D303" i="3"/>
  <c r="E303" i="3"/>
  <c r="B304" i="3"/>
  <c r="C304" i="3"/>
  <c r="D304" i="3"/>
  <c r="E304" i="3"/>
  <c r="B305" i="3"/>
  <c r="C305" i="3"/>
  <c r="D305" i="3"/>
  <c r="E305" i="3"/>
  <c r="B306" i="3"/>
  <c r="C306" i="3"/>
  <c r="D306" i="3"/>
  <c r="E306" i="3"/>
  <c r="B307" i="3"/>
  <c r="C307" i="3"/>
  <c r="D307" i="3"/>
  <c r="E307" i="3"/>
  <c r="B308" i="3"/>
  <c r="C308" i="3"/>
  <c r="D308" i="3"/>
  <c r="E308" i="3"/>
  <c r="B309" i="3"/>
  <c r="C309" i="3"/>
  <c r="D309" i="3"/>
  <c r="E309" i="3"/>
  <c r="B310" i="3"/>
  <c r="C310" i="3"/>
  <c r="D310" i="3"/>
  <c r="E310" i="3"/>
  <c r="B311" i="3"/>
  <c r="C311" i="3"/>
  <c r="D311" i="3"/>
  <c r="E311" i="3"/>
  <c r="B312" i="3"/>
  <c r="C312" i="3"/>
  <c r="D312" i="3"/>
  <c r="E312" i="3"/>
  <c r="B313" i="3"/>
  <c r="C313" i="3"/>
  <c r="D313" i="3"/>
  <c r="E313" i="3"/>
  <c r="B314" i="3"/>
  <c r="C314" i="3"/>
  <c r="D314" i="3"/>
  <c r="E314" i="3"/>
  <c r="B315" i="3"/>
  <c r="C315" i="3"/>
  <c r="D315" i="3"/>
  <c r="E315" i="3"/>
  <c r="B316" i="3"/>
  <c r="C316" i="3"/>
  <c r="D316" i="3"/>
  <c r="E316" i="3"/>
  <c r="B317" i="3"/>
  <c r="C317" i="3"/>
  <c r="D317" i="3"/>
  <c r="E317" i="3"/>
  <c r="B318" i="3"/>
  <c r="C318" i="3"/>
  <c r="D318" i="3"/>
  <c r="E318" i="3"/>
  <c r="B319" i="3"/>
  <c r="C319" i="3"/>
  <c r="D319" i="3"/>
  <c r="E319" i="3"/>
  <c r="B320" i="3"/>
  <c r="C320" i="3"/>
  <c r="D320" i="3"/>
  <c r="E320" i="3"/>
  <c r="B321" i="3"/>
  <c r="C321" i="3"/>
  <c r="D321" i="3"/>
  <c r="E321" i="3"/>
  <c r="B322" i="3"/>
  <c r="C322" i="3"/>
  <c r="D322" i="3"/>
  <c r="E322" i="3"/>
  <c r="B323" i="3"/>
  <c r="C323" i="3"/>
  <c r="D323" i="3"/>
  <c r="E323" i="3"/>
  <c r="B324" i="3"/>
  <c r="C324" i="3"/>
  <c r="D324" i="3"/>
  <c r="E324" i="3"/>
  <c r="B325" i="3"/>
  <c r="C325" i="3"/>
  <c r="D325" i="3"/>
  <c r="E325" i="3"/>
  <c r="B326" i="3"/>
  <c r="C326" i="3"/>
  <c r="D326" i="3"/>
  <c r="E326" i="3"/>
  <c r="B327" i="3"/>
  <c r="C327" i="3"/>
  <c r="D327" i="3"/>
  <c r="E327" i="3"/>
  <c r="B328" i="3"/>
  <c r="C328" i="3"/>
  <c r="D328" i="3"/>
  <c r="E328" i="3"/>
  <c r="B329" i="3"/>
  <c r="C329" i="3"/>
  <c r="D329" i="3"/>
  <c r="E329" i="3"/>
  <c r="B330" i="3"/>
  <c r="C330" i="3"/>
  <c r="D330" i="3"/>
  <c r="E330" i="3"/>
  <c r="B331" i="3"/>
  <c r="C331" i="3"/>
  <c r="D331" i="3"/>
  <c r="E331" i="3"/>
  <c r="B332" i="3"/>
  <c r="C332" i="3"/>
  <c r="D332" i="3"/>
  <c r="E332" i="3"/>
  <c r="B333" i="3"/>
  <c r="C333" i="3"/>
  <c r="D333" i="3"/>
  <c r="E333" i="3"/>
  <c r="B334" i="3"/>
  <c r="C334" i="3"/>
  <c r="D334" i="3"/>
  <c r="E334" i="3"/>
  <c r="B335" i="3"/>
  <c r="C335" i="3"/>
  <c r="D335" i="3"/>
  <c r="E335" i="3"/>
  <c r="B336" i="3"/>
  <c r="C336" i="3"/>
  <c r="D336" i="3"/>
  <c r="E336" i="3"/>
  <c r="B337" i="3"/>
  <c r="C337" i="3"/>
  <c r="D337" i="3"/>
  <c r="E337" i="3"/>
  <c r="B338" i="3"/>
  <c r="C338" i="3"/>
  <c r="D338" i="3"/>
  <c r="E338" i="3"/>
  <c r="B339" i="3"/>
  <c r="C339" i="3"/>
  <c r="D339" i="3"/>
  <c r="E339" i="3"/>
  <c r="B340" i="3"/>
  <c r="C340" i="3"/>
  <c r="D340" i="3"/>
  <c r="E340" i="3"/>
  <c r="B341" i="3"/>
  <c r="C341" i="3"/>
  <c r="D341" i="3"/>
  <c r="E341" i="3"/>
  <c r="B342" i="3"/>
  <c r="C342" i="3"/>
  <c r="D342" i="3"/>
  <c r="E342" i="3"/>
  <c r="B343" i="3"/>
  <c r="C343" i="3"/>
  <c r="D343" i="3"/>
  <c r="E343" i="3"/>
  <c r="B344" i="3"/>
  <c r="C344" i="3"/>
  <c r="D344" i="3"/>
  <c r="E344" i="3"/>
  <c r="B345" i="3"/>
  <c r="C345" i="3"/>
  <c r="D345" i="3"/>
  <c r="E345" i="3"/>
  <c r="B346" i="3"/>
  <c r="C346" i="3"/>
  <c r="D346" i="3"/>
  <c r="E346" i="3"/>
  <c r="B347" i="3"/>
  <c r="C347" i="3"/>
  <c r="D347" i="3"/>
  <c r="E347" i="3"/>
  <c r="B348" i="3"/>
  <c r="C348" i="3"/>
  <c r="D348" i="3"/>
  <c r="E348" i="3"/>
  <c r="B349" i="3"/>
  <c r="C349" i="3"/>
  <c r="D349" i="3"/>
  <c r="E349" i="3"/>
  <c r="B350" i="3"/>
  <c r="C350" i="3"/>
  <c r="D350" i="3"/>
  <c r="E350" i="3"/>
  <c r="B351" i="3"/>
  <c r="C351" i="3"/>
  <c r="D351" i="3"/>
  <c r="E351" i="3"/>
  <c r="B352" i="3"/>
  <c r="C352" i="3"/>
  <c r="D352" i="3"/>
  <c r="E352" i="3"/>
  <c r="B353" i="3"/>
  <c r="C353" i="3"/>
  <c r="D353" i="3"/>
  <c r="E353" i="3"/>
  <c r="B354" i="3"/>
  <c r="C354" i="3"/>
  <c r="D354" i="3"/>
  <c r="E354" i="3"/>
  <c r="B355" i="3"/>
  <c r="C355" i="3"/>
  <c r="D355" i="3"/>
  <c r="E355" i="3"/>
  <c r="B356" i="3"/>
  <c r="C356" i="3"/>
  <c r="D356" i="3"/>
  <c r="E356" i="3"/>
  <c r="B357" i="3"/>
  <c r="C357" i="3"/>
  <c r="D357" i="3"/>
  <c r="E357" i="3"/>
  <c r="B358" i="3"/>
  <c r="C358" i="3"/>
  <c r="D358" i="3"/>
  <c r="E358" i="3"/>
  <c r="B359" i="3"/>
  <c r="C359" i="3"/>
  <c r="D359" i="3"/>
  <c r="E359" i="3"/>
  <c r="B360" i="3"/>
  <c r="C360" i="3"/>
  <c r="D360" i="3"/>
  <c r="E360" i="3"/>
  <c r="B361" i="3"/>
  <c r="C361" i="3"/>
  <c r="D361" i="3"/>
  <c r="E361" i="3"/>
  <c r="B362" i="3"/>
  <c r="C362" i="3"/>
  <c r="D362" i="3"/>
  <c r="E362" i="3"/>
  <c r="B363" i="3"/>
  <c r="C363" i="3"/>
  <c r="D363" i="3"/>
  <c r="E363" i="3"/>
  <c r="B364" i="3"/>
  <c r="C364" i="3"/>
  <c r="D364" i="3"/>
  <c r="E364" i="3"/>
  <c r="B365" i="3"/>
  <c r="C365" i="3"/>
  <c r="D365" i="3"/>
  <c r="E365" i="3"/>
  <c r="B366" i="3"/>
  <c r="C366" i="3"/>
  <c r="D366" i="3"/>
  <c r="E366" i="3"/>
  <c r="B367" i="3"/>
  <c r="C367" i="3"/>
  <c r="D367" i="3"/>
  <c r="E367" i="3"/>
  <c r="B368" i="3"/>
  <c r="C368" i="3"/>
  <c r="D368" i="3"/>
  <c r="E368" i="3"/>
  <c r="B369" i="3"/>
  <c r="C369" i="3"/>
  <c r="D369" i="3"/>
  <c r="E369" i="3"/>
  <c r="B370" i="3"/>
  <c r="C370" i="3"/>
  <c r="D370" i="3"/>
  <c r="E370" i="3"/>
  <c r="B371" i="3"/>
  <c r="C371" i="3"/>
  <c r="D371" i="3"/>
  <c r="E371" i="3"/>
  <c r="B372" i="3"/>
  <c r="C372" i="3"/>
  <c r="D372" i="3"/>
  <c r="E372" i="3"/>
  <c r="B373" i="3"/>
  <c r="C373" i="3"/>
  <c r="D373" i="3"/>
  <c r="E373" i="3"/>
  <c r="B374" i="3"/>
  <c r="C374" i="3"/>
  <c r="D374" i="3"/>
  <c r="E374" i="3"/>
  <c r="B375" i="3"/>
  <c r="C375" i="3"/>
  <c r="D375" i="3"/>
  <c r="E375" i="3"/>
  <c r="B376" i="3"/>
  <c r="C376" i="3"/>
  <c r="D376" i="3"/>
  <c r="E376" i="3"/>
  <c r="B377" i="3"/>
  <c r="C377" i="3"/>
  <c r="D377" i="3"/>
  <c r="E377" i="3"/>
  <c r="B378" i="3"/>
  <c r="C378" i="3"/>
  <c r="D378" i="3"/>
  <c r="E378" i="3"/>
  <c r="B379" i="3"/>
  <c r="C379" i="3"/>
  <c r="D379" i="3"/>
  <c r="E379" i="3"/>
  <c r="B380" i="3"/>
  <c r="C380" i="3"/>
  <c r="D380" i="3"/>
  <c r="E380" i="3"/>
  <c r="B381" i="3"/>
  <c r="C381" i="3"/>
  <c r="D381" i="3"/>
  <c r="E381" i="3"/>
  <c r="B382" i="3"/>
  <c r="C382" i="3"/>
  <c r="D382" i="3"/>
  <c r="E382" i="3"/>
  <c r="B383" i="3"/>
  <c r="C383" i="3"/>
  <c r="D383" i="3"/>
  <c r="E383" i="3"/>
  <c r="B384" i="3"/>
  <c r="C384" i="3"/>
  <c r="D384" i="3"/>
  <c r="E384" i="3"/>
  <c r="B385" i="3"/>
  <c r="C385" i="3"/>
  <c r="D385" i="3"/>
  <c r="E385" i="3"/>
  <c r="B386" i="3"/>
  <c r="C386" i="3"/>
  <c r="D386" i="3"/>
  <c r="E386" i="3"/>
  <c r="B387" i="3"/>
  <c r="C387" i="3"/>
  <c r="D387" i="3"/>
  <c r="E387" i="3"/>
  <c r="B388" i="3"/>
  <c r="C388" i="3"/>
  <c r="D388" i="3"/>
  <c r="E388" i="3"/>
  <c r="B389" i="3"/>
  <c r="C389" i="3"/>
  <c r="D389" i="3"/>
  <c r="E389" i="3"/>
  <c r="B390" i="3"/>
  <c r="C390" i="3"/>
  <c r="D390" i="3"/>
  <c r="E390" i="3"/>
  <c r="B391" i="3"/>
  <c r="C391" i="3"/>
  <c r="D391" i="3"/>
  <c r="E391" i="3"/>
  <c r="B392" i="3"/>
  <c r="C392" i="3"/>
  <c r="D392" i="3"/>
  <c r="E392" i="3"/>
  <c r="B393" i="3"/>
  <c r="C393" i="3"/>
  <c r="D393" i="3"/>
  <c r="E393" i="3"/>
  <c r="B394" i="3"/>
  <c r="C394" i="3"/>
  <c r="D394" i="3"/>
  <c r="E394" i="3"/>
  <c r="B395" i="3"/>
  <c r="C395" i="3"/>
  <c r="D395" i="3"/>
  <c r="E395" i="3"/>
  <c r="B396" i="3"/>
  <c r="C396" i="3"/>
  <c r="D396" i="3"/>
  <c r="E396" i="3"/>
  <c r="B397" i="3"/>
  <c r="C397" i="3"/>
  <c r="D397" i="3"/>
  <c r="E397" i="3"/>
  <c r="B398" i="3"/>
  <c r="C398" i="3"/>
  <c r="D398" i="3"/>
  <c r="E398" i="3"/>
  <c r="B399" i="3"/>
  <c r="C399" i="3"/>
  <c r="D399" i="3"/>
  <c r="E399" i="3"/>
  <c r="B400" i="3"/>
  <c r="C400" i="3"/>
  <c r="D400" i="3"/>
  <c r="E400" i="3"/>
  <c r="B401" i="3"/>
  <c r="C401" i="3"/>
  <c r="D401" i="3"/>
  <c r="E401" i="3"/>
  <c r="B402" i="3"/>
  <c r="C402" i="3"/>
  <c r="D402" i="3"/>
  <c r="E402" i="3"/>
  <c r="B403" i="3"/>
  <c r="C403" i="3"/>
  <c r="D403" i="3"/>
  <c r="E403" i="3"/>
  <c r="B404" i="3"/>
  <c r="C404" i="3"/>
  <c r="D404" i="3"/>
  <c r="E404" i="3"/>
  <c r="B405" i="3"/>
  <c r="C405" i="3"/>
  <c r="D405" i="3"/>
  <c r="E405" i="3"/>
  <c r="B406" i="3"/>
  <c r="C406" i="3"/>
  <c r="D406" i="3"/>
  <c r="E406" i="3"/>
  <c r="B407" i="3"/>
  <c r="C407" i="3"/>
  <c r="D407" i="3"/>
  <c r="E407" i="3"/>
  <c r="B408" i="3"/>
  <c r="C408" i="3"/>
  <c r="D408" i="3"/>
  <c r="E408" i="3"/>
  <c r="B409" i="3"/>
  <c r="C409" i="3"/>
  <c r="D409" i="3"/>
  <c r="E409" i="3"/>
  <c r="B410" i="3"/>
  <c r="C410" i="3"/>
  <c r="D410" i="3"/>
  <c r="E410" i="3"/>
  <c r="B411" i="3"/>
  <c r="C411" i="3"/>
  <c r="D411" i="3"/>
  <c r="E411" i="3"/>
  <c r="B412" i="3"/>
  <c r="C412" i="3"/>
  <c r="D412" i="3"/>
  <c r="E412" i="3"/>
  <c r="B413" i="3"/>
  <c r="C413" i="3"/>
  <c r="D413" i="3"/>
  <c r="E413" i="3"/>
  <c r="B414" i="3"/>
  <c r="C414" i="3"/>
  <c r="D414" i="3"/>
  <c r="E414" i="3"/>
  <c r="B415" i="3"/>
  <c r="C415" i="3"/>
  <c r="D415" i="3"/>
  <c r="E415" i="3"/>
  <c r="B416" i="3"/>
  <c r="C416" i="3"/>
  <c r="D416" i="3"/>
  <c r="E416" i="3"/>
  <c r="B417" i="3"/>
  <c r="C417" i="3"/>
  <c r="D417" i="3"/>
  <c r="E417" i="3"/>
  <c r="B418" i="3"/>
  <c r="C418" i="3"/>
  <c r="D418" i="3"/>
  <c r="E418" i="3"/>
  <c r="B419" i="3"/>
  <c r="C419" i="3"/>
  <c r="D419" i="3"/>
  <c r="E419" i="3"/>
  <c r="B420" i="3"/>
  <c r="C420" i="3"/>
  <c r="D420" i="3"/>
  <c r="E420" i="3"/>
  <c r="B421" i="3"/>
  <c r="C421" i="3"/>
  <c r="D421" i="3"/>
  <c r="E421" i="3"/>
  <c r="B422" i="3"/>
  <c r="C422" i="3"/>
  <c r="D422" i="3"/>
  <c r="E422" i="3"/>
  <c r="B423" i="3"/>
  <c r="C423" i="3"/>
  <c r="D423" i="3"/>
  <c r="E423" i="3"/>
  <c r="B424" i="3"/>
  <c r="C424" i="3"/>
  <c r="D424" i="3"/>
  <c r="E424" i="3"/>
  <c r="B425" i="3"/>
  <c r="C425" i="3"/>
  <c r="D425" i="3"/>
  <c r="E425" i="3"/>
  <c r="B426" i="3"/>
  <c r="C426" i="3"/>
  <c r="D426" i="3"/>
  <c r="E426" i="3"/>
  <c r="B427" i="3"/>
  <c r="C427" i="3"/>
  <c r="D427" i="3"/>
  <c r="E427" i="3"/>
  <c r="B428" i="3"/>
  <c r="C428" i="3"/>
  <c r="D428" i="3"/>
  <c r="E428" i="3"/>
  <c r="B429" i="3"/>
  <c r="C429" i="3"/>
  <c r="D429" i="3"/>
  <c r="E429" i="3"/>
  <c r="B430" i="3"/>
  <c r="C430" i="3"/>
  <c r="D430" i="3"/>
  <c r="E430" i="3"/>
  <c r="B431" i="3"/>
  <c r="C431" i="3"/>
  <c r="D431" i="3"/>
  <c r="E431" i="3"/>
  <c r="B432" i="3"/>
  <c r="C432" i="3"/>
  <c r="D432" i="3"/>
  <c r="E432" i="3"/>
  <c r="B433" i="3"/>
  <c r="C433" i="3"/>
  <c r="D433" i="3"/>
  <c r="E433" i="3"/>
  <c r="B434" i="3"/>
  <c r="C434" i="3"/>
  <c r="D434" i="3"/>
  <c r="E434" i="3"/>
  <c r="B435" i="3"/>
  <c r="C435" i="3"/>
  <c r="D435" i="3"/>
  <c r="E435" i="3"/>
  <c r="B436" i="3"/>
  <c r="C436" i="3"/>
  <c r="D436" i="3"/>
  <c r="E436" i="3"/>
  <c r="B437" i="3"/>
  <c r="C437" i="3"/>
  <c r="D437" i="3"/>
  <c r="E437" i="3"/>
  <c r="B438" i="3"/>
  <c r="C438" i="3"/>
  <c r="D438" i="3"/>
  <c r="E438" i="3"/>
  <c r="B439" i="3"/>
  <c r="C439" i="3"/>
  <c r="D439" i="3"/>
  <c r="E439" i="3"/>
  <c r="B440" i="3"/>
  <c r="C440" i="3"/>
  <c r="D440" i="3"/>
  <c r="E440" i="3"/>
  <c r="B441" i="3"/>
  <c r="C441" i="3"/>
  <c r="D441" i="3"/>
  <c r="E441" i="3"/>
  <c r="B442" i="3"/>
  <c r="C442" i="3"/>
  <c r="D442" i="3"/>
  <c r="E442" i="3"/>
  <c r="B443" i="3"/>
  <c r="C443" i="3"/>
  <c r="D443" i="3"/>
  <c r="E443" i="3"/>
  <c r="B444" i="3"/>
  <c r="C444" i="3"/>
  <c r="D444" i="3"/>
  <c r="E444" i="3"/>
  <c r="B445" i="3"/>
  <c r="C445" i="3"/>
  <c r="D445" i="3"/>
  <c r="E445" i="3"/>
  <c r="B446" i="3"/>
  <c r="C446" i="3"/>
  <c r="D446" i="3"/>
  <c r="E446" i="3"/>
  <c r="B447" i="3"/>
  <c r="C447" i="3"/>
  <c r="D447" i="3"/>
  <c r="E447" i="3"/>
  <c r="B448" i="3"/>
  <c r="C448" i="3"/>
  <c r="D448" i="3"/>
  <c r="E448" i="3"/>
  <c r="B449" i="3"/>
  <c r="C449" i="3"/>
  <c r="D449" i="3"/>
  <c r="E449" i="3"/>
  <c r="B450" i="3"/>
  <c r="C450" i="3"/>
  <c r="D450" i="3"/>
  <c r="E450" i="3"/>
  <c r="B451" i="3"/>
  <c r="C451" i="3"/>
  <c r="D451" i="3"/>
  <c r="E451" i="3"/>
  <c r="B452" i="3"/>
  <c r="C452" i="3"/>
  <c r="D452" i="3"/>
  <c r="E452" i="3"/>
  <c r="B453" i="3"/>
  <c r="C453" i="3"/>
  <c r="D453" i="3"/>
  <c r="E453" i="3"/>
  <c r="B454" i="3"/>
  <c r="C454" i="3"/>
  <c r="D454" i="3"/>
  <c r="E454" i="3"/>
  <c r="B455" i="3"/>
  <c r="C455" i="3"/>
  <c r="D455" i="3"/>
  <c r="E455" i="3"/>
  <c r="B456" i="3"/>
  <c r="C456" i="3"/>
  <c r="D456" i="3"/>
  <c r="E456" i="3"/>
  <c r="B457" i="3"/>
  <c r="C457" i="3"/>
  <c r="D457" i="3"/>
  <c r="E457" i="3"/>
  <c r="B458" i="3"/>
  <c r="C458" i="3"/>
  <c r="D458" i="3"/>
  <c r="E458" i="3"/>
  <c r="B459" i="3"/>
  <c r="C459" i="3"/>
  <c r="D459" i="3"/>
  <c r="E459" i="3"/>
  <c r="B460" i="3"/>
  <c r="C460" i="3"/>
  <c r="D460" i="3"/>
  <c r="E460" i="3"/>
  <c r="B461" i="3"/>
  <c r="C461" i="3"/>
  <c r="D461" i="3"/>
  <c r="E461" i="3"/>
  <c r="B462" i="3"/>
  <c r="C462" i="3"/>
  <c r="D462" i="3"/>
  <c r="E462" i="3"/>
  <c r="B463" i="3"/>
  <c r="C463" i="3"/>
  <c r="D463" i="3"/>
  <c r="E463" i="3"/>
  <c r="B464" i="3"/>
  <c r="C464" i="3"/>
  <c r="D464" i="3"/>
  <c r="E464" i="3"/>
  <c r="B465" i="3"/>
  <c r="C465" i="3"/>
  <c r="D465" i="3"/>
  <c r="E465" i="3"/>
  <c r="B466" i="3"/>
  <c r="C466" i="3"/>
  <c r="D466" i="3"/>
  <c r="E466" i="3"/>
  <c r="B467" i="3"/>
  <c r="C467" i="3"/>
  <c r="D467" i="3"/>
  <c r="E467" i="3"/>
  <c r="B468" i="3"/>
  <c r="C468" i="3"/>
  <c r="D468" i="3"/>
  <c r="E468" i="3"/>
  <c r="B469" i="3"/>
  <c r="C469" i="3"/>
  <c r="D469" i="3"/>
  <c r="E469" i="3"/>
  <c r="B470" i="3"/>
  <c r="C470" i="3"/>
  <c r="D470" i="3"/>
  <c r="E470" i="3"/>
  <c r="B471" i="3"/>
  <c r="C471" i="3"/>
  <c r="D471" i="3"/>
  <c r="E471" i="3"/>
  <c r="B472" i="3"/>
  <c r="C472" i="3"/>
  <c r="D472" i="3"/>
  <c r="E472" i="3"/>
  <c r="B473" i="3"/>
  <c r="C473" i="3"/>
  <c r="D473" i="3"/>
  <c r="E473" i="3"/>
  <c r="B474" i="3"/>
  <c r="C474" i="3"/>
  <c r="D474" i="3"/>
  <c r="E474" i="3"/>
  <c r="B475" i="3"/>
  <c r="C475" i="3"/>
  <c r="D475" i="3"/>
  <c r="E475" i="3"/>
  <c r="B476" i="3"/>
  <c r="C476" i="3"/>
  <c r="D476" i="3"/>
  <c r="E476" i="3"/>
  <c r="B477" i="3"/>
  <c r="C477" i="3"/>
  <c r="D477" i="3"/>
  <c r="E477" i="3"/>
  <c r="B478" i="3"/>
  <c r="C478" i="3"/>
  <c r="D478" i="3"/>
  <c r="E478" i="3"/>
  <c r="B479" i="3"/>
  <c r="C479" i="3"/>
  <c r="D479" i="3"/>
  <c r="E479" i="3"/>
  <c r="B480" i="3"/>
  <c r="C480" i="3"/>
  <c r="D480" i="3"/>
  <c r="E480" i="3"/>
  <c r="B481" i="3"/>
  <c r="C481" i="3"/>
  <c r="D481" i="3"/>
  <c r="E481" i="3"/>
  <c r="B482" i="3"/>
  <c r="C482" i="3"/>
  <c r="D482" i="3"/>
  <c r="E482" i="3"/>
  <c r="B483" i="3"/>
  <c r="C483" i="3"/>
  <c r="D483" i="3"/>
  <c r="E483" i="3"/>
  <c r="B484" i="3"/>
  <c r="C484" i="3"/>
  <c r="D484" i="3"/>
  <c r="E484" i="3"/>
  <c r="B485" i="3"/>
  <c r="C485" i="3"/>
  <c r="D485" i="3"/>
  <c r="E485" i="3"/>
  <c r="B486" i="3"/>
  <c r="C486" i="3"/>
  <c r="D486" i="3"/>
  <c r="E486" i="3"/>
  <c r="B487" i="3"/>
  <c r="C487" i="3"/>
  <c r="D487" i="3"/>
  <c r="E487" i="3"/>
  <c r="B488" i="3"/>
  <c r="C488" i="3"/>
  <c r="D488" i="3"/>
  <c r="E488" i="3"/>
  <c r="B489" i="3"/>
  <c r="C489" i="3"/>
  <c r="D489" i="3"/>
  <c r="E489" i="3"/>
  <c r="B490" i="3"/>
  <c r="C490" i="3"/>
  <c r="D490" i="3"/>
  <c r="E490" i="3"/>
  <c r="B491" i="3"/>
  <c r="C491" i="3"/>
  <c r="D491" i="3"/>
  <c r="E491" i="3"/>
  <c r="B492" i="3"/>
  <c r="C492" i="3"/>
  <c r="D492" i="3"/>
  <c r="E492" i="3"/>
  <c r="B493" i="3"/>
  <c r="C493" i="3"/>
  <c r="D493" i="3"/>
  <c r="E493" i="3"/>
  <c r="B494" i="3"/>
  <c r="C494" i="3"/>
  <c r="D494" i="3"/>
  <c r="E494" i="3"/>
  <c r="B495" i="3"/>
  <c r="C495" i="3"/>
  <c r="D495" i="3"/>
  <c r="E495" i="3"/>
  <c r="B496" i="3"/>
  <c r="C496" i="3"/>
  <c r="D496" i="3"/>
  <c r="E496" i="3"/>
  <c r="B497" i="3"/>
  <c r="C497" i="3"/>
  <c r="D497" i="3"/>
  <c r="E497" i="3"/>
  <c r="B498" i="3"/>
  <c r="C498" i="3"/>
  <c r="D498" i="3"/>
  <c r="E498" i="3"/>
  <c r="B499" i="3"/>
  <c r="C499" i="3"/>
  <c r="D499" i="3"/>
  <c r="E499" i="3"/>
  <c r="B500" i="3"/>
  <c r="C500" i="3"/>
  <c r="D500" i="3"/>
  <c r="E500" i="3"/>
  <c r="B501" i="3"/>
  <c r="C501" i="3"/>
  <c r="D501" i="3"/>
  <c r="E501" i="3"/>
  <c r="B502" i="3"/>
  <c r="C502" i="3"/>
  <c r="D502" i="3"/>
  <c r="E502" i="3"/>
  <c r="B503" i="3"/>
  <c r="C503" i="3"/>
  <c r="D503" i="3"/>
  <c r="E503" i="3"/>
  <c r="B504" i="3"/>
  <c r="C504" i="3"/>
  <c r="D504" i="3"/>
  <c r="E504" i="3"/>
  <c r="B505" i="3"/>
  <c r="C505" i="3"/>
  <c r="D505" i="3"/>
  <c r="E505" i="3"/>
  <c r="B506" i="3"/>
  <c r="C506" i="3"/>
  <c r="D506" i="3"/>
  <c r="E506" i="3"/>
  <c r="B507" i="3"/>
  <c r="C507" i="3"/>
  <c r="D507" i="3"/>
  <c r="E507" i="3"/>
  <c r="B508" i="3"/>
  <c r="C508" i="3"/>
  <c r="D508" i="3"/>
  <c r="E508" i="3"/>
  <c r="B509" i="3"/>
  <c r="C509" i="3"/>
  <c r="D509" i="3"/>
  <c r="E509" i="3"/>
  <c r="B510" i="3"/>
  <c r="C510" i="3"/>
  <c r="D510" i="3"/>
  <c r="E510" i="3"/>
  <c r="B511" i="3"/>
  <c r="C511" i="3"/>
  <c r="D511" i="3"/>
  <c r="E511" i="3"/>
  <c r="B512" i="3"/>
  <c r="C512" i="3"/>
  <c r="D512" i="3"/>
  <c r="E512" i="3"/>
  <c r="B513" i="3"/>
  <c r="C513" i="3"/>
  <c r="D513" i="3"/>
  <c r="E513" i="3"/>
  <c r="B514" i="3"/>
  <c r="C514" i="3"/>
  <c r="D514" i="3"/>
  <c r="E514" i="3"/>
  <c r="B515" i="3"/>
  <c r="C515" i="3"/>
  <c r="D515" i="3"/>
  <c r="E515" i="3"/>
  <c r="B516" i="3"/>
  <c r="C516" i="3"/>
  <c r="D516" i="3"/>
  <c r="E516" i="3"/>
  <c r="B517" i="3"/>
  <c r="C517" i="3"/>
  <c r="D517" i="3"/>
  <c r="E517" i="3"/>
  <c r="B518" i="3"/>
  <c r="C518" i="3"/>
  <c r="D518" i="3"/>
  <c r="E518" i="3"/>
  <c r="B519" i="3"/>
  <c r="C519" i="3"/>
  <c r="D519" i="3"/>
  <c r="E519" i="3"/>
  <c r="B520" i="3"/>
  <c r="C520" i="3"/>
  <c r="D520" i="3"/>
  <c r="E520" i="3"/>
  <c r="B521" i="3"/>
  <c r="C521" i="3"/>
  <c r="D521" i="3"/>
  <c r="E521" i="3"/>
  <c r="B522" i="3"/>
  <c r="C522" i="3"/>
  <c r="D522" i="3"/>
  <c r="E522" i="3"/>
  <c r="B523" i="3"/>
  <c r="C523" i="3"/>
  <c r="D523" i="3"/>
  <c r="E523" i="3"/>
  <c r="B524" i="3"/>
  <c r="C524" i="3"/>
  <c r="D524" i="3"/>
  <c r="E524" i="3"/>
  <c r="B525" i="3"/>
  <c r="C525" i="3"/>
  <c r="D525" i="3"/>
  <c r="E525" i="3"/>
  <c r="B526" i="3"/>
  <c r="C526" i="3"/>
  <c r="D526" i="3"/>
  <c r="E526" i="3"/>
  <c r="B527" i="3"/>
  <c r="C527" i="3"/>
  <c r="D527" i="3"/>
  <c r="E527" i="3"/>
  <c r="B528" i="3"/>
  <c r="C528" i="3"/>
  <c r="D528" i="3"/>
  <c r="E528" i="3"/>
  <c r="B529" i="3"/>
  <c r="C529" i="3"/>
  <c r="D529" i="3"/>
  <c r="E529" i="3"/>
  <c r="B530" i="3"/>
  <c r="C530" i="3"/>
  <c r="D530" i="3"/>
  <c r="E530" i="3"/>
  <c r="B531" i="3"/>
  <c r="C531" i="3"/>
  <c r="D531" i="3"/>
  <c r="E531" i="3"/>
  <c r="B532" i="3"/>
  <c r="C532" i="3"/>
  <c r="D532" i="3"/>
  <c r="E532" i="3"/>
  <c r="B533" i="3"/>
  <c r="C533" i="3"/>
  <c r="D533" i="3"/>
  <c r="E533" i="3"/>
  <c r="B534" i="3"/>
  <c r="C534" i="3"/>
  <c r="D534" i="3"/>
  <c r="E534" i="3"/>
  <c r="B535" i="3"/>
  <c r="C535" i="3"/>
  <c r="D535" i="3"/>
  <c r="E535" i="3"/>
  <c r="B536" i="3"/>
  <c r="C536" i="3"/>
  <c r="D536" i="3"/>
  <c r="E536" i="3"/>
  <c r="B537" i="3"/>
  <c r="C537" i="3"/>
  <c r="D537" i="3"/>
  <c r="E537" i="3"/>
  <c r="B538" i="3"/>
  <c r="C538" i="3"/>
  <c r="D538" i="3"/>
  <c r="E538" i="3"/>
  <c r="B539" i="3"/>
  <c r="C539" i="3"/>
  <c r="D539" i="3"/>
  <c r="E539" i="3"/>
  <c r="B540" i="3"/>
  <c r="C540" i="3"/>
  <c r="D540" i="3"/>
  <c r="E540" i="3"/>
  <c r="B541" i="3"/>
  <c r="C541" i="3"/>
  <c r="D541" i="3"/>
  <c r="E541" i="3"/>
  <c r="B542" i="3"/>
  <c r="C542" i="3"/>
  <c r="D542" i="3"/>
  <c r="E542" i="3"/>
  <c r="B543" i="3"/>
  <c r="C543" i="3"/>
  <c r="D543" i="3"/>
  <c r="E543" i="3"/>
  <c r="B544" i="3"/>
  <c r="C544" i="3"/>
  <c r="D544" i="3"/>
  <c r="E544" i="3"/>
  <c r="B545" i="3"/>
  <c r="C545" i="3"/>
  <c r="D545" i="3"/>
  <c r="E545" i="3"/>
  <c r="B546" i="3"/>
  <c r="C546" i="3"/>
  <c r="D546" i="3"/>
  <c r="E546" i="3"/>
  <c r="B547" i="3"/>
  <c r="C547" i="3"/>
  <c r="D547" i="3"/>
  <c r="E547" i="3"/>
  <c r="B548" i="3"/>
  <c r="C548" i="3"/>
  <c r="D548" i="3"/>
  <c r="E548" i="3"/>
  <c r="B549" i="3"/>
  <c r="C549" i="3"/>
  <c r="D549" i="3"/>
  <c r="E549" i="3"/>
  <c r="B550" i="3"/>
  <c r="C550" i="3"/>
  <c r="D550" i="3"/>
  <c r="E550" i="3"/>
  <c r="B551" i="3"/>
  <c r="C551" i="3"/>
  <c r="D551" i="3"/>
  <c r="E551" i="3"/>
  <c r="B552" i="3"/>
  <c r="C552" i="3"/>
  <c r="D552" i="3"/>
  <c r="E552" i="3"/>
  <c r="B553" i="3"/>
  <c r="C553" i="3"/>
  <c r="D553" i="3"/>
  <c r="E553" i="3"/>
  <c r="B554" i="3"/>
  <c r="C554" i="3"/>
  <c r="D554" i="3"/>
  <c r="E554" i="3"/>
  <c r="B555" i="3"/>
  <c r="C555" i="3"/>
  <c r="D555" i="3"/>
  <c r="E555" i="3"/>
  <c r="B556" i="3"/>
  <c r="C556" i="3"/>
  <c r="D556" i="3"/>
  <c r="E556" i="3"/>
  <c r="B557" i="3"/>
  <c r="C557" i="3"/>
  <c r="D557" i="3"/>
  <c r="E557" i="3"/>
  <c r="B558" i="3"/>
  <c r="C558" i="3"/>
  <c r="D558" i="3"/>
  <c r="E558" i="3"/>
  <c r="B559" i="3"/>
  <c r="C559" i="3"/>
  <c r="D559" i="3"/>
  <c r="E559" i="3"/>
  <c r="B560" i="3"/>
  <c r="C560" i="3"/>
  <c r="D560" i="3"/>
  <c r="E560" i="3"/>
  <c r="B561" i="3"/>
  <c r="C561" i="3"/>
  <c r="D561" i="3"/>
  <c r="E561" i="3"/>
  <c r="B562" i="3"/>
  <c r="C562" i="3"/>
  <c r="D562" i="3"/>
  <c r="E562" i="3"/>
  <c r="B563" i="3"/>
  <c r="C563" i="3"/>
  <c r="D563" i="3"/>
  <c r="E563" i="3"/>
  <c r="B564" i="3"/>
  <c r="C564" i="3"/>
  <c r="D564" i="3"/>
  <c r="E564" i="3"/>
  <c r="B565" i="3"/>
  <c r="C565" i="3"/>
  <c r="D565" i="3"/>
  <c r="E565" i="3"/>
  <c r="B566" i="3"/>
  <c r="C566" i="3"/>
  <c r="D566" i="3"/>
  <c r="E566" i="3"/>
  <c r="B567" i="3"/>
  <c r="C567" i="3"/>
  <c r="D567" i="3"/>
  <c r="E567" i="3"/>
  <c r="B568" i="3"/>
  <c r="C568" i="3"/>
  <c r="D568" i="3"/>
  <c r="E568" i="3"/>
  <c r="B569" i="3"/>
  <c r="C569" i="3"/>
  <c r="D569" i="3"/>
  <c r="E569" i="3"/>
  <c r="B570" i="3"/>
  <c r="C570" i="3"/>
  <c r="D570" i="3"/>
  <c r="E570" i="3"/>
  <c r="B571" i="3"/>
  <c r="C571" i="3"/>
  <c r="D571" i="3"/>
  <c r="E571" i="3"/>
  <c r="B572" i="3"/>
  <c r="C572" i="3"/>
  <c r="D572" i="3"/>
  <c r="E572" i="3"/>
  <c r="B573" i="3"/>
  <c r="C573" i="3"/>
  <c r="D573" i="3"/>
  <c r="E573" i="3"/>
  <c r="B574" i="3"/>
  <c r="C574" i="3"/>
  <c r="D574" i="3"/>
  <c r="E574" i="3"/>
  <c r="B575" i="3"/>
  <c r="C575" i="3"/>
  <c r="D575" i="3"/>
  <c r="E575" i="3"/>
  <c r="B576" i="3"/>
  <c r="C576" i="3"/>
  <c r="D576" i="3"/>
  <c r="E576" i="3"/>
  <c r="B577" i="3"/>
  <c r="C577" i="3"/>
  <c r="D577" i="3"/>
  <c r="E577" i="3"/>
  <c r="B578" i="3"/>
  <c r="C578" i="3"/>
  <c r="D578" i="3"/>
  <c r="E578" i="3"/>
  <c r="B579" i="3"/>
  <c r="C579" i="3"/>
  <c r="D579" i="3"/>
  <c r="E579" i="3"/>
  <c r="B580" i="3"/>
  <c r="C580" i="3"/>
  <c r="D580" i="3"/>
  <c r="E580" i="3"/>
  <c r="B581" i="3"/>
  <c r="C581" i="3"/>
  <c r="D581" i="3"/>
  <c r="E581" i="3"/>
  <c r="B582" i="3"/>
  <c r="C582" i="3"/>
  <c r="D582" i="3"/>
  <c r="E582" i="3"/>
  <c r="B583" i="3"/>
  <c r="C583" i="3"/>
  <c r="D583" i="3"/>
  <c r="E583" i="3"/>
  <c r="B584" i="3"/>
  <c r="C584" i="3"/>
  <c r="D584" i="3"/>
  <c r="E584" i="3"/>
  <c r="B585" i="3"/>
  <c r="C585" i="3"/>
  <c r="D585" i="3"/>
  <c r="E585" i="3"/>
  <c r="B586" i="3"/>
  <c r="C586" i="3"/>
  <c r="D586" i="3"/>
  <c r="E586" i="3"/>
  <c r="B587" i="3"/>
  <c r="C587" i="3"/>
  <c r="D587" i="3"/>
  <c r="E587" i="3"/>
  <c r="B588" i="3"/>
  <c r="C588" i="3"/>
  <c r="D588" i="3"/>
  <c r="E588" i="3"/>
  <c r="B589" i="3"/>
  <c r="C589" i="3"/>
  <c r="D589" i="3"/>
  <c r="E589" i="3"/>
  <c r="B590" i="3"/>
  <c r="C590" i="3"/>
  <c r="D590" i="3"/>
  <c r="E590" i="3"/>
  <c r="B591" i="3"/>
  <c r="C591" i="3"/>
  <c r="D591" i="3"/>
  <c r="E591" i="3"/>
  <c r="B592" i="3"/>
  <c r="C592" i="3"/>
  <c r="D592" i="3"/>
  <c r="E592" i="3"/>
  <c r="B593" i="3"/>
  <c r="C593" i="3"/>
  <c r="D593" i="3"/>
  <c r="E593" i="3"/>
  <c r="B594" i="3"/>
  <c r="C594" i="3"/>
  <c r="D594" i="3"/>
  <c r="E594" i="3"/>
  <c r="B595" i="3"/>
  <c r="C595" i="3"/>
  <c r="D595" i="3"/>
  <c r="E595" i="3"/>
  <c r="B596" i="3"/>
  <c r="C596" i="3"/>
  <c r="D596" i="3"/>
  <c r="E596" i="3"/>
  <c r="B597" i="3"/>
  <c r="C597" i="3"/>
  <c r="D597" i="3"/>
  <c r="E597" i="3"/>
  <c r="B598" i="3"/>
  <c r="C598" i="3"/>
  <c r="D598" i="3"/>
  <c r="E598" i="3"/>
  <c r="B599" i="3"/>
  <c r="C599" i="3"/>
  <c r="D599" i="3"/>
  <c r="E599" i="3"/>
  <c r="B600" i="3"/>
  <c r="C600" i="3"/>
  <c r="D600" i="3"/>
  <c r="E600" i="3"/>
  <c r="B601" i="3"/>
  <c r="C601" i="3"/>
  <c r="D601" i="3"/>
  <c r="E601" i="3"/>
  <c r="B602" i="3"/>
  <c r="C602" i="3"/>
  <c r="D602" i="3"/>
  <c r="E602" i="3"/>
  <c r="B603" i="3"/>
  <c r="C603" i="3"/>
  <c r="D603" i="3"/>
  <c r="E603" i="3"/>
  <c r="B604" i="3"/>
  <c r="C604" i="3"/>
  <c r="D604" i="3"/>
  <c r="E604" i="3"/>
  <c r="B605" i="3"/>
  <c r="C605" i="3"/>
  <c r="D605" i="3"/>
  <c r="E605" i="3"/>
  <c r="B606" i="3"/>
  <c r="C606" i="3"/>
  <c r="D606" i="3"/>
  <c r="E606" i="3"/>
  <c r="B607" i="3"/>
  <c r="C607" i="3"/>
  <c r="D607" i="3"/>
  <c r="E607" i="3"/>
  <c r="B608" i="3"/>
  <c r="C608" i="3"/>
  <c r="D608" i="3"/>
  <c r="E608" i="3"/>
  <c r="B609" i="3"/>
  <c r="C609" i="3"/>
  <c r="D609" i="3"/>
  <c r="E609" i="3"/>
  <c r="B610" i="3"/>
  <c r="C610" i="3"/>
  <c r="D610" i="3"/>
  <c r="E610" i="3"/>
  <c r="B611" i="3"/>
  <c r="C611" i="3"/>
  <c r="D611" i="3"/>
  <c r="E611" i="3"/>
  <c r="B612" i="3"/>
  <c r="C612" i="3"/>
  <c r="D612" i="3"/>
  <c r="E612" i="3"/>
  <c r="B613" i="3"/>
  <c r="C613" i="3"/>
  <c r="D613" i="3"/>
  <c r="E613" i="3"/>
  <c r="B614" i="3"/>
  <c r="C614" i="3"/>
  <c r="D614" i="3"/>
  <c r="E614" i="3"/>
  <c r="B615" i="3"/>
  <c r="C615" i="3"/>
  <c r="D615" i="3"/>
  <c r="E615" i="3"/>
  <c r="B616" i="3"/>
  <c r="C616" i="3"/>
  <c r="D616" i="3"/>
  <c r="E616" i="3"/>
  <c r="B617" i="3"/>
  <c r="C617" i="3"/>
  <c r="D617" i="3"/>
  <c r="E617" i="3"/>
  <c r="B618" i="3"/>
  <c r="C618" i="3"/>
  <c r="D618" i="3"/>
  <c r="E618" i="3"/>
  <c r="B619" i="3"/>
  <c r="C619" i="3"/>
  <c r="D619" i="3"/>
  <c r="E619" i="3"/>
  <c r="B620" i="3"/>
  <c r="C620" i="3"/>
  <c r="D620" i="3"/>
  <c r="E620" i="3"/>
  <c r="B621" i="3"/>
  <c r="C621" i="3"/>
  <c r="D621" i="3"/>
  <c r="E621" i="3"/>
  <c r="B622" i="3"/>
  <c r="C622" i="3"/>
  <c r="D622" i="3"/>
  <c r="E622" i="3"/>
  <c r="B623" i="3"/>
  <c r="C623" i="3"/>
  <c r="D623" i="3"/>
  <c r="E623" i="3"/>
  <c r="B624" i="3"/>
  <c r="C624" i="3"/>
  <c r="D624" i="3"/>
  <c r="E624" i="3"/>
  <c r="B625" i="3"/>
  <c r="C625" i="3"/>
  <c r="D625" i="3"/>
  <c r="E625" i="3"/>
  <c r="B626" i="3"/>
  <c r="C626" i="3"/>
  <c r="D626" i="3"/>
  <c r="E626" i="3"/>
  <c r="B627" i="3"/>
  <c r="C627" i="3"/>
  <c r="D627" i="3"/>
  <c r="E627" i="3"/>
  <c r="B628" i="3"/>
  <c r="C628" i="3"/>
  <c r="D628" i="3"/>
  <c r="E628" i="3"/>
  <c r="B629" i="3"/>
  <c r="C629" i="3"/>
  <c r="D629" i="3"/>
  <c r="E629" i="3"/>
  <c r="B630" i="3"/>
  <c r="C630" i="3"/>
  <c r="D630" i="3"/>
  <c r="E630" i="3"/>
  <c r="B631" i="3"/>
  <c r="C631" i="3"/>
  <c r="D631" i="3"/>
  <c r="E631" i="3"/>
  <c r="B632" i="3"/>
  <c r="C632" i="3"/>
  <c r="D632" i="3"/>
  <c r="E632" i="3"/>
  <c r="B633" i="3"/>
  <c r="C633" i="3"/>
  <c r="D633" i="3"/>
  <c r="E633" i="3"/>
  <c r="B634" i="3"/>
  <c r="C634" i="3"/>
  <c r="D634" i="3"/>
  <c r="E634" i="3"/>
  <c r="B635" i="3"/>
  <c r="C635" i="3"/>
  <c r="D635" i="3"/>
  <c r="E635" i="3"/>
  <c r="B636" i="3"/>
  <c r="C636" i="3"/>
  <c r="D636" i="3"/>
  <c r="E636" i="3"/>
  <c r="B637" i="3"/>
  <c r="C637" i="3"/>
  <c r="D637" i="3"/>
  <c r="E637" i="3"/>
  <c r="B638" i="3"/>
  <c r="C638" i="3"/>
  <c r="D638" i="3"/>
  <c r="E638" i="3"/>
  <c r="B639" i="3"/>
  <c r="C639" i="3"/>
  <c r="D639" i="3"/>
  <c r="E639" i="3"/>
  <c r="B640" i="3"/>
  <c r="C640" i="3"/>
  <c r="D640" i="3"/>
  <c r="E640" i="3"/>
  <c r="B641" i="3"/>
  <c r="C641" i="3"/>
  <c r="D641" i="3"/>
  <c r="E641" i="3"/>
  <c r="B642" i="3"/>
  <c r="C642" i="3"/>
  <c r="D642" i="3"/>
  <c r="E642" i="3"/>
  <c r="B643" i="3"/>
  <c r="C643" i="3"/>
  <c r="D643" i="3"/>
  <c r="E643" i="3"/>
  <c r="B644" i="3"/>
  <c r="C644" i="3"/>
  <c r="D644" i="3"/>
  <c r="E644" i="3"/>
  <c r="B645" i="3"/>
  <c r="C645" i="3"/>
  <c r="D645" i="3"/>
  <c r="E645" i="3"/>
  <c r="B646" i="3"/>
  <c r="C646" i="3"/>
  <c r="D646" i="3"/>
  <c r="E646" i="3"/>
  <c r="B647" i="3"/>
  <c r="C647" i="3"/>
  <c r="D647" i="3"/>
  <c r="E647" i="3"/>
  <c r="B648" i="3"/>
  <c r="C648" i="3"/>
  <c r="D648" i="3"/>
  <c r="E648" i="3"/>
  <c r="B649" i="3"/>
  <c r="C649" i="3"/>
  <c r="D649" i="3"/>
  <c r="E649" i="3"/>
  <c r="B650" i="3"/>
  <c r="C650" i="3"/>
  <c r="D650" i="3"/>
  <c r="E650" i="3"/>
  <c r="B651" i="3"/>
  <c r="C651" i="3"/>
  <c r="D651" i="3"/>
  <c r="E651" i="3"/>
  <c r="B652" i="3"/>
  <c r="C652" i="3"/>
  <c r="D652" i="3"/>
  <c r="E652" i="3"/>
  <c r="B653" i="3"/>
  <c r="C653" i="3"/>
  <c r="D653" i="3"/>
  <c r="E653" i="3"/>
  <c r="B654" i="3"/>
  <c r="C654" i="3"/>
  <c r="D654" i="3"/>
  <c r="E654" i="3"/>
  <c r="B655" i="3"/>
  <c r="C655" i="3"/>
  <c r="D655" i="3"/>
  <c r="E655" i="3"/>
  <c r="B656" i="3"/>
  <c r="C656" i="3"/>
  <c r="D656" i="3"/>
  <c r="E656" i="3"/>
  <c r="B657" i="3"/>
  <c r="C657" i="3"/>
  <c r="D657" i="3"/>
  <c r="E657" i="3"/>
  <c r="B658" i="3"/>
  <c r="C658" i="3"/>
  <c r="D658" i="3"/>
  <c r="E658" i="3"/>
  <c r="B659" i="3"/>
  <c r="C659" i="3"/>
  <c r="D659" i="3"/>
  <c r="E659" i="3"/>
  <c r="B660" i="3"/>
  <c r="C660" i="3"/>
  <c r="D660" i="3"/>
  <c r="E660" i="3"/>
  <c r="B661" i="3"/>
  <c r="C661" i="3"/>
  <c r="D661" i="3"/>
  <c r="E661" i="3"/>
  <c r="B662" i="3"/>
  <c r="C662" i="3"/>
  <c r="D662" i="3"/>
  <c r="E662" i="3"/>
  <c r="B663" i="3"/>
  <c r="C663" i="3"/>
  <c r="D663" i="3"/>
  <c r="E663" i="3"/>
  <c r="B664" i="3"/>
  <c r="C664" i="3"/>
  <c r="D664" i="3"/>
  <c r="E664" i="3"/>
  <c r="B665" i="3"/>
  <c r="C665" i="3"/>
  <c r="D665" i="3"/>
  <c r="E665" i="3"/>
  <c r="B666" i="3"/>
  <c r="C666" i="3"/>
  <c r="D666" i="3"/>
  <c r="E666" i="3"/>
  <c r="B667" i="3"/>
  <c r="C667" i="3"/>
  <c r="D667" i="3"/>
  <c r="E667" i="3"/>
  <c r="B668" i="3"/>
  <c r="C668" i="3"/>
  <c r="D668" i="3"/>
  <c r="E668" i="3"/>
  <c r="B669" i="3"/>
  <c r="C669" i="3"/>
  <c r="D669" i="3"/>
  <c r="E669" i="3"/>
  <c r="B670" i="3"/>
  <c r="C670" i="3"/>
  <c r="D670" i="3"/>
  <c r="E670" i="3"/>
  <c r="B671" i="3"/>
  <c r="C671" i="3"/>
  <c r="D671" i="3"/>
  <c r="E671" i="3"/>
  <c r="B672" i="3"/>
  <c r="C672" i="3"/>
  <c r="D672" i="3"/>
  <c r="E672" i="3"/>
  <c r="B673" i="3"/>
  <c r="C673" i="3"/>
  <c r="D673" i="3"/>
  <c r="E673" i="3"/>
  <c r="B674" i="3"/>
  <c r="C674" i="3"/>
  <c r="D674" i="3"/>
  <c r="E674" i="3"/>
  <c r="B675" i="3"/>
  <c r="C675" i="3"/>
  <c r="D675" i="3"/>
  <c r="E675" i="3"/>
  <c r="B676" i="3"/>
  <c r="C676" i="3"/>
  <c r="D676" i="3"/>
  <c r="E676" i="3"/>
  <c r="B677" i="3"/>
  <c r="C677" i="3"/>
  <c r="D677" i="3"/>
  <c r="E677" i="3"/>
  <c r="B678" i="3"/>
  <c r="C678" i="3"/>
  <c r="D678" i="3"/>
  <c r="E678" i="3"/>
  <c r="B679" i="3"/>
  <c r="C679" i="3"/>
  <c r="D679" i="3"/>
  <c r="E679" i="3"/>
  <c r="B680" i="3"/>
  <c r="C680" i="3"/>
  <c r="D680" i="3"/>
  <c r="E680" i="3"/>
  <c r="B681" i="3"/>
  <c r="C681" i="3"/>
  <c r="D681" i="3"/>
  <c r="E681" i="3"/>
  <c r="B682" i="3"/>
  <c r="C682" i="3"/>
  <c r="D682" i="3"/>
  <c r="E682" i="3"/>
  <c r="B683" i="3"/>
  <c r="C683" i="3"/>
  <c r="D683" i="3"/>
  <c r="E683" i="3"/>
  <c r="B684" i="3"/>
  <c r="C684" i="3"/>
  <c r="D684" i="3"/>
  <c r="E684" i="3"/>
  <c r="B685" i="3"/>
  <c r="C685" i="3"/>
  <c r="D685" i="3"/>
  <c r="E685" i="3"/>
  <c r="B686" i="3"/>
  <c r="C686" i="3"/>
  <c r="D686" i="3"/>
  <c r="E686" i="3"/>
  <c r="B687" i="3"/>
  <c r="C687" i="3"/>
  <c r="D687" i="3"/>
  <c r="E687" i="3"/>
  <c r="B688" i="3"/>
  <c r="C688" i="3"/>
  <c r="D688" i="3"/>
  <c r="E688" i="3"/>
  <c r="B689" i="3"/>
  <c r="C689" i="3"/>
  <c r="D689" i="3"/>
  <c r="E689" i="3"/>
  <c r="B690" i="3"/>
  <c r="C690" i="3"/>
  <c r="D690" i="3"/>
  <c r="E690" i="3"/>
  <c r="B691" i="3"/>
  <c r="C691" i="3"/>
  <c r="D691" i="3"/>
  <c r="E691" i="3"/>
  <c r="B692" i="3"/>
  <c r="C692" i="3"/>
  <c r="D692" i="3"/>
  <c r="E692" i="3"/>
  <c r="B693" i="3"/>
  <c r="C693" i="3"/>
  <c r="D693" i="3"/>
  <c r="E693" i="3"/>
  <c r="B694" i="3"/>
  <c r="C694" i="3"/>
  <c r="D694" i="3"/>
  <c r="E694" i="3"/>
  <c r="B695" i="3"/>
  <c r="C695" i="3"/>
  <c r="D695" i="3"/>
  <c r="E695" i="3"/>
  <c r="B696" i="3"/>
  <c r="C696" i="3"/>
  <c r="D696" i="3"/>
  <c r="E696" i="3"/>
  <c r="B697" i="3"/>
  <c r="C697" i="3"/>
  <c r="D697" i="3"/>
  <c r="E697" i="3"/>
  <c r="B698" i="3"/>
  <c r="C698" i="3"/>
  <c r="D698" i="3"/>
  <c r="E698" i="3"/>
  <c r="B699" i="3"/>
  <c r="C699" i="3"/>
  <c r="D699" i="3"/>
  <c r="E699" i="3"/>
  <c r="B700" i="3"/>
  <c r="C700" i="3"/>
  <c r="D700" i="3"/>
  <c r="E700" i="3"/>
  <c r="B701" i="3"/>
  <c r="C701" i="3"/>
  <c r="D701" i="3"/>
  <c r="E701" i="3"/>
  <c r="B702" i="3"/>
  <c r="C702" i="3"/>
  <c r="D702" i="3"/>
  <c r="E702" i="3"/>
  <c r="B703" i="3"/>
  <c r="C703" i="3"/>
  <c r="D703" i="3"/>
  <c r="E703" i="3"/>
  <c r="B704" i="3"/>
  <c r="C704" i="3"/>
  <c r="D704" i="3"/>
  <c r="E704" i="3"/>
  <c r="B705" i="3"/>
  <c r="C705" i="3"/>
  <c r="D705" i="3"/>
  <c r="E705" i="3"/>
  <c r="B706" i="3"/>
  <c r="C706" i="3"/>
  <c r="D706" i="3"/>
  <c r="E706" i="3"/>
  <c r="B707" i="3"/>
  <c r="C707" i="3"/>
  <c r="D707" i="3"/>
  <c r="E707" i="3"/>
  <c r="B708" i="3"/>
  <c r="C708" i="3"/>
  <c r="D708" i="3"/>
  <c r="E708" i="3"/>
  <c r="B709" i="3"/>
  <c r="C709" i="3"/>
  <c r="D709" i="3"/>
  <c r="E709" i="3"/>
  <c r="B710" i="3"/>
  <c r="C710" i="3"/>
  <c r="D710" i="3"/>
  <c r="E710" i="3"/>
  <c r="B711" i="3"/>
  <c r="C711" i="3"/>
  <c r="D711" i="3"/>
  <c r="E711" i="3"/>
  <c r="B712" i="3"/>
  <c r="C712" i="3"/>
  <c r="D712" i="3"/>
  <c r="E712" i="3"/>
  <c r="B713" i="3"/>
  <c r="C713" i="3"/>
  <c r="D713" i="3"/>
  <c r="E713" i="3"/>
  <c r="B714" i="3"/>
  <c r="C714" i="3"/>
  <c r="D714" i="3"/>
  <c r="E714" i="3"/>
  <c r="B715" i="3"/>
  <c r="C715" i="3"/>
  <c r="D715" i="3"/>
  <c r="E715" i="3"/>
  <c r="B716" i="3"/>
  <c r="C716" i="3"/>
  <c r="D716" i="3"/>
  <c r="E716" i="3"/>
  <c r="B717" i="3"/>
  <c r="C717" i="3"/>
  <c r="D717" i="3"/>
  <c r="E717" i="3"/>
  <c r="B718" i="3"/>
  <c r="C718" i="3"/>
  <c r="D718" i="3"/>
  <c r="E718" i="3"/>
  <c r="B719" i="3"/>
  <c r="C719" i="3"/>
  <c r="D719" i="3"/>
  <c r="E719" i="3"/>
  <c r="B720" i="3"/>
  <c r="C720" i="3"/>
  <c r="D720" i="3"/>
  <c r="E720" i="3"/>
  <c r="B721" i="3"/>
  <c r="C721" i="3"/>
  <c r="D721" i="3"/>
  <c r="E721" i="3"/>
  <c r="B722" i="3"/>
  <c r="C722" i="3"/>
  <c r="D722" i="3"/>
  <c r="E722" i="3"/>
  <c r="B723" i="3"/>
  <c r="C723" i="3"/>
  <c r="D723" i="3"/>
  <c r="E723" i="3"/>
  <c r="B724" i="3"/>
  <c r="C724" i="3"/>
  <c r="D724" i="3"/>
  <c r="E724" i="3"/>
  <c r="B725" i="3"/>
  <c r="C725" i="3"/>
  <c r="D725" i="3"/>
  <c r="E725" i="3"/>
  <c r="B726" i="3"/>
  <c r="C726" i="3"/>
  <c r="D726" i="3"/>
  <c r="E726" i="3"/>
  <c r="B727" i="3"/>
  <c r="C727" i="3"/>
  <c r="D727" i="3"/>
  <c r="E727" i="3"/>
  <c r="B728" i="3"/>
  <c r="C728" i="3"/>
  <c r="D728" i="3"/>
  <c r="E728" i="3"/>
  <c r="B729" i="3"/>
  <c r="C729" i="3"/>
  <c r="D729" i="3"/>
  <c r="E729" i="3"/>
  <c r="B730" i="3"/>
  <c r="C730" i="3"/>
  <c r="D730" i="3"/>
  <c r="E730" i="3"/>
  <c r="B731" i="3"/>
  <c r="C731" i="3"/>
  <c r="D731" i="3"/>
  <c r="E731" i="3"/>
  <c r="B732" i="3"/>
  <c r="C732" i="3"/>
  <c r="D732" i="3"/>
  <c r="E732" i="3"/>
  <c r="B733" i="3"/>
  <c r="C733" i="3"/>
  <c r="D733" i="3"/>
  <c r="E733" i="3"/>
  <c r="B734" i="3"/>
  <c r="C734" i="3"/>
  <c r="D734" i="3"/>
  <c r="E734" i="3"/>
  <c r="B735" i="3"/>
  <c r="C735" i="3"/>
  <c r="D735" i="3"/>
  <c r="E735" i="3"/>
  <c r="B736" i="3"/>
  <c r="C736" i="3"/>
  <c r="D736" i="3"/>
  <c r="E736" i="3"/>
  <c r="B737" i="3"/>
  <c r="C737" i="3"/>
  <c r="D737" i="3"/>
  <c r="E737" i="3"/>
  <c r="B738" i="3"/>
  <c r="C738" i="3"/>
  <c r="D738" i="3"/>
  <c r="E738" i="3"/>
  <c r="B739" i="3"/>
  <c r="C739" i="3"/>
  <c r="D739" i="3"/>
  <c r="E739" i="3"/>
  <c r="B740" i="3"/>
  <c r="C740" i="3"/>
  <c r="D740" i="3"/>
  <c r="E740" i="3"/>
  <c r="B741" i="3"/>
  <c r="C741" i="3"/>
  <c r="D741" i="3"/>
  <c r="E741" i="3"/>
  <c r="B742" i="3"/>
  <c r="C742" i="3"/>
  <c r="D742" i="3"/>
  <c r="E742" i="3"/>
  <c r="B743" i="3"/>
  <c r="C743" i="3"/>
  <c r="D743" i="3"/>
  <c r="E743" i="3"/>
  <c r="B744" i="3"/>
  <c r="C744" i="3"/>
  <c r="D744" i="3"/>
  <c r="E744" i="3"/>
  <c r="B745" i="3"/>
  <c r="C745" i="3"/>
  <c r="D745" i="3"/>
  <c r="E745" i="3"/>
  <c r="B746" i="3"/>
  <c r="C746" i="3"/>
  <c r="D746" i="3"/>
  <c r="E746" i="3"/>
  <c r="B747" i="3"/>
  <c r="C747" i="3"/>
  <c r="D747" i="3"/>
  <c r="E747" i="3"/>
  <c r="B748" i="3"/>
  <c r="C748" i="3"/>
  <c r="D748" i="3"/>
  <c r="E748" i="3"/>
  <c r="B749" i="3"/>
  <c r="C749" i="3"/>
  <c r="D749" i="3"/>
  <c r="E749" i="3"/>
  <c r="B750" i="3"/>
  <c r="C750" i="3"/>
  <c r="D750" i="3"/>
  <c r="E750" i="3"/>
  <c r="B751" i="3"/>
  <c r="C751" i="3"/>
  <c r="D751" i="3"/>
  <c r="E751" i="3"/>
  <c r="B752" i="3"/>
  <c r="C752" i="3"/>
  <c r="D752" i="3"/>
  <c r="E752" i="3"/>
  <c r="B753" i="3"/>
  <c r="C753" i="3"/>
  <c r="D753" i="3"/>
  <c r="E753" i="3"/>
  <c r="B754" i="3"/>
  <c r="C754" i="3"/>
  <c r="D754" i="3"/>
  <c r="E754" i="3"/>
  <c r="B755" i="3"/>
  <c r="C755" i="3"/>
  <c r="D755" i="3"/>
  <c r="E755" i="3"/>
  <c r="B756" i="3"/>
  <c r="C756" i="3"/>
  <c r="D756" i="3"/>
  <c r="E756" i="3"/>
  <c r="B757" i="3"/>
  <c r="C757" i="3"/>
  <c r="D757" i="3"/>
  <c r="E757" i="3"/>
  <c r="B758" i="3"/>
  <c r="C758" i="3"/>
  <c r="D758" i="3"/>
  <c r="E758" i="3"/>
  <c r="B759" i="3"/>
  <c r="C759" i="3"/>
  <c r="D759" i="3"/>
  <c r="E759" i="3"/>
  <c r="B760" i="3"/>
  <c r="C760" i="3"/>
  <c r="D760" i="3"/>
  <c r="E760" i="3"/>
  <c r="B761" i="3"/>
  <c r="C761" i="3"/>
  <c r="D761" i="3"/>
  <c r="E761" i="3"/>
  <c r="B762" i="3"/>
  <c r="C762" i="3"/>
  <c r="D762" i="3"/>
  <c r="E762" i="3"/>
  <c r="B763" i="3"/>
  <c r="C763" i="3"/>
  <c r="D763" i="3"/>
  <c r="E763" i="3"/>
  <c r="B764" i="3"/>
  <c r="C764" i="3"/>
  <c r="D764" i="3"/>
  <c r="E764" i="3"/>
  <c r="B765" i="3"/>
  <c r="C765" i="3"/>
  <c r="D765" i="3"/>
  <c r="E765" i="3"/>
  <c r="B766" i="3"/>
  <c r="C766" i="3"/>
  <c r="D766" i="3"/>
  <c r="E766" i="3"/>
  <c r="B767" i="3"/>
  <c r="C767" i="3"/>
  <c r="D767" i="3"/>
  <c r="E767" i="3"/>
  <c r="B768" i="3"/>
  <c r="C768" i="3"/>
  <c r="D768" i="3"/>
  <c r="E768" i="3"/>
  <c r="B769" i="3"/>
  <c r="C769" i="3"/>
  <c r="D769" i="3"/>
  <c r="E769" i="3"/>
  <c r="B770" i="3"/>
  <c r="C770" i="3"/>
  <c r="D770" i="3"/>
  <c r="E770" i="3"/>
  <c r="B771" i="3"/>
  <c r="C771" i="3"/>
  <c r="D771" i="3"/>
  <c r="E771" i="3"/>
  <c r="B772" i="3"/>
  <c r="C772" i="3"/>
  <c r="D772" i="3"/>
  <c r="E772" i="3"/>
  <c r="B773" i="3"/>
  <c r="C773" i="3"/>
  <c r="D773" i="3"/>
  <c r="E773" i="3"/>
  <c r="B774" i="3"/>
  <c r="C774" i="3"/>
  <c r="D774" i="3"/>
  <c r="E774" i="3"/>
  <c r="B775" i="3"/>
  <c r="C775" i="3"/>
  <c r="D775" i="3"/>
  <c r="E775" i="3"/>
  <c r="B776" i="3"/>
  <c r="C776" i="3"/>
  <c r="D776" i="3"/>
  <c r="E776" i="3"/>
  <c r="B777" i="3"/>
  <c r="C777" i="3"/>
  <c r="D777" i="3"/>
  <c r="E777" i="3"/>
  <c r="B778" i="3"/>
  <c r="C778" i="3"/>
  <c r="D778" i="3"/>
  <c r="E778" i="3"/>
  <c r="B779" i="3"/>
  <c r="C779" i="3"/>
  <c r="D779" i="3"/>
  <c r="E779" i="3"/>
  <c r="B780" i="3"/>
  <c r="C780" i="3"/>
  <c r="D780" i="3"/>
  <c r="E780" i="3"/>
  <c r="B781" i="3"/>
  <c r="C781" i="3"/>
  <c r="D781" i="3"/>
  <c r="E781" i="3"/>
  <c r="B782" i="3"/>
  <c r="C782" i="3"/>
  <c r="D782" i="3"/>
  <c r="E782" i="3"/>
  <c r="B783" i="3"/>
  <c r="C783" i="3"/>
  <c r="D783" i="3"/>
  <c r="E783" i="3"/>
  <c r="B784" i="3"/>
  <c r="C784" i="3"/>
  <c r="D784" i="3"/>
  <c r="E784" i="3"/>
  <c r="B785" i="3"/>
  <c r="C785" i="3"/>
  <c r="D785" i="3"/>
  <c r="E785" i="3"/>
  <c r="B786" i="3"/>
  <c r="C786" i="3"/>
  <c r="D786" i="3"/>
  <c r="E786" i="3"/>
  <c r="B787" i="3"/>
  <c r="C787" i="3"/>
  <c r="D787" i="3"/>
  <c r="E787" i="3"/>
  <c r="B788" i="3"/>
  <c r="C788" i="3"/>
  <c r="D788" i="3"/>
  <c r="E788" i="3"/>
  <c r="B789" i="3"/>
  <c r="C789" i="3"/>
  <c r="D789" i="3"/>
  <c r="E789" i="3"/>
  <c r="B790" i="3"/>
  <c r="C790" i="3"/>
  <c r="D790" i="3"/>
  <c r="E790" i="3"/>
  <c r="B791" i="3"/>
  <c r="C791" i="3"/>
  <c r="D791" i="3"/>
  <c r="E791" i="3"/>
  <c r="B792" i="3"/>
  <c r="C792" i="3"/>
  <c r="D792" i="3"/>
  <c r="E792" i="3"/>
  <c r="B793" i="3"/>
  <c r="C793" i="3"/>
  <c r="D793" i="3"/>
  <c r="E793" i="3"/>
  <c r="B794" i="3"/>
  <c r="C794" i="3"/>
  <c r="D794" i="3"/>
  <c r="E794" i="3"/>
  <c r="B795" i="3"/>
  <c r="C795" i="3"/>
  <c r="D795" i="3"/>
  <c r="E795" i="3"/>
  <c r="B796" i="3"/>
  <c r="C796" i="3"/>
  <c r="D796" i="3"/>
  <c r="E796" i="3"/>
  <c r="B797" i="3"/>
  <c r="C797" i="3"/>
  <c r="D797" i="3"/>
  <c r="E797" i="3"/>
  <c r="B798" i="3"/>
  <c r="C798" i="3"/>
  <c r="D798" i="3"/>
  <c r="E798" i="3"/>
  <c r="B799" i="3"/>
  <c r="C799" i="3"/>
  <c r="D799" i="3"/>
  <c r="E799" i="3"/>
  <c r="B800" i="3"/>
  <c r="C800" i="3"/>
  <c r="D800" i="3"/>
  <c r="E800" i="3"/>
  <c r="B801" i="3"/>
  <c r="C801" i="3"/>
  <c r="D801" i="3"/>
  <c r="E801" i="3"/>
  <c r="B802" i="3"/>
  <c r="C802" i="3"/>
  <c r="D802" i="3"/>
  <c r="E802" i="3"/>
  <c r="B803" i="3"/>
  <c r="C803" i="3"/>
  <c r="D803" i="3"/>
  <c r="E803" i="3"/>
  <c r="B804" i="3"/>
  <c r="C804" i="3"/>
  <c r="D804" i="3"/>
  <c r="E804" i="3"/>
  <c r="B805" i="3"/>
  <c r="C805" i="3"/>
  <c r="D805" i="3"/>
  <c r="E805" i="3"/>
  <c r="B806" i="3"/>
  <c r="C806" i="3"/>
  <c r="D806" i="3"/>
  <c r="E806" i="3"/>
  <c r="B807" i="3"/>
  <c r="C807" i="3"/>
  <c r="D807" i="3"/>
  <c r="E807" i="3"/>
  <c r="B808" i="3"/>
  <c r="C808" i="3"/>
  <c r="D808" i="3"/>
  <c r="E808" i="3"/>
  <c r="B809" i="3"/>
  <c r="C809" i="3"/>
  <c r="D809" i="3"/>
  <c r="E809" i="3"/>
  <c r="B810" i="3"/>
  <c r="C810" i="3"/>
  <c r="D810" i="3"/>
  <c r="E810" i="3"/>
  <c r="B811" i="3"/>
  <c r="C811" i="3"/>
  <c r="D811" i="3"/>
  <c r="E811" i="3"/>
  <c r="B812" i="3"/>
  <c r="C812" i="3"/>
  <c r="D812" i="3"/>
  <c r="E812" i="3"/>
  <c r="B813" i="3"/>
  <c r="C813" i="3"/>
  <c r="D813" i="3"/>
  <c r="E813" i="3"/>
  <c r="B814" i="3"/>
  <c r="C814" i="3"/>
  <c r="D814" i="3"/>
  <c r="E814" i="3"/>
  <c r="B815" i="3"/>
  <c r="C815" i="3"/>
  <c r="D815" i="3"/>
  <c r="E815" i="3"/>
  <c r="B816" i="3"/>
  <c r="C816" i="3"/>
  <c r="D816" i="3"/>
  <c r="E816" i="3"/>
  <c r="B817" i="3"/>
  <c r="C817" i="3"/>
  <c r="D817" i="3"/>
  <c r="E817" i="3"/>
  <c r="B818" i="3"/>
  <c r="C818" i="3"/>
  <c r="D818" i="3"/>
  <c r="E818" i="3"/>
  <c r="B819" i="3"/>
  <c r="C819" i="3"/>
  <c r="D819" i="3"/>
  <c r="E819" i="3"/>
  <c r="B820" i="3"/>
  <c r="C820" i="3"/>
  <c r="D820" i="3"/>
  <c r="E820" i="3"/>
  <c r="B821" i="3"/>
  <c r="C821" i="3"/>
  <c r="D821" i="3"/>
  <c r="E821" i="3"/>
  <c r="B822" i="3"/>
  <c r="C822" i="3"/>
  <c r="D822" i="3"/>
  <c r="E822" i="3"/>
  <c r="B823" i="3"/>
  <c r="C823" i="3"/>
  <c r="D823" i="3"/>
  <c r="E823" i="3"/>
  <c r="B824" i="3"/>
  <c r="C824" i="3"/>
  <c r="D824" i="3"/>
  <c r="E824" i="3"/>
  <c r="B825" i="3"/>
  <c r="C825" i="3"/>
  <c r="D825" i="3"/>
  <c r="E825" i="3"/>
  <c r="B826" i="3"/>
  <c r="C826" i="3"/>
  <c r="D826" i="3"/>
  <c r="E826" i="3"/>
  <c r="B827" i="3"/>
  <c r="C827" i="3"/>
  <c r="D827" i="3"/>
  <c r="E827" i="3"/>
  <c r="B828" i="3"/>
  <c r="C828" i="3"/>
  <c r="D828" i="3"/>
  <c r="E828" i="3"/>
  <c r="B829" i="3"/>
  <c r="C829" i="3"/>
  <c r="D829" i="3"/>
  <c r="E829" i="3"/>
  <c r="B830" i="3"/>
  <c r="C830" i="3"/>
  <c r="D830" i="3"/>
  <c r="E830" i="3"/>
  <c r="B831" i="3"/>
  <c r="C831" i="3"/>
  <c r="D831" i="3"/>
  <c r="E831" i="3"/>
  <c r="B832" i="3"/>
  <c r="C832" i="3"/>
  <c r="D832" i="3"/>
  <c r="E832" i="3"/>
  <c r="B833" i="3"/>
  <c r="C833" i="3"/>
  <c r="D833" i="3"/>
  <c r="E833" i="3"/>
  <c r="B834" i="3"/>
  <c r="C834" i="3"/>
  <c r="D834" i="3"/>
  <c r="E834" i="3"/>
  <c r="B835" i="3"/>
  <c r="C835" i="3"/>
  <c r="D835" i="3"/>
  <c r="E835" i="3"/>
  <c r="B836" i="3"/>
  <c r="C836" i="3"/>
  <c r="D836" i="3"/>
  <c r="E836" i="3"/>
  <c r="B837" i="3"/>
  <c r="C837" i="3"/>
  <c r="D837" i="3"/>
  <c r="E837" i="3"/>
  <c r="B838" i="3"/>
  <c r="C838" i="3"/>
  <c r="D838" i="3"/>
  <c r="E838" i="3"/>
  <c r="B839" i="3"/>
  <c r="C839" i="3"/>
  <c r="D839" i="3"/>
  <c r="E839" i="3"/>
  <c r="B840" i="3"/>
  <c r="C840" i="3"/>
  <c r="D840" i="3"/>
  <c r="E840" i="3"/>
  <c r="B841" i="3"/>
  <c r="C841" i="3"/>
  <c r="D841" i="3"/>
  <c r="E841" i="3"/>
  <c r="B842" i="3"/>
  <c r="C842" i="3"/>
  <c r="D842" i="3"/>
  <c r="E842" i="3"/>
  <c r="B843" i="3"/>
  <c r="C843" i="3"/>
  <c r="D843" i="3"/>
  <c r="E843" i="3"/>
  <c r="B844" i="3"/>
  <c r="C844" i="3"/>
  <c r="D844" i="3"/>
  <c r="E844" i="3"/>
  <c r="B845" i="3"/>
  <c r="C845" i="3"/>
  <c r="D845" i="3"/>
  <c r="E845" i="3"/>
  <c r="B846" i="3"/>
  <c r="C846" i="3"/>
  <c r="D846" i="3"/>
  <c r="E846" i="3"/>
  <c r="B847" i="3"/>
  <c r="C847" i="3"/>
  <c r="D847" i="3"/>
  <c r="E847" i="3"/>
  <c r="B848" i="3"/>
  <c r="C848" i="3"/>
  <c r="D848" i="3"/>
  <c r="E848" i="3"/>
  <c r="B849" i="3"/>
  <c r="C849" i="3"/>
  <c r="D849" i="3"/>
  <c r="E849" i="3"/>
  <c r="B850" i="3"/>
  <c r="C850" i="3"/>
  <c r="D850" i="3"/>
  <c r="E850" i="3"/>
  <c r="B851" i="3"/>
  <c r="C851" i="3"/>
  <c r="D851" i="3"/>
  <c r="E851" i="3"/>
  <c r="B852" i="3"/>
  <c r="C852" i="3"/>
  <c r="D852" i="3"/>
  <c r="E852" i="3"/>
  <c r="B853" i="3"/>
  <c r="C853" i="3"/>
  <c r="D853" i="3"/>
  <c r="E853" i="3"/>
  <c r="B854" i="3"/>
  <c r="C854" i="3"/>
  <c r="D854" i="3"/>
  <c r="E854" i="3"/>
  <c r="B855" i="3"/>
  <c r="C855" i="3"/>
  <c r="D855" i="3"/>
  <c r="E855" i="3"/>
  <c r="B856" i="3"/>
  <c r="C856" i="3"/>
  <c r="D856" i="3"/>
  <c r="E856" i="3"/>
  <c r="B857" i="3"/>
  <c r="C857" i="3"/>
  <c r="D857" i="3"/>
  <c r="E857" i="3"/>
  <c r="B858" i="3"/>
  <c r="C858" i="3"/>
  <c r="D858" i="3"/>
  <c r="E858" i="3"/>
  <c r="B859" i="3"/>
  <c r="C859" i="3"/>
  <c r="D859" i="3"/>
  <c r="E859" i="3"/>
  <c r="B860" i="3"/>
  <c r="C860" i="3"/>
  <c r="D860" i="3"/>
  <c r="E860" i="3"/>
  <c r="B861" i="3"/>
  <c r="C861" i="3"/>
  <c r="D861" i="3"/>
  <c r="E861" i="3"/>
  <c r="B862" i="3"/>
  <c r="C862" i="3"/>
  <c r="D862" i="3"/>
  <c r="E862" i="3"/>
  <c r="B863" i="3"/>
  <c r="C863" i="3"/>
  <c r="D863" i="3"/>
  <c r="E863" i="3"/>
  <c r="B864" i="3"/>
  <c r="C864" i="3"/>
  <c r="D864" i="3"/>
  <c r="E864" i="3"/>
  <c r="B865" i="3"/>
  <c r="C865" i="3"/>
  <c r="D865" i="3"/>
  <c r="E865" i="3"/>
  <c r="B866" i="3"/>
  <c r="C866" i="3"/>
  <c r="D866" i="3"/>
  <c r="E866" i="3"/>
  <c r="B867" i="3"/>
  <c r="C867" i="3"/>
  <c r="D867" i="3"/>
  <c r="E867" i="3"/>
  <c r="B868" i="3"/>
  <c r="C868" i="3"/>
  <c r="D868" i="3"/>
  <c r="E868" i="3"/>
  <c r="B869" i="3"/>
  <c r="C869" i="3"/>
  <c r="D869" i="3"/>
  <c r="E869" i="3"/>
  <c r="B870" i="3"/>
  <c r="C870" i="3"/>
  <c r="D870" i="3"/>
  <c r="E870" i="3"/>
  <c r="B871" i="3"/>
  <c r="C871" i="3"/>
  <c r="D871" i="3"/>
  <c r="E871" i="3"/>
  <c r="B872" i="3"/>
  <c r="C872" i="3"/>
  <c r="D872" i="3"/>
  <c r="E872" i="3"/>
  <c r="B873" i="3"/>
  <c r="C873" i="3"/>
  <c r="D873" i="3"/>
  <c r="E873" i="3"/>
  <c r="B874" i="3"/>
  <c r="C874" i="3"/>
  <c r="D874" i="3"/>
  <c r="E874" i="3"/>
  <c r="B875" i="3"/>
  <c r="C875" i="3"/>
  <c r="D875" i="3"/>
  <c r="E875" i="3"/>
  <c r="B876" i="3"/>
  <c r="C876" i="3"/>
  <c r="D876" i="3"/>
  <c r="E876" i="3"/>
  <c r="B877" i="3"/>
  <c r="C877" i="3"/>
  <c r="D877" i="3"/>
  <c r="E877" i="3"/>
  <c r="B878" i="3"/>
  <c r="C878" i="3"/>
  <c r="D878" i="3"/>
  <c r="E878" i="3"/>
  <c r="B879" i="3"/>
  <c r="C879" i="3"/>
  <c r="D879" i="3"/>
  <c r="E879" i="3"/>
  <c r="B880" i="3"/>
  <c r="C880" i="3"/>
  <c r="D880" i="3"/>
  <c r="E880" i="3"/>
  <c r="B881" i="3"/>
  <c r="C881" i="3"/>
  <c r="D881" i="3"/>
  <c r="E881" i="3"/>
  <c r="B882" i="3"/>
  <c r="C882" i="3"/>
  <c r="D882" i="3"/>
  <c r="E882" i="3"/>
  <c r="B883" i="3"/>
  <c r="C883" i="3"/>
  <c r="D883" i="3"/>
  <c r="E883" i="3"/>
  <c r="B884" i="3"/>
  <c r="C884" i="3"/>
  <c r="D884" i="3"/>
  <c r="E884" i="3"/>
  <c r="B885" i="3"/>
  <c r="C885" i="3"/>
  <c r="D885" i="3"/>
  <c r="E885" i="3"/>
  <c r="B886" i="3"/>
  <c r="C886" i="3"/>
  <c r="D886" i="3"/>
  <c r="E886" i="3"/>
  <c r="B887" i="3"/>
  <c r="C887" i="3"/>
  <c r="D887" i="3"/>
  <c r="E887" i="3"/>
  <c r="B888" i="3"/>
  <c r="C888" i="3"/>
  <c r="D888" i="3"/>
  <c r="E888" i="3"/>
  <c r="B889" i="3"/>
  <c r="C889" i="3"/>
  <c r="D889" i="3"/>
  <c r="E889" i="3"/>
  <c r="B890" i="3"/>
  <c r="C890" i="3"/>
  <c r="D890" i="3"/>
  <c r="E890" i="3"/>
  <c r="B891" i="3"/>
  <c r="C891" i="3"/>
  <c r="D891" i="3"/>
  <c r="E891" i="3"/>
  <c r="B892" i="3"/>
  <c r="C892" i="3"/>
  <c r="D892" i="3"/>
  <c r="E892" i="3"/>
  <c r="B893" i="3"/>
  <c r="C893" i="3"/>
  <c r="D893" i="3"/>
  <c r="E893" i="3"/>
  <c r="B894" i="3"/>
  <c r="C894" i="3"/>
  <c r="D894" i="3"/>
  <c r="E894" i="3"/>
  <c r="B895" i="3"/>
  <c r="C895" i="3"/>
  <c r="D895" i="3"/>
  <c r="E895" i="3"/>
  <c r="B896" i="3"/>
  <c r="C896" i="3"/>
  <c r="D896" i="3"/>
  <c r="E896" i="3"/>
  <c r="B897" i="3"/>
  <c r="C897" i="3"/>
  <c r="D897" i="3"/>
  <c r="E897" i="3"/>
  <c r="B898" i="3"/>
  <c r="C898" i="3"/>
  <c r="D898" i="3"/>
  <c r="E898" i="3"/>
  <c r="B899" i="3"/>
  <c r="C899" i="3"/>
  <c r="D899" i="3"/>
  <c r="E899" i="3"/>
  <c r="B900" i="3"/>
  <c r="C900" i="3"/>
  <c r="D900" i="3"/>
  <c r="E900" i="3"/>
  <c r="B901" i="3"/>
  <c r="C901" i="3"/>
  <c r="D901" i="3"/>
  <c r="E901" i="3"/>
  <c r="B902" i="3"/>
  <c r="C902" i="3"/>
  <c r="D902" i="3"/>
  <c r="E902" i="3"/>
  <c r="B903" i="3"/>
  <c r="C903" i="3"/>
  <c r="D903" i="3"/>
  <c r="E903" i="3"/>
  <c r="B904" i="3"/>
  <c r="C904" i="3"/>
  <c r="D904" i="3"/>
  <c r="E904" i="3"/>
  <c r="B905" i="3"/>
  <c r="C905" i="3"/>
  <c r="D905" i="3"/>
  <c r="E905" i="3"/>
  <c r="B906" i="3"/>
  <c r="C906" i="3"/>
  <c r="D906" i="3"/>
  <c r="E906" i="3"/>
  <c r="B907" i="3"/>
  <c r="C907" i="3"/>
  <c r="D907" i="3"/>
  <c r="E907" i="3"/>
  <c r="B908" i="3"/>
  <c r="C908" i="3"/>
  <c r="D908" i="3"/>
  <c r="E908" i="3"/>
  <c r="B909" i="3"/>
  <c r="C909" i="3"/>
  <c r="D909" i="3"/>
  <c r="E909" i="3"/>
  <c r="B910" i="3"/>
  <c r="C910" i="3"/>
  <c r="D910" i="3"/>
  <c r="E910" i="3"/>
  <c r="B911" i="3"/>
  <c r="C911" i="3"/>
  <c r="D911" i="3"/>
  <c r="E911" i="3"/>
  <c r="B912" i="3"/>
  <c r="C912" i="3"/>
  <c r="D912" i="3"/>
  <c r="E912" i="3"/>
  <c r="B913" i="3"/>
  <c r="C913" i="3"/>
  <c r="D913" i="3"/>
  <c r="E913" i="3"/>
  <c r="B914" i="3"/>
  <c r="C914" i="3"/>
  <c r="D914" i="3"/>
  <c r="E914" i="3"/>
  <c r="B915" i="3"/>
  <c r="C915" i="3"/>
  <c r="D915" i="3"/>
  <c r="E915" i="3"/>
  <c r="B916" i="3"/>
  <c r="C916" i="3"/>
  <c r="D916" i="3"/>
  <c r="E916" i="3"/>
  <c r="B917" i="3"/>
  <c r="C917" i="3"/>
  <c r="D917" i="3"/>
  <c r="E917" i="3"/>
  <c r="B918" i="3"/>
  <c r="C918" i="3"/>
  <c r="D918" i="3"/>
  <c r="E918" i="3"/>
  <c r="B919" i="3"/>
  <c r="C919" i="3"/>
  <c r="D919" i="3"/>
  <c r="E919" i="3"/>
  <c r="B920" i="3"/>
  <c r="C920" i="3"/>
  <c r="D920" i="3"/>
  <c r="E920" i="3"/>
  <c r="B921" i="3"/>
  <c r="C921" i="3"/>
  <c r="D921" i="3"/>
  <c r="E921" i="3"/>
  <c r="B922" i="3"/>
  <c r="C922" i="3"/>
  <c r="D922" i="3"/>
  <c r="E922" i="3"/>
  <c r="B923" i="3"/>
  <c r="C923" i="3"/>
  <c r="D923" i="3"/>
  <c r="E923" i="3"/>
  <c r="B924" i="3"/>
  <c r="C924" i="3"/>
  <c r="D924" i="3"/>
  <c r="E924" i="3"/>
  <c r="B925" i="3"/>
  <c r="C925" i="3"/>
  <c r="D925" i="3"/>
  <c r="E925" i="3"/>
  <c r="B926" i="3"/>
  <c r="C926" i="3"/>
  <c r="D926" i="3"/>
  <c r="E926" i="3"/>
  <c r="B927" i="3"/>
  <c r="C927" i="3"/>
  <c r="D927" i="3"/>
  <c r="E927" i="3"/>
  <c r="B928" i="3"/>
  <c r="C928" i="3"/>
  <c r="D928" i="3"/>
  <c r="E928" i="3"/>
  <c r="B929" i="3"/>
  <c r="C929" i="3"/>
  <c r="D929" i="3"/>
  <c r="E929" i="3"/>
  <c r="B930" i="3"/>
  <c r="C930" i="3"/>
  <c r="D930" i="3"/>
  <c r="E930" i="3"/>
  <c r="B931" i="3"/>
  <c r="C931" i="3"/>
  <c r="D931" i="3"/>
  <c r="E931" i="3"/>
  <c r="B932" i="3"/>
  <c r="C932" i="3"/>
  <c r="D932" i="3"/>
  <c r="E932" i="3"/>
  <c r="B933" i="3"/>
  <c r="C933" i="3"/>
  <c r="D933" i="3"/>
  <c r="E933" i="3"/>
  <c r="B934" i="3"/>
  <c r="C934" i="3"/>
  <c r="D934" i="3"/>
  <c r="E934" i="3"/>
  <c r="B935" i="3"/>
  <c r="C935" i="3"/>
  <c r="D935" i="3"/>
  <c r="E935" i="3"/>
  <c r="B936" i="3"/>
  <c r="C936" i="3"/>
  <c r="D936" i="3"/>
  <c r="E936" i="3"/>
  <c r="B937" i="3"/>
  <c r="C937" i="3"/>
  <c r="D937" i="3"/>
  <c r="E937" i="3"/>
  <c r="B938" i="3"/>
  <c r="C938" i="3"/>
  <c r="D938" i="3"/>
  <c r="E938" i="3"/>
  <c r="B939" i="3"/>
  <c r="C939" i="3"/>
  <c r="D939" i="3"/>
  <c r="E939" i="3"/>
  <c r="B940" i="3"/>
  <c r="C940" i="3"/>
  <c r="D940" i="3"/>
  <c r="E940" i="3"/>
  <c r="B941" i="3"/>
  <c r="C941" i="3"/>
  <c r="D941" i="3"/>
  <c r="E941" i="3"/>
  <c r="B942" i="3"/>
  <c r="C942" i="3"/>
  <c r="D942" i="3"/>
  <c r="E942" i="3"/>
  <c r="B943" i="3"/>
  <c r="C943" i="3"/>
  <c r="D943" i="3"/>
  <c r="E943" i="3"/>
  <c r="B944" i="3"/>
  <c r="C944" i="3"/>
  <c r="D944" i="3"/>
  <c r="E944" i="3"/>
  <c r="B945" i="3"/>
  <c r="C945" i="3"/>
  <c r="D945" i="3"/>
  <c r="E945" i="3"/>
  <c r="B946" i="3"/>
  <c r="C946" i="3"/>
  <c r="D946" i="3"/>
  <c r="E946" i="3"/>
  <c r="B947" i="3"/>
  <c r="C947" i="3"/>
  <c r="D947" i="3"/>
  <c r="E947" i="3"/>
  <c r="B948" i="3"/>
  <c r="C948" i="3"/>
  <c r="D948" i="3"/>
  <c r="E948" i="3"/>
  <c r="B949" i="3"/>
  <c r="C949" i="3"/>
  <c r="D949" i="3"/>
  <c r="E949" i="3"/>
  <c r="B950" i="3"/>
  <c r="C950" i="3"/>
  <c r="D950" i="3"/>
  <c r="E950" i="3"/>
  <c r="B951" i="3"/>
  <c r="C951" i="3"/>
  <c r="D951" i="3"/>
  <c r="E951" i="3"/>
  <c r="B952" i="3"/>
  <c r="C952" i="3"/>
  <c r="D952" i="3"/>
  <c r="E952" i="3"/>
  <c r="B953" i="3"/>
  <c r="C953" i="3"/>
  <c r="D953" i="3"/>
  <c r="E953" i="3"/>
  <c r="B954" i="3"/>
  <c r="C954" i="3"/>
  <c r="D954" i="3"/>
  <c r="E954" i="3"/>
  <c r="B955" i="3"/>
  <c r="C955" i="3"/>
  <c r="D955" i="3"/>
  <c r="E955" i="3"/>
  <c r="B956" i="3"/>
  <c r="C956" i="3"/>
  <c r="D956" i="3"/>
  <c r="E956" i="3"/>
  <c r="B957" i="3"/>
  <c r="C957" i="3"/>
  <c r="D957" i="3"/>
  <c r="E957" i="3"/>
  <c r="B958" i="3"/>
  <c r="C958" i="3"/>
  <c r="D958" i="3"/>
  <c r="E958" i="3"/>
  <c r="B959" i="3"/>
  <c r="C959" i="3"/>
  <c r="D959" i="3"/>
  <c r="E959" i="3"/>
  <c r="B960" i="3"/>
  <c r="C960" i="3"/>
  <c r="D960" i="3"/>
  <c r="E960" i="3"/>
  <c r="B961" i="3"/>
  <c r="C961" i="3"/>
  <c r="D961" i="3"/>
  <c r="E961" i="3"/>
  <c r="B962" i="3"/>
  <c r="C962" i="3"/>
  <c r="D962" i="3"/>
  <c r="E962" i="3"/>
  <c r="B963" i="3"/>
  <c r="C963" i="3"/>
  <c r="D963" i="3"/>
  <c r="E963" i="3"/>
  <c r="B964" i="3"/>
  <c r="C964" i="3"/>
  <c r="D964" i="3"/>
  <c r="E964" i="3"/>
  <c r="B965" i="3"/>
  <c r="C965" i="3"/>
  <c r="D965" i="3"/>
  <c r="E965" i="3"/>
  <c r="B966" i="3"/>
  <c r="C966" i="3"/>
  <c r="D966" i="3"/>
  <c r="E966" i="3"/>
  <c r="B967" i="3"/>
  <c r="C967" i="3"/>
  <c r="D967" i="3"/>
  <c r="E967" i="3"/>
  <c r="B968" i="3"/>
  <c r="C968" i="3"/>
  <c r="D968" i="3"/>
  <c r="E968" i="3"/>
  <c r="B969" i="3"/>
  <c r="C969" i="3"/>
  <c r="D969" i="3"/>
  <c r="E969" i="3"/>
  <c r="B970" i="3"/>
  <c r="C970" i="3"/>
  <c r="D970" i="3"/>
  <c r="E970" i="3"/>
  <c r="B971" i="3"/>
  <c r="C971" i="3"/>
  <c r="D971" i="3"/>
  <c r="E971" i="3"/>
  <c r="B972" i="3"/>
  <c r="C972" i="3"/>
  <c r="D972" i="3"/>
  <c r="E972" i="3"/>
  <c r="B973" i="3"/>
  <c r="C973" i="3"/>
  <c r="D973" i="3"/>
  <c r="E973" i="3"/>
  <c r="B974" i="3"/>
  <c r="C974" i="3"/>
  <c r="D974" i="3"/>
  <c r="E974" i="3"/>
  <c r="B975" i="3"/>
  <c r="C975" i="3"/>
  <c r="D975" i="3"/>
  <c r="E975" i="3"/>
  <c r="B976" i="3"/>
  <c r="C976" i="3"/>
  <c r="D976" i="3"/>
  <c r="E976" i="3"/>
  <c r="B977" i="3"/>
  <c r="C977" i="3"/>
  <c r="D977" i="3"/>
  <c r="E977" i="3"/>
  <c r="B978" i="3"/>
  <c r="C978" i="3"/>
  <c r="D978" i="3"/>
  <c r="E978" i="3"/>
  <c r="B979" i="3"/>
  <c r="C979" i="3"/>
  <c r="D979" i="3"/>
  <c r="E979" i="3"/>
  <c r="B980" i="3"/>
  <c r="C980" i="3"/>
  <c r="D980" i="3"/>
  <c r="E980" i="3"/>
  <c r="B981" i="3"/>
  <c r="C981" i="3"/>
  <c r="D981" i="3"/>
  <c r="E981" i="3"/>
  <c r="B982" i="3"/>
  <c r="C982" i="3"/>
  <c r="D982" i="3"/>
  <c r="E982" i="3"/>
  <c r="B983" i="3"/>
  <c r="C983" i="3"/>
  <c r="D983" i="3"/>
  <c r="E983" i="3"/>
  <c r="B984" i="3"/>
  <c r="C984" i="3"/>
  <c r="D984" i="3"/>
  <c r="E984" i="3"/>
  <c r="B985" i="3"/>
  <c r="C985" i="3"/>
  <c r="D985" i="3"/>
  <c r="E985" i="3"/>
  <c r="B986" i="3"/>
  <c r="C986" i="3"/>
  <c r="D986" i="3"/>
  <c r="E986" i="3"/>
  <c r="B987" i="3"/>
  <c r="C987" i="3"/>
  <c r="D987" i="3"/>
  <c r="E987" i="3"/>
  <c r="B988" i="3"/>
  <c r="C988" i="3"/>
  <c r="D988" i="3"/>
  <c r="E988" i="3"/>
  <c r="B989" i="3"/>
  <c r="C989" i="3"/>
  <c r="D989" i="3"/>
  <c r="E989" i="3"/>
  <c r="B990" i="3"/>
  <c r="C990" i="3"/>
  <c r="D990" i="3"/>
  <c r="E990" i="3"/>
  <c r="B991" i="3"/>
  <c r="C991" i="3"/>
  <c r="D991" i="3"/>
  <c r="E991" i="3"/>
  <c r="B992" i="3"/>
  <c r="C992" i="3"/>
  <c r="D992" i="3"/>
  <c r="E992" i="3"/>
  <c r="B993" i="3"/>
  <c r="C993" i="3"/>
  <c r="D993" i="3"/>
  <c r="E993" i="3"/>
  <c r="B994" i="3"/>
  <c r="C994" i="3"/>
  <c r="D994" i="3"/>
  <c r="E994" i="3"/>
  <c r="B995" i="3"/>
  <c r="C995" i="3"/>
  <c r="D995" i="3"/>
  <c r="E995" i="3"/>
  <c r="B996" i="3"/>
  <c r="C996" i="3"/>
  <c r="D996" i="3"/>
  <c r="E996" i="3"/>
  <c r="B997" i="3"/>
  <c r="C997" i="3"/>
  <c r="D997" i="3"/>
  <c r="E997" i="3"/>
  <c r="B998" i="3"/>
  <c r="C998" i="3"/>
  <c r="D998" i="3"/>
  <c r="E998" i="3"/>
  <c r="B999" i="3"/>
  <c r="C999" i="3"/>
  <c r="D999" i="3"/>
  <c r="E999" i="3"/>
  <c r="B1000" i="3"/>
  <c r="C1000" i="3"/>
  <c r="D1000" i="3"/>
  <c r="E1000" i="3"/>
  <c r="B1001" i="3"/>
  <c r="C1001" i="3"/>
  <c r="D1001" i="3"/>
  <c r="E1001" i="3"/>
  <c r="B1002" i="3"/>
  <c r="C1002" i="3"/>
  <c r="D1002" i="3"/>
  <c r="E1002" i="3"/>
  <c r="B1003" i="3"/>
  <c r="C1003" i="3"/>
  <c r="D1003" i="3"/>
  <c r="E1003" i="3"/>
  <c r="B1004" i="3"/>
  <c r="C1004" i="3"/>
  <c r="D1004" i="3"/>
  <c r="E1004" i="3"/>
  <c r="B1005" i="3"/>
  <c r="C1005" i="3"/>
  <c r="D1005" i="3"/>
  <c r="E1005" i="3"/>
  <c r="B1006" i="3"/>
  <c r="C1006" i="3"/>
  <c r="D1006" i="3"/>
  <c r="E1006" i="3"/>
  <c r="B1007" i="3"/>
  <c r="C1007" i="3"/>
  <c r="D1007" i="3"/>
  <c r="E1007" i="3"/>
  <c r="B1008" i="3"/>
  <c r="C1008" i="3"/>
  <c r="D1008" i="3"/>
  <c r="E1008" i="3"/>
  <c r="B1009" i="3"/>
  <c r="C1009" i="3"/>
  <c r="D1009" i="3"/>
  <c r="E1009" i="3"/>
  <c r="B1010" i="3"/>
  <c r="C1010" i="3"/>
  <c r="D1010" i="3"/>
  <c r="E1010" i="3"/>
  <c r="B1011" i="3"/>
  <c r="C1011" i="3"/>
  <c r="D1011" i="3"/>
  <c r="E1011" i="3"/>
  <c r="B1012" i="3"/>
  <c r="C1012" i="3"/>
  <c r="D1012" i="3"/>
  <c r="E1012" i="3"/>
  <c r="B1013" i="3"/>
  <c r="C1013" i="3"/>
  <c r="D1013" i="3"/>
  <c r="E1013" i="3"/>
  <c r="B1014" i="3"/>
  <c r="C1014" i="3"/>
  <c r="D1014" i="3"/>
  <c r="E1014" i="3"/>
  <c r="B1015" i="3"/>
  <c r="C1015" i="3"/>
  <c r="D1015" i="3"/>
  <c r="E1015" i="3"/>
  <c r="B1016" i="3"/>
  <c r="C1016" i="3"/>
  <c r="D1016" i="3"/>
  <c r="E1016" i="3"/>
  <c r="B1017" i="3"/>
  <c r="C1017" i="3"/>
  <c r="D1017" i="3"/>
  <c r="E1017" i="3"/>
  <c r="B1018" i="3"/>
  <c r="C1018" i="3"/>
  <c r="D1018" i="3"/>
  <c r="E1018" i="3"/>
  <c r="B1019" i="3"/>
  <c r="C1019" i="3"/>
  <c r="D1019" i="3"/>
  <c r="E1019" i="3"/>
  <c r="B1020" i="3"/>
  <c r="C1020" i="3"/>
  <c r="D1020" i="3"/>
  <c r="E1020" i="3"/>
  <c r="B1021" i="3"/>
  <c r="C1021" i="3"/>
  <c r="D1021" i="3"/>
  <c r="E1021" i="3"/>
  <c r="B1022" i="3"/>
  <c r="C1022" i="3"/>
  <c r="D1022" i="3"/>
  <c r="E1022" i="3"/>
  <c r="B1023" i="3"/>
  <c r="C1023" i="3"/>
  <c r="D1023" i="3"/>
  <c r="E1023" i="3"/>
  <c r="B1024" i="3"/>
  <c r="C1024" i="3"/>
  <c r="D1024" i="3"/>
  <c r="E1024" i="3"/>
  <c r="B1025" i="3"/>
  <c r="C1025" i="3"/>
  <c r="D1025" i="3"/>
  <c r="E1025" i="3"/>
  <c r="B1026" i="3"/>
  <c r="C1026" i="3"/>
  <c r="D1026" i="3"/>
  <c r="E1026" i="3"/>
  <c r="B1027" i="3"/>
  <c r="C1027" i="3"/>
  <c r="D1027" i="3"/>
  <c r="E1027" i="3"/>
  <c r="B1028" i="3"/>
  <c r="C1028" i="3"/>
  <c r="D1028" i="3"/>
  <c r="E1028" i="3"/>
  <c r="B1029" i="3"/>
  <c r="C1029" i="3"/>
  <c r="D1029" i="3"/>
  <c r="E1029" i="3"/>
  <c r="B1030" i="3"/>
  <c r="C1030" i="3"/>
  <c r="D1030" i="3"/>
  <c r="E1030" i="3"/>
  <c r="B1031" i="3"/>
  <c r="C1031" i="3"/>
  <c r="D1031" i="3"/>
  <c r="E1031" i="3"/>
  <c r="B1032" i="3"/>
  <c r="C1032" i="3"/>
  <c r="D1032" i="3"/>
  <c r="E1032" i="3"/>
  <c r="B1033" i="3"/>
  <c r="C1033" i="3"/>
  <c r="D1033" i="3"/>
  <c r="E1033" i="3"/>
  <c r="B1034" i="3"/>
  <c r="C1034" i="3"/>
  <c r="D1034" i="3"/>
  <c r="E1034" i="3"/>
  <c r="B1035" i="3"/>
  <c r="C1035" i="3"/>
  <c r="D1035" i="3"/>
  <c r="E1035" i="3"/>
  <c r="B1036" i="3"/>
  <c r="C1036" i="3"/>
  <c r="D1036" i="3"/>
  <c r="E1036" i="3"/>
  <c r="B1037" i="3"/>
  <c r="C1037" i="3"/>
  <c r="D1037" i="3"/>
  <c r="E1037" i="3"/>
  <c r="B1038" i="3"/>
  <c r="C1038" i="3"/>
  <c r="D1038" i="3"/>
  <c r="E1038" i="3"/>
  <c r="B1039" i="3"/>
  <c r="C1039" i="3"/>
  <c r="D1039" i="3"/>
  <c r="E1039" i="3"/>
  <c r="B1040" i="3"/>
  <c r="C1040" i="3"/>
  <c r="D1040" i="3"/>
  <c r="E1040" i="3"/>
  <c r="B1041" i="3"/>
  <c r="C1041" i="3"/>
  <c r="D1041" i="3"/>
  <c r="E1041" i="3"/>
  <c r="B1042" i="3"/>
  <c r="C1042" i="3"/>
  <c r="D1042" i="3"/>
  <c r="E1042" i="3"/>
  <c r="B1043" i="3"/>
  <c r="C1043" i="3"/>
  <c r="D1043" i="3"/>
  <c r="E1043" i="3"/>
  <c r="B1044" i="3"/>
  <c r="C1044" i="3"/>
  <c r="D1044" i="3"/>
  <c r="E1044" i="3"/>
  <c r="B1045" i="3"/>
  <c r="C1045" i="3"/>
  <c r="D1045" i="3"/>
  <c r="E1045" i="3"/>
  <c r="B1046" i="3"/>
  <c r="C1046" i="3"/>
  <c r="D1046" i="3"/>
  <c r="E1046" i="3"/>
  <c r="B1047" i="3"/>
  <c r="C1047" i="3"/>
  <c r="D1047" i="3"/>
  <c r="E1047" i="3"/>
  <c r="B1048" i="3"/>
  <c r="C1048" i="3"/>
  <c r="D1048" i="3"/>
  <c r="E1048" i="3"/>
  <c r="B1050" i="3"/>
  <c r="C1050" i="3"/>
  <c r="D1050" i="3"/>
  <c r="E1050" i="3"/>
  <c r="B1051" i="3"/>
  <c r="D1051" i="3"/>
  <c r="E1051" i="3"/>
  <c r="C1052" i="3"/>
  <c r="D1052" i="3"/>
  <c r="E1052" i="3"/>
  <c r="B1053" i="3"/>
  <c r="D1053" i="3"/>
  <c r="E1053" i="3"/>
  <c r="B1054" i="3"/>
  <c r="D1054" i="3"/>
  <c r="E1054" i="3"/>
  <c r="D1055" i="3"/>
  <c r="E1055" i="3"/>
  <c r="B1056" i="3"/>
  <c r="C1056" i="3"/>
  <c r="D1056" i="3"/>
  <c r="E1056" i="3"/>
  <c r="B1057" i="3"/>
  <c r="D1057" i="3"/>
  <c r="E1057" i="3"/>
  <c r="B1058" i="3"/>
  <c r="C1058" i="3"/>
  <c r="D1058" i="3"/>
  <c r="E1058" i="3"/>
  <c r="B1059" i="3"/>
  <c r="D1059" i="3"/>
  <c r="E1059" i="3"/>
  <c r="B1060" i="3"/>
  <c r="C1060" i="3"/>
  <c r="E1060" i="3"/>
  <c r="B1061" i="3"/>
  <c r="D1061" i="3"/>
  <c r="E1061" i="3"/>
  <c r="B1062" i="3"/>
  <c r="E1062" i="3"/>
  <c r="B1063" i="3"/>
  <c r="D1063" i="3"/>
  <c r="E1063" i="3"/>
  <c r="C1064" i="3"/>
  <c r="E1064" i="3"/>
  <c r="D1065" i="3"/>
  <c r="E1065" i="3"/>
  <c r="B1066" i="3"/>
  <c r="C1066" i="3"/>
  <c r="E1066" i="3"/>
  <c r="B1067" i="3"/>
  <c r="D1067" i="3"/>
  <c r="E1067" i="3"/>
  <c r="B1068" i="3"/>
  <c r="C1068" i="3"/>
  <c r="E1068" i="3"/>
  <c r="B1069" i="3"/>
  <c r="D1069" i="3"/>
  <c r="E1069" i="3"/>
  <c r="B1070" i="3"/>
  <c r="E1070" i="3"/>
  <c r="B1071" i="3"/>
  <c r="D1071" i="3"/>
  <c r="E1071" i="3"/>
  <c r="C1072" i="3"/>
  <c r="E1072" i="3"/>
  <c r="A1073" i="3"/>
  <c r="C1073" i="3"/>
  <c r="D1073" i="3"/>
  <c r="E1073" i="3"/>
  <c r="A1074" i="3"/>
  <c r="A1075" i="3" s="1"/>
  <c r="D1074" i="3"/>
  <c r="E1074" i="3"/>
  <c r="C1075" i="3"/>
  <c r="D1075" i="3"/>
  <c r="A1076" i="3"/>
  <c r="B1076" i="3"/>
  <c r="D1076" i="3"/>
  <c r="E1076" i="3"/>
  <c r="A1077" i="3"/>
  <c r="A1078" i="3" s="1"/>
  <c r="A1079" i="3" s="1"/>
  <c r="A1080" i="3" s="1"/>
  <c r="A1081" i="3" s="1"/>
  <c r="D1077" i="3"/>
  <c r="E1077" i="3"/>
  <c r="B1078" i="3"/>
  <c r="D1078" i="3"/>
  <c r="E1078" i="3"/>
  <c r="B1079" i="3"/>
  <c r="C1079" i="3"/>
  <c r="D1079" i="3"/>
  <c r="E1079" i="3"/>
  <c r="B1080" i="3"/>
  <c r="C1080" i="3"/>
  <c r="E1080" i="3"/>
  <c r="C1081" i="3"/>
  <c r="D1081" i="3"/>
  <c r="E1081" i="3"/>
  <c r="A1082" i="3"/>
  <c r="A1083" i="3" s="1"/>
  <c r="A1084" i="3" s="1"/>
  <c r="C1082" i="3"/>
  <c r="D1082" i="3"/>
  <c r="E1082" i="3"/>
  <c r="C1083" i="3"/>
  <c r="D1083" i="3"/>
  <c r="B1084" i="3"/>
  <c r="D1084" i="3"/>
  <c r="E1084" i="3"/>
  <c r="A1085" i="3"/>
  <c r="A1086" i="3" s="1"/>
  <c r="A1087" i="3" s="1"/>
  <c r="A1088" i="3" s="1"/>
  <c r="A1089" i="3" s="1"/>
  <c r="D1085" i="3"/>
  <c r="E1085" i="3"/>
  <c r="D1086" i="3"/>
  <c r="E1086" i="3"/>
  <c r="B1087" i="3"/>
  <c r="C1087" i="3"/>
  <c r="D1087" i="3"/>
  <c r="E1087" i="3"/>
  <c r="B1088" i="3"/>
  <c r="E1088" i="3"/>
  <c r="C1089" i="3"/>
  <c r="D1089" i="3"/>
  <c r="E1089" i="3"/>
  <c r="A1090" i="3"/>
  <c r="A1091" i="3" s="1"/>
  <c r="A1092" i="3" s="1"/>
  <c r="A1093" i="3" s="1"/>
  <c r="A1094" i="3" s="1"/>
  <c r="A1095" i="3" s="1"/>
  <c r="A1096" i="3" s="1"/>
  <c r="A1097" i="3" s="1"/>
  <c r="C1090" i="3"/>
  <c r="D1090" i="3"/>
  <c r="E1090" i="3"/>
  <c r="C1091" i="3"/>
  <c r="D1091" i="3"/>
  <c r="B1092" i="3"/>
  <c r="D1092" i="3"/>
  <c r="E1092" i="3"/>
  <c r="B1093" i="3"/>
  <c r="D1093" i="3"/>
  <c r="E1093" i="3"/>
  <c r="D1094" i="3"/>
  <c r="E1094" i="3"/>
  <c r="C1095" i="3"/>
  <c r="D1095" i="3"/>
  <c r="E1095" i="3"/>
  <c r="B1096" i="3"/>
  <c r="E1096" i="3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50" i="2"/>
  <c r="C1050" i="2"/>
  <c r="D1050" i="2"/>
  <c r="E1050" i="2"/>
  <c r="F1050" i="2"/>
  <c r="G1050" i="2"/>
  <c r="I1050" i="2"/>
  <c r="J1050" i="2"/>
  <c r="B1051" i="2"/>
  <c r="C1051" i="2"/>
  <c r="D1051" i="2"/>
  <c r="E1051" i="2"/>
  <c r="F1051" i="2"/>
  <c r="G1051" i="2"/>
  <c r="I1051" i="2"/>
  <c r="J1051" i="2"/>
  <c r="B1052" i="2"/>
  <c r="C1052" i="2"/>
  <c r="D1052" i="2"/>
  <c r="E1052" i="2"/>
  <c r="F1052" i="2"/>
  <c r="G1052" i="2"/>
  <c r="H1052" i="2"/>
  <c r="I1052" i="2"/>
  <c r="J1052" i="2"/>
  <c r="B1053" i="2"/>
  <c r="C1053" i="2"/>
  <c r="D1053" i="2"/>
  <c r="E1053" i="2"/>
  <c r="F1053" i="2"/>
  <c r="G1053" i="2"/>
  <c r="H1053" i="2"/>
  <c r="I1053" i="2"/>
  <c r="J1053" i="2"/>
  <c r="B1054" i="2"/>
  <c r="C1054" i="2"/>
  <c r="D1054" i="2"/>
  <c r="E1054" i="2"/>
  <c r="F1054" i="2"/>
  <c r="G1054" i="2"/>
  <c r="H1054" i="2"/>
  <c r="I1054" i="2"/>
  <c r="J1054" i="2"/>
  <c r="B1055" i="2"/>
  <c r="C1055" i="2"/>
  <c r="D1055" i="2"/>
  <c r="E1055" i="2"/>
  <c r="F1055" i="2"/>
  <c r="G1055" i="2"/>
  <c r="H1055" i="2"/>
  <c r="I1055" i="2"/>
  <c r="J1055" i="2"/>
  <c r="B1056" i="2"/>
  <c r="C1056" i="2"/>
  <c r="D1056" i="2"/>
  <c r="E1056" i="2"/>
  <c r="F1056" i="2"/>
  <c r="G1056" i="2"/>
  <c r="H1056" i="2"/>
  <c r="I1056" i="2"/>
  <c r="J1056" i="2"/>
  <c r="B1057" i="2"/>
  <c r="C1057" i="2"/>
  <c r="D1057" i="2"/>
  <c r="E1057" i="2"/>
  <c r="F1057" i="2"/>
  <c r="G1057" i="2"/>
  <c r="H1057" i="2"/>
  <c r="I1057" i="2"/>
  <c r="J1057" i="2"/>
  <c r="B1058" i="2"/>
  <c r="C1058" i="2"/>
  <c r="D1058" i="2"/>
  <c r="E1058" i="2"/>
  <c r="F1058" i="2"/>
  <c r="G1058" i="2"/>
  <c r="H1058" i="2"/>
  <c r="I1058" i="2"/>
  <c r="J1058" i="2"/>
  <c r="B1059" i="2"/>
  <c r="C1059" i="2"/>
  <c r="D1059" i="2"/>
  <c r="E1059" i="2"/>
  <c r="F1059" i="2"/>
  <c r="G1059" i="2"/>
  <c r="H1059" i="2"/>
  <c r="I1059" i="2"/>
  <c r="J1059" i="2"/>
  <c r="B1060" i="2"/>
  <c r="C1060" i="2"/>
  <c r="D1060" i="2"/>
  <c r="E1060" i="2"/>
  <c r="F1060" i="2"/>
  <c r="G1060" i="2"/>
  <c r="H1060" i="2"/>
  <c r="I1060" i="2"/>
  <c r="J1060" i="2"/>
  <c r="B1061" i="2"/>
  <c r="C1061" i="2"/>
  <c r="D1061" i="2"/>
  <c r="E1061" i="2"/>
  <c r="F1061" i="2"/>
  <c r="G1061" i="2"/>
  <c r="H1061" i="2"/>
  <c r="I1061" i="2"/>
  <c r="J1061" i="2"/>
  <c r="B1062" i="2"/>
  <c r="C1062" i="2"/>
  <c r="D1062" i="2"/>
  <c r="E1062" i="2"/>
  <c r="F1062" i="2"/>
  <c r="G1062" i="2"/>
  <c r="H1062" i="2"/>
  <c r="I1062" i="2"/>
  <c r="J1062" i="2"/>
  <c r="B1063" i="2"/>
  <c r="C1063" i="2"/>
  <c r="D1063" i="2"/>
  <c r="E1063" i="2"/>
  <c r="F1063" i="2"/>
  <c r="G1063" i="2"/>
  <c r="H1063" i="2"/>
  <c r="I1063" i="2"/>
  <c r="J1063" i="2"/>
  <c r="B1064" i="2"/>
  <c r="C1064" i="2"/>
  <c r="D1064" i="2"/>
  <c r="E1064" i="2"/>
  <c r="F1064" i="2"/>
  <c r="G1064" i="2"/>
  <c r="H1064" i="2"/>
  <c r="I1064" i="2"/>
  <c r="J1064" i="2"/>
  <c r="B1065" i="2"/>
  <c r="C1065" i="2"/>
  <c r="D1065" i="2"/>
  <c r="E1065" i="2"/>
  <c r="F1065" i="2"/>
  <c r="G1065" i="2"/>
  <c r="H1065" i="2"/>
  <c r="I1065" i="2"/>
  <c r="J1065" i="2"/>
  <c r="B1066" i="2"/>
  <c r="C1066" i="2"/>
  <c r="D1066" i="2"/>
  <c r="E1066" i="2"/>
  <c r="F1066" i="2"/>
  <c r="G1066" i="2"/>
  <c r="H1066" i="2"/>
  <c r="I1066" i="2"/>
  <c r="J1066" i="2"/>
  <c r="B1067" i="2"/>
  <c r="C1067" i="2"/>
  <c r="D1067" i="2"/>
  <c r="E1067" i="2"/>
  <c r="F1067" i="2"/>
  <c r="G1067" i="2"/>
  <c r="H1067" i="2"/>
  <c r="I1067" i="2"/>
  <c r="J1067" i="2"/>
  <c r="B1068" i="2"/>
  <c r="C1068" i="2"/>
  <c r="D1068" i="2"/>
  <c r="E1068" i="2"/>
  <c r="F1068" i="2"/>
  <c r="G1068" i="2"/>
  <c r="H1068" i="2"/>
  <c r="I1068" i="2"/>
  <c r="J1068" i="2"/>
  <c r="B1069" i="2"/>
  <c r="C1069" i="2"/>
  <c r="D1069" i="2"/>
  <c r="E1069" i="2"/>
  <c r="F1069" i="2"/>
  <c r="G1069" i="2"/>
  <c r="H1069" i="2"/>
  <c r="I1069" i="2"/>
  <c r="J1069" i="2"/>
  <c r="B1070" i="2"/>
  <c r="C1070" i="2"/>
  <c r="D1070" i="2"/>
  <c r="E1070" i="2"/>
  <c r="F1070" i="2"/>
  <c r="G1070" i="2"/>
  <c r="H1070" i="2"/>
  <c r="I1070" i="2"/>
  <c r="J1070" i="2"/>
  <c r="B1071" i="2"/>
  <c r="C1071" i="2"/>
  <c r="D1071" i="2"/>
  <c r="E1071" i="2"/>
  <c r="F1071" i="2"/>
  <c r="G1071" i="2"/>
  <c r="H1071" i="2"/>
  <c r="I1071" i="2"/>
  <c r="J1071" i="2"/>
  <c r="B1072" i="2"/>
  <c r="C1072" i="2"/>
  <c r="D1072" i="2"/>
  <c r="E1072" i="2"/>
  <c r="F1072" i="2"/>
  <c r="G1072" i="2"/>
  <c r="H1072" i="2"/>
  <c r="I1072" i="2"/>
  <c r="J1072" i="2"/>
  <c r="A1073" i="2"/>
  <c r="A1074" i="2" s="1"/>
  <c r="B1074" i="2" s="1"/>
  <c r="C1073" i="2"/>
  <c r="D1073" i="2"/>
  <c r="E1073" i="2"/>
  <c r="F1073" i="2"/>
  <c r="G1073" i="2"/>
  <c r="H1073" i="2"/>
  <c r="I1073" i="2"/>
  <c r="J1073" i="2"/>
  <c r="C1074" i="2"/>
  <c r="D1074" i="2"/>
  <c r="E1074" i="2"/>
  <c r="F1074" i="2"/>
  <c r="G1074" i="2"/>
  <c r="H1074" i="2"/>
  <c r="I1074" i="2"/>
  <c r="J1074" i="2"/>
  <c r="A1075" i="2"/>
  <c r="B1075" i="2" s="1"/>
  <c r="C1075" i="2"/>
  <c r="D1075" i="2"/>
  <c r="E1075" i="2"/>
  <c r="F1075" i="2"/>
  <c r="G1075" i="2"/>
  <c r="H1075" i="2"/>
  <c r="I1075" i="2"/>
  <c r="J1075" i="2"/>
  <c r="A1076" i="2"/>
  <c r="B1076" i="2" s="1"/>
  <c r="C1076" i="2"/>
  <c r="D1076" i="2"/>
  <c r="E1076" i="2"/>
  <c r="F1076" i="2"/>
  <c r="G1076" i="2"/>
  <c r="H1076" i="2"/>
  <c r="I1076" i="2"/>
  <c r="J1076" i="2"/>
  <c r="A1077" i="2"/>
  <c r="A1078" i="2" s="1"/>
  <c r="B1077" i="2"/>
  <c r="C1077" i="2"/>
  <c r="D1077" i="2"/>
  <c r="E1077" i="2"/>
  <c r="F1077" i="2"/>
  <c r="G1077" i="2"/>
  <c r="H1077" i="2"/>
  <c r="I1077" i="2"/>
  <c r="J1077" i="2"/>
  <c r="C1078" i="2"/>
  <c r="D1078" i="2"/>
  <c r="E1078" i="2"/>
  <c r="F1078" i="2"/>
  <c r="G1078" i="2"/>
  <c r="H1078" i="2"/>
  <c r="I1078" i="2"/>
  <c r="J1078" i="2"/>
  <c r="C1079" i="2"/>
  <c r="D1079" i="2"/>
  <c r="E1079" i="2"/>
  <c r="F1079" i="2"/>
  <c r="G1079" i="2"/>
  <c r="H1079" i="2"/>
  <c r="I1079" i="2"/>
  <c r="J1079" i="2"/>
  <c r="C1080" i="2"/>
  <c r="D1080" i="2"/>
  <c r="E1080" i="2"/>
  <c r="F1080" i="2"/>
  <c r="G1080" i="2"/>
  <c r="H1080" i="2"/>
  <c r="I1080" i="2"/>
  <c r="J1080" i="2"/>
  <c r="C1081" i="2"/>
  <c r="D1081" i="2"/>
  <c r="E1081" i="2"/>
  <c r="F1081" i="2"/>
  <c r="G1081" i="2"/>
  <c r="H1081" i="2"/>
  <c r="I1081" i="2"/>
  <c r="J1081" i="2"/>
  <c r="C1082" i="2"/>
  <c r="D1082" i="2"/>
  <c r="E1082" i="2"/>
  <c r="F1082" i="2"/>
  <c r="G1082" i="2"/>
  <c r="H1082" i="2"/>
  <c r="I1082" i="2"/>
  <c r="J1082" i="2"/>
  <c r="C1083" i="2"/>
  <c r="D1083" i="2"/>
  <c r="E1083" i="2"/>
  <c r="F1083" i="2"/>
  <c r="G1083" i="2"/>
  <c r="H1083" i="2"/>
  <c r="I1083" i="2"/>
  <c r="J1083" i="2"/>
  <c r="C1084" i="2"/>
  <c r="D1084" i="2"/>
  <c r="E1084" i="2"/>
  <c r="F1084" i="2"/>
  <c r="G1084" i="2"/>
  <c r="H1084" i="2"/>
  <c r="I1084" i="2"/>
  <c r="J1084" i="2"/>
  <c r="C1085" i="2"/>
  <c r="D1085" i="2"/>
  <c r="E1085" i="2"/>
  <c r="F1085" i="2"/>
  <c r="G1085" i="2"/>
  <c r="H1085" i="2"/>
  <c r="I1085" i="2"/>
  <c r="J1085" i="2"/>
  <c r="C1086" i="2"/>
  <c r="D1086" i="2"/>
  <c r="E1086" i="2"/>
  <c r="F1086" i="2"/>
  <c r="G1086" i="2"/>
  <c r="H1086" i="2"/>
  <c r="I1086" i="2"/>
  <c r="J1086" i="2"/>
  <c r="C1087" i="2"/>
  <c r="D1087" i="2"/>
  <c r="E1087" i="2"/>
  <c r="F1087" i="2"/>
  <c r="G1087" i="2"/>
  <c r="H1087" i="2"/>
  <c r="I1087" i="2"/>
  <c r="J1087" i="2"/>
  <c r="C1088" i="2"/>
  <c r="D1088" i="2"/>
  <c r="E1088" i="2"/>
  <c r="F1088" i="2"/>
  <c r="G1088" i="2"/>
  <c r="H1088" i="2"/>
  <c r="I1088" i="2"/>
  <c r="J1088" i="2"/>
  <c r="C1089" i="2"/>
  <c r="D1089" i="2"/>
  <c r="E1089" i="2"/>
  <c r="F1089" i="2"/>
  <c r="G1089" i="2"/>
  <c r="H1089" i="2"/>
  <c r="I1089" i="2"/>
  <c r="J1089" i="2"/>
  <c r="C1090" i="2"/>
  <c r="D1090" i="2"/>
  <c r="E1090" i="2"/>
  <c r="F1090" i="2"/>
  <c r="G1090" i="2"/>
  <c r="H1090" i="2"/>
  <c r="I1090" i="2"/>
  <c r="J1090" i="2"/>
  <c r="C1091" i="2"/>
  <c r="D1091" i="2"/>
  <c r="E1091" i="2"/>
  <c r="F1091" i="2"/>
  <c r="G1091" i="2"/>
  <c r="H1091" i="2"/>
  <c r="I1091" i="2"/>
  <c r="J1091" i="2"/>
  <c r="C1092" i="2"/>
  <c r="D1092" i="2"/>
  <c r="E1092" i="2"/>
  <c r="F1092" i="2"/>
  <c r="G1092" i="2"/>
  <c r="H1092" i="2"/>
  <c r="I1092" i="2"/>
  <c r="J1092" i="2"/>
  <c r="C1093" i="2"/>
  <c r="D1093" i="2"/>
  <c r="E1093" i="2"/>
  <c r="F1093" i="2"/>
  <c r="G1093" i="2"/>
  <c r="H1093" i="2"/>
  <c r="I1093" i="2"/>
  <c r="J1093" i="2"/>
  <c r="C1094" i="2"/>
  <c r="D1094" i="2"/>
  <c r="E1094" i="2"/>
  <c r="F1094" i="2"/>
  <c r="G1094" i="2"/>
  <c r="H1094" i="2"/>
  <c r="I1094" i="2"/>
  <c r="J1094" i="2"/>
  <c r="C1095" i="2"/>
  <c r="D1095" i="2"/>
  <c r="E1095" i="2"/>
  <c r="F1095" i="2"/>
  <c r="G1095" i="2"/>
  <c r="H1095" i="2"/>
  <c r="I1095" i="2"/>
  <c r="J1095" i="2"/>
  <c r="C1096" i="2"/>
  <c r="D1096" i="2"/>
  <c r="E1096" i="2"/>
  <c r="F1096" i="2"/>
  <c r="G1096" i="2"/>
  <c r="H1096" i="2"/>
  <c r="I1096" i="2"/>
  <c r="J1096" i="2"/>
  <c r="D11" i="1"/>
  <c r="F11" i="1"/>
  <c r="B17" i="1"/>
  <c r="C17" i="1"/>
  <c r="D17" i="1"/>
  <c r="E17" i="1"/>
  <c r="F17" i="1"/>
  <c r="G17" i="1"/>
  <c r="H17" i="1"/>
  <c r="I17" i="1"/>
  <c r="J17" i="1"/>
  <c r="K17" i="1"/>
  <c r="R17" i="1"/>
  <c r="B18" i="1"/>
  <c r="C18" i="1"/>
  <c r="D18" i="1"/>
  <c r="E18" i="1"/>
  <c r="F18" i="1"/>
  <c r="G18" i="1"/>
  <c r="H18" i="1"/>
  <c r="I18" i="1"/>
  <c r="J18" i="1"/>
  <c r="K18" i="1"/>
  <c r="R18" i="1"/>
  <c r="B19" i="1"/>
  <c r="C19" i="1"/>
  <c r="D19" i="1"/>
  <c r="E19" i="1"/>
  <c r="F19" i="1"/>
  <c r="G19" i="1"/>
  <c r="H19" i="1"/>
  <c r="I19" i="1"/>
  <c r="J19" i="1"/>
  <c r="K19" i="1"/>
  <c r="R19" i="1"/>
  <c r="B20" i="1"/>
  <c r="C20" i="1"/>
  <c r="D20" i="1"/>
  <c r="E20" i="1"/>
  <c r="F20" i="1"/>
  <c r="G20" i="1"/>
  <c r="H20" i="1"/>
  <c r="I20" i="1"/>
  <c r="J20" i="1"/>
  <c r="K20" i="1"/>
  <c r="R20" i="1"/>
  <c r="B21" i="1"/>
  <c r="C21" i="1"/>
  <c r="D21" i="1"/>
  <c r="E21" i="1"/>
  <c r="F21" i="1"/>
  <c r="G21" i="1"/>
  <c r="H21" i="1"/>
  <c r="I21" i="1"/>
  <c r="J21" i="1"/>
  <c r="K21" i="1"/>
  <c r="R21" i="1"/>
  <c r="B22" i="1"/>
  <c r="C22" i="1"/>
  <c r="D22" i="1"/>
  <c r="E22" i="1"/>
  <c r="F22" i="1"/>
  <c r="G22" i="1"/>
  <c r="H22" i="1"/>
  <c r="I22" i="1"/>
  <c r="J22" i="1"/>
  <c r="K22" i="1"/>
  <c r="R22" i="1"/>
  <c r="R1050" i="1" s="1"/>
  <c r="B23" i="1"/>
  <c r="C23" i="1"/>
  <c r="D23" i="1"/>
  <c r="E23" i="1"/>
  <c r="F23" i="1"/>
  <c r="G23" i="1"/>
  <c r="H23" i="1"/>
  <c r="I23" i="1"/>
  <c r="J23" i="1"/>
  <c r="K23" i="1"/>
  <c r="R23" i="1"/>
  <c r="B24" i="1"/>
  <c r="C24" i="1"/>
  <c r="D24" i="1"/>
  <c r="E24" i="1"/>
  <c r="F24" i="1"/>
  <c r="G24" i="1"/>
  <c r="H24" i="1"/>
  <c r="I24" i="1"/>
  <c r="J24" i="1"/>
  <c r="K24" i="1"/>
  <c r="R24" i="1"/>
  <c r="B25" i="1"/>
  <c r="C25" i="1"/>
  <c r="D25" i="1"/>
  <c r="E25" i="1"/>
  <c r="F25" i="1"/>
  <c r="G25" i="1"/>
  <c r="H25" i="1"/>
  <c r="I25" i="1"/>
  <c r="J25" i="1"/>
  <c r="K25" i="1"/>
  <c r="R25" i="1"/>
  <c r="B26" i="1"/>
  <c r="C26" i="1"/>
  <c r="D26" i="1"/>
  <c r="E26" i="1"/>
  <c r="F26" i="1"/>
  <c r="G26" i="1"/>
  <c r="H26" i="1"/>
  <c r="I26" i="1"/>
  <c r="J26" i="1"/>
  <c r="K26" i="1"/>
  <c r="R26" i="1"/>
  <c r="B27" i="1"/>
  <c r="C27" i="1"/>
  <c r="D27" i="1"/>
  <c r="E27" i="1"/>
  <c r="F27" i="1"/>
  <c r="G27" i="1"/>
  <c r="H27" i="1"/>
  <c r="I27" i="1"/>
  <c r="J27" i="1"/>
  <c r="K27" i="1"/>
  <c r="R27" i="1"/>
  <c r="B28" i="1"/>
  <c r="C28" i="1"/>
  <c r="D28" i="1"/>
  <c r="E28" i="1"/>
  <c r="F28" i="1"/>
  <c r="G28" i="1"/>
  <c r="H28" i="1"/>
  <c r="I28" i="1"/>
  <c r="J28" i="1"/>
  <c r="K28" i="1"/>
  <c r="R28" i="1"/>
  <c r="B29" i="1"/>
  <c r="C29" i="1"/>
  <c r="D29" i="1"/>
  <c r="E29" i="1"/>
  <c r="F29" i="1"/>
  <c r="G29" i="1"/>
  <c r="H29" i="1"/>
  <c r="I29" i="1"/>
  <c r="J29" i="1"/>
  <c r="R29" i="1"/>
  <c r="B30" i="1"/>
  <c r="C30" i="1"/>
  <c r="D30" i="1"/>
  <c r="E30" i="1"/>
  <c r="F30" i="1"/>
  <c r="G30" i="1"/>
  <c r="H30" i="1"/>
  <c r="I30" i="1"/>
  <c r="J30" i="1"/>
  <c r="R30" i="1"/>
  <c r="B31" i="1"/>
  <c r="C31" i="1"/>
  <c r="D31" i="1"/>
  <c r="E31" i="1"/>
  <c r="F31" i="1"/>
  <c r="G31" i="1"/>
  <c r="H31" i="1"/>
  <c r="I31" i="1"/>
  <c r="J31" i="1"/>
  <c r="R31" i="1"/>
  <c r="B32" i="1"/>
  <c r="C32" i="1"/>
  <c r="D32" i="1"/>
  <c r="E32" i="1"/>
  <c r="F32" i="1"/>
  <c r="G32" i="1"/>
  <c r="H32" i="1"/>
  <c r="I32" i="1"/>
  <c r="J32" i="1"/>
  <c r="R32" i="1"/>
  <c r="B33" i="1"/>
  <c r="C33" i="1"/>
  <c r="D33" i="1"/>
  <c r="E33" i="1"/>
  <c r="F33" i="1"/>
  <c r="G33" i="1"/>
  <c r="H33" i="1"/>
  <c r="I33" i="1"/>
  <c r="J33" i="1"/>
  <c r="R33" i="1"/>
  <c r="B34" i="1"/>
  <c r="C34" i="1"/>
  <c r="D34" i="1"/>
  <c r="E34" i="1"/>
  <c r="F34" i="1"/>
  <c r="G34" i="1"/>
  <c r="H34" i="1"/>
  <c r="I34" i="1"/>
  <c r="J34" i="1"/>
  <c r="R34" i="1"/>
  <c r="B35" i="1"/>
  <c r="C35" i="1"/>
  <c r="D35" i="1"/>
  <c r="E35" i="1"/>
  <c r="F35" i="1"/>
  <c r="G35" i="1"/>
  <c r="H35" i="1"/>
  <c r="I35" i="1"/>
  <c r="J35" i="1"/>
  <c r="R35" i="1"/>
  <c r="B36" i="1"/>
  <c r="C36" i="1"/>
  <c r="D36" i="1"/>
  <c r="E36" i="1"/>
  <c r="F36" i="1"/>
  <c r="G36" i="1"/>
  <c r="H36" i="1"/>
  <c r="I36" i="1"/>
  <c r="J36" i="1"/>
  <c r="R36" i="1"/>
  <c r="B37" i="1"/>
  <c r="C37" i="1"/>
  <c r="D37" i="1"/>
  <c r="E37" i="1"/>
  <c r="F37" i="1"/>
  <c r="G37" i="1"/>
  <c r="H37" i="1"/>
  <c r="I37" i="1"/>
  <c r="J37" i="1"/>
  <c r="R37" i="1"/>
  <c r="B38" i="1"/>
  <c r="C38" i="1"/>
  <c r="D38" i="1"/>
  <c r="E38" i="1"/>
  <c r="F38" i="1"/>
  <c r="G38" i="1"/>
  <c r="H38" i="1"/>
  <c r="I38" i="1"/>
  <c r="J38" i="1"/>
  <c r="R38" i="1"/>
  <c r="B39" i="1"/>
  <c r="C39" i="1"/>
  <c r="D39" i="1"/>
  <c r="E39" i="1"/>
  <c r="F39" i="1"/>
  <c r="G39" i="1"/>
  <c r="H39" i="1"/>
  <c r="I39" i="1"/>
  <c r="J39" i="1"/>
  <c r="R39" i="1"/>
  <c r="B40" i="1"/>
  <c r="C40" i="1"/>
  <c r="D40" i="1"/>
  <c r="E40" i="1"/>
  <c r="F40" i="1"/>
  <c r="G40" i="1"/>
  <c r="H40" i="1"/>
  <c r="I40" i="1"/>
  <c r="J40" i="1"/>
  <c r="R40" i="1"/>
  <c r="B41" i="1"/>
  <c r="C41" i="1"/>
  <c r="D41" i="1"/>
  <c r="E41" i="1"/>
  <c r="F41" i="1"/>
  <c r="G41" i="1"/>
  <c r="H41" i="1"/>
  <c r="I41" i="1"/>
  <c r="J41" i="1"/>
  <c r="R41" i="1"/>
  <c r="B42" i="1"/>
  <c r="C42" i="1"/>
  <c r="D42" i="1"/>
  <c r="E42" i="1"/>
  <c r="F42" i="1"/>
  <c r="G42" i="1"/>
  <c r="H42" i="1"/>
  <c r="I42" i="1"/>
  <c r="J42" i="1"/>
  <c r="R42" i="1"/>
  <c r="B43" i="1"/>
  <c r="C43" i="1"/>
  <c r="D43" i="1"/>
  <c r="E43" i="1"/>
  <c r="F43" i="1"/>
  <c r="G43" i="1"/>
  <c r="H43" i="1"/>
  <c r="I43" i="1"/>
  <c r="J43" i="1"/>
  <c r="R43" i="1"/>
  <c r="B44" i="1"/>
  <c r="C44" i="1"/>
  <c r="D44" i="1"/>
  <c r="E44" i="1"/>
  <c r="F44" i="1"/>
  <c r="G44" i="1"/>
  <c r="H44" i="1"/>
  <c r="I44" i="1"/>
  <c r="J44" i="1"/>
  <c r="R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G52" i="1"/>
  <c r="H52" i="1"/>
  <c r="H1052" i="1" s="1"/>
  <c r="I52" i="1"/>
  <c r="J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J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J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B96" i="1"/>
  <c r="C96" i="1"/>
  <c r="D96" i="1"/>
  <c r="E96" i="1"/>
  <c r="F96" i="1"/>
  <c r="G96" i="1"/>
  <c r="H96" i="1"/>
  <c r="I96" i="1"/>
  <c r="J96" i="1"/>
  <c r="B97" i="1"/>
  <c r="C97" i="1"/>
  <c r="D97" i="1"/>
  <c r="E97" i="1"/>
  <c r="F97" i="1"/>
  <c r="G97" i="1"/>
  <c r="H97" i="1"/>
  <c r="I97" i="1"/>
  <c r="J97" i="1"/>
  <c r="B98" i="1"/>
  <c r="C98" i="1"/>
  <c r="D98" i="1"/>
  <c r="E98" i="1"/>
  <c r="F98" i="1"/>
  <c r="G98" i="1"/>
  <c r="H98" i="1"/>
  <c r="I98" i="1"/>
  <c r="J98" i="1"/>
  <c r="B99" i="1"/>
  <c r="C99" i="1"/>
  <c r="D99" i="1"/>
  <c r="E99" i="1"/>
  <c r="F99" i="1"/>
  <c r="G99" i="1"/>
  <c r="H99" i="1"/>
  <c r="I99" i="1"/>
  <c r="J99" i="1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B120" i="1"/>
  <c r="C120" i="1"/>
  <c r="D120" i="1"/>
  <c r="E120" i="1"/>
  <c r="F120" i="1"/>
  <c r="G120" i="1"/>
  <c r="H120" i="1"/>
  <c r="I120" i="1"/>
  <c r="J120" i="1"/>
  <c r="B121" i="1"/>
  <c r="C121" i="1"/>
  <c r="D121" i="1"/>
  <c r="E121" i="1"/>
  <c r="F121" i="1"/>
  <c r="G121" i="1"/>
  <c r="H121" i="1"/>
  <c r="I121" i="1"/>
  <c r="J121" i="1"/>
  <c r="B122" i="1"/>
  <c r="C122" i="1"/>
  <c r="D122" i="1"/>
  <c r="E122" i="1"/>
  <c r="F122" i="1"/>
  <c r="G122" i="1"/>
  <c r="H122" i="1"/>
  <c r="I122" i="1"/>
  <c r="J122" i="1"/>
  <c r="B123" i="1"/>
  <c r="C123" i="1"/>
  <c r="D123" i="1"/>
  <c r="E123" i="1"/>
  <c r="F123" i="1"/>
  <c r="G123" i="1"/>
  <c r="H123" i="1"/>
  <c r="I123" i="1"/>
  <c r="J123" i="1"/>
  <c r="B124" i="1"/>
  <c r="C124" i="1"/>
  <c r="D124" i="1"/>
  <c r="E124" i="1"/>
  <c r="F124" i="1"/>
  <c r="G124" i="1"/>
  <c r="H124" i="1"/>
  <c r="I124" i="1"/>
  <c r="J124" i="1"/>
  <c r="B125" i="1"/>
  <c r="C125" i="1"/>
  <c r="D125" i="1"/>
  <c r="E125" i="1"/>
  <c r="F125" i="1"/>
  <c r="G125" i="1"/>
  <c r="H125" i="1"/>
  <c r="I125" i="1"/>
  <c r="J125" i="1"/>
  <c r="B126" i="1"/>
  <c r="C126" i="1"/>
  <c r="D126" i="1"/>
  <c r="E126" i="1"/>
  <c r="F126" i="1"/>
  <c r="G126" i="1"/>
  <c r="H126" i="1"/>
  <c r="I126" i="1"/>
  <c r="J126" i="1"/>
  <c r="B127" i="1"/>
  <c r="C127" i="1"/>
  <c r="D127" i="1"/>
  <c r="E127" i="1"/>
  <c r="F127" i="1"/>
  <c r="G127" i="1"/>
  <c r="H127" i="1"/>
  <c r="I127" i="1"/>
  <c r="J127" i="1"/>
  <c r="B128" i="1"/>
  <c r="C128" i="1"/>
  <c r="D128" i="1"/>
  <c r="E128" i="1"/>
  <c r="F128" i="1"/>
  <c r="G128" i="1"/>
  <c r="H128" i="1"/>
  <c r="I128" i="1"/>
  <c r="J128" i="1"/>
  <c r="B129" i="1"/>
  <c r="C129" i="1"/>
  <c r="D129" i="1"/>
  <c r="E129" i="1"/>
  <c r="F129" i="1"/>
  <c r="G129" i="1"/>
  <c r="H129" i="1"/>
  <c r="I129" i="1"/>
  <c r="J129" i="1"/>
  <c r="B130" i="1"/>
  <c r="C130" i="1"/>
  <c r="D130" i="1"/>
  <c r="E130" i="1"/>
  <c r="F130" i="1"/>
  <c r="G130" i="1"/>
  <c r="H130" i="1"/>
  <c r="I130" i="1"/>
  <c r="J130" i="1"/>
  <c r="B131" i="1"/>
  <c r="C131" i="1"/>
  <c r="D131" i="1"/>
  <c r="E131" i="1"/>
  <c r="F131" i="1"/>
  <c r="G131" i="1"/>
  <c r="H131" i="1"/>
  <c r="I131" i="1"/>
  <c r="J131" i="1"/>
  <c r="B132" i="1"/>
  <c r="C132" i="1"/>
  <c r="D132" i="1"/>
  <c r="E132" i="1"/>
  <c r="F132" i="1"/>
  <c r="G132" i="1"/>
  <c r="H132" i="1"/>
  <c r="I132" i="1"/>
  <c r="J132" i="1"/>
  <c r="B133" i="1"/>
  <c r="C133" i="1"/>
  <c r="D133" i="1"/>
  <c r="E133" i="1"/>
  <c r="F133" i="1"/>
  <c r="G133" i="1"/>
  <c r="H133" i="1"/>
  <c r="I133" i="1"/>
  <c r="J133" i="1"/>
  <c r="B134" i="1"/>
  <c r="C134" i="1"/>
  <c r="D134" i="1"/>
  <c r="E134" i="1"/>
  <c r="F134" i="1"/>
  <c r="G134" i="1"/>
  <c r="H134" i="1"/>
  <c r="I134" i="1"/>
  <c r="J134" i="1"/>
  <c r="B135" i="1"/>
  <c r="C135" i="1"/>
  <c r="D135" i="1"/>
  <c r="E135" i="1"/>
  <c r="F135" i="1"/>
  <c r="G135" i="1"/>
  <c r="H135" i="1"/>
  <c r="I135" i="1"/>
  <c r="J135" i="1"/>
  <c r="B136" i="1"/>
  <c r="C136" i="1"/>
  <c r="D136" i="1"/>
  <c r="E136" i="1"/>
  <c r="F136" i="1"/>
  <c r="G136" i="1"/>
  <c r="H136" i="1"/>
  <c r="I136" i="1"/>
  <c r="J136" i="1"/>
  <c r="B137" i="1"/>
  <c r="C137" i="1"/>
  <c r="D137" i="1"/>
  <c r="E137" i="1"/>
  <c r="F137" i="1"/>
  <c r="G137" i="1"/>
  <c r="H137" i="1"/>
  <c r="I137" i="1"/>
  <c r="J137" i="1"/>
  <c r="B138" i="1"/>
  <c r="C138" i="1"/>
  <c r="D138" i="1"/>
  <c r="E138" i="1"/>
  <c r="F138" i="1"/>
  <c r="G138" i="1"/>
  <c r="H138" i="1"/>
  <c r="I138" i="1"/>
  <c r="J138" i="1"/>
  <c r="B139" i="1"/>
  <c r="C139" i="1"/>
  <c r="D139" i="1"/>
  <c r="E139" i="1"/>
  <c r="F139" i="1"/>
  <c r="G139" i="1"/>
  <c r="H139" i="1"/>
  <c r="I139" i="1"/>
  <c r="J139" i="1"/>
  <c r="B140" i="1"/>
  <c r="C140" i="1"/>
  <c r="D140" i="1"/>
  <c r="E140" i="1"/>
  <c r="F140" i="1"/>
  <c r="G140" i="1"/>
  <c r="H140" i="1"/>
  <c r="I140" i="1"/>
  <c r="J140" i="1"/>
  <c r="B141" i="1"/>
  <c r="C141" i="1"/>
  <c r="D141" i="1"/>
  <c r="E141" i="1"/>
  <c r="F141" i="1"/>
  <c r="G141" i="1"/>
  <c r="H141" i="1"/>
  <c r="I141" i="1"/>
  <c r="J141" i="1"/>
  <c r="B142" i="1"/>
  <c r="C142" i="1"/>
  <c r="D142" i="1"/>
  <c r="E142" i="1"/>
  <c r="F142" i="1"/>
  <c r="G142" i="1"/>
  <c r="H142" i="1"/>
  <c r="I142" i="1"/>
  <c r="J142" i="1"/>
  <c r="B143" i="1"/>
  <c r="C143" i="1"/>
  <c r="D143" i="1"/>
  <c r="E143" i="1"/>
  <c r="F143" i="1"/>
  <c r="G143" i="1"/>
  <c r="H143" i="1"/>
  <c r="I143" i="1"/>
  <c r="J143" i="1"/>
  <c r="B144" i="1"/>
  <c r="C144" i="1"/>
  <c r="D144" i="1"/>
  <c r="E144" i="1"/>
  <c r="F144" i="1"/>
  <c r="G144" i="1"/>
  <c r="H144" i="1"/>
  <c r="I144" i="1"/>
  <c r="J144" i="1"/>
  <c r="B145" i="1"/>
  <c r="C145" i="1"/>
  <c r="D145" i="1"/>
  <c r="E145" i="1"/>
  <c r="F145" i="1"/>
  <c r="G145" i="1"/>
  <c r="H145" i="1"/>
  <c r="I145" i="1"/>
  <c r="J145" i="1"/>
  <c r="B146" i="1"/>
  <c r="C146" i="1"/>
  <c r="D146" i="1"/>
  <c r="E146" i="1"/>
  <c r="F146" i="1"/>
  <c r="G146" i="1"/>
  <c r="H146" i="1"/>
  <c r="I146" i="1"/>
  <c r="J146" i="1"/>
  <c r="B147" i="1"/>
  <c r="C147" i="1"/>
  <c r="D147" i="1"/>
  <c r="E147" i="1"/>
  <c r="F147" i="1"/>
  <c r="G147" i="1"/>
  <c r="H147" i="1"/>
  <c r="I147" i="1"/>
  <c r="J147" i="1"/>
  <c r="B148" i="1"/>
  <c r="C148" i="1"/>
  <c r="D148" i="1"/>
  <c r="E148" i="1"/>
  <c r="F148" i="1"/>
  <c r="G148" i="1"/>
  <c r="H148" i="1"/>
  <c r="I148" i="1"/>
  <c r="J148" i="1"/>
  <c r="B149" i="1"/>
  <c r="C149" i="1"/>
  <c r="D149" i="1"/>
  <c r="E149" i="1"/>
  <c r="F149" i="1"/>
  <c r="G149" i="1"/>
  <c r="H149" i="1"/>
  <c r="I149" i="1"/>
  <c r="J149" i="1"/>
  <c r="B150" i="1"/>
  <c r="C150" i="1"/>
  <c r="D150" i="1"/>
  <c r="E150" i="1"/>
  <c r="F150" i="1"/>
  <c r="G150" i="1"/>
  <c r="H150" i="1"/>
  <c r="I150" i="1"/>
  <c r="J150" i="1"/>
  <c r="B151" i="1"/>
  <c r="C151" i="1"/>
  <c r="D151" i="1"/>
  <c r="E151" i="1"/>
  <c r="F151" i="1"/>
  <c r="G151" i="1"/>
  <c r="H151" i="1"/>
  <c r="I151" i="1"/>
  <c r="J151" i="1"/>
  <c r="B152" i="1"/>
  <c r="C152" i="1"/>
  <c r="D152" i="1"/>
  <c r="E152" i="1"/>
  <c r="F152" i="1"/>
  <c r="G152" i="1"/>
  <c r="H152" i="1"/>
  <c r="I152" i="1"/>
  <c r="J152" i="1"/>
  <c r="B153" i="1"/>
  <c r="C153" i="1"/>
  <c r="D153" i="1"/>
  <c r="E153" i="1"/>
  <c r="F153" i="1"/>
  <c r="G153" i="1"/>
  <c r="H153" i="1"/>
  <c r="I153" i="1"/>
  <c r="J153" i="1"/>
  <c r="B154" i="1"/>
  <c r="C154" i="1"/>
  <c r="D154" i="1"/>
  <c r="E154" i="1"/>
  <c r="F154" i="1"/>
  <c r="G154" i="1"/>
  <c r="H154" i="1"/>
  <c r="I154" i="1"/>
  <c r="J154" i="1"/>
  <c r="B155" i="1"/>
  <c r="C155" i="1"/>
  <c r="D155" i="1"/>
  <c r="E155" i="1"/>
  <c r="F155" i="1"/>
  <c r="G155" i="1"/>
  <c r="H155" i="1"/>
  <c r="I155" i="1"/>
  <c r="J155" i="1"/>
  <c r="B156" i="1"/>
  <c r="C156" i="1"/>
  <c r="D156" i="1"/>
  <c r="E156" i="1"/>
  <c r="F156" i="1"/>
  <c r="G156" i="1"/>
  <c r="H156" i="1"/>
  <c r="I156" i="1"/>
  <c r="J156" i="1"/>
  <c r="B157" i="1"/>
  <c r="C157" i="1"/>
  <c r="D157" i="1"/>
  <c r="E157" i="1"/>
  <c r="F157" i="1"/>
  <c r="G157" i="1"/>
  <c r="H157" i="1"/>
  <c r="I157" i="1"/>
  <c r="J157" i="1"/>
  <c r="B158" i="1"/>
  <c r="C158" i="1"/>
  <c r="D158" i="1"/>
  <c r="E158" i="1"/>
  <c r="F158" i="1"/>
  <c r="G158" i="1"/>
  <c r="H158" i="1"/>
  <c r="I158" i="1"/>
  <c r="J158" i="1"/>
  <c r="B159" i="1"/>
  <c r="C159" i="1"/>
  <c r="D159" i="1"/>
  <c r="E159" i="1"/>
  <c r="F159" i="1"/>
  <c r="G159" i="1"/>
  <c r="H159" i="1"/>
  <c r="I159" i="1"/>
  <c r="J159" i="1"/>
  <c r="B160" i="1"/>
  <c r="C160" i="1"/>
  <c r="D160" i="1"/>
  <c r="E160" i="1"/>
  <c r="F160" i="1"/>
  <c r="G160" i="1"/>
  <c r="H160" i="1"/>
  <c r="I160" i="1"/>
  <c r="J160" i="1"/>
  <c r="B161" i="1"/>
  <c r="C161" i="1"/>
  <c r="D161" i="1"/>
  <c r="E161" i="1"/>
  <c r="F161" i="1"/>
  <c r="G161" i="1"/>
  <c r="H161" i="1"/>
  <c r="I161" i="1"/>
  <c r="J161" i="1"/>
  <c r="B162" i="1"/>
  <c r="C162" i="1"/>
  <c r="D162" i="1"/>
  <c r="E162" i="1"/>
  <c r="F162" i="1"/>
  <c r="G162" i="1"/>
  <c r="H162" i="1"/>
  <c r="I162" i="1"/>
  <c r="J162" i="1"/>
  <c r="B163" i="1"/>
  <c r="C163" i="1"/>
  <c r="D163" i="1"/>
  <c r="E163" i="1"/>
  <c r="F163" i="1"/>
  <c r="G163" i="1"/>
  <c r="H163" i="1"/>
  <c r="I163" i="1"/>
  <c r="J163" i="1"/>
  <c r="B164" i="1"/>
  <c r="C164" i="1"/>
  <c r="D164" i="1"/>
  <c r="E164" i="1"/>
  <c r="F164" i="1"/>
  <c r="G164" i="1"/>
  <c r="H164" i="1"/>
  <c r="I164" i="1"/>
  <c r="J164" i="1"/>
  <c r="B165" i="1"/>
  <c r="C165" i="1"/>
  <c r="D165" i="1"/>
  <c r="E165" i="1"/>
  <c r="F165" i="1"/>
  <c r="G165" i="1"/>
  <c r="H165" i="1"/>
  <c r="I165" i="1"/>
  <c r="J165" i="1"/>
  <c r="B166" i="1"/>
  <c r="C166" i="1"/>
  <c r="D166" i="1"/>
  <c r="E166" i="1"/>
  <c r="F166" i="1"/>
  <c r="G166" i="1"/>
  <c r="H166" i="1"/>
  <c r="I166" i="1"/>
  <c r="J166" i="1"/>
  <c r="B167" i="1"/>
  <c r="C167" i="1"/>
  <c r="D167" i="1"/>
  <c r="E167" i="1"/>
  <c r="F167" i="1"/>
  <c r="G167" i="1"/>
  <c r="H167" i="1"/>
  <c r="I167" i="1"/>
  <c r="J167" i="1"/>
  <c r="B168" i="1"/>
  <c r="C168" i="1"/>
  <c r="D168" i="1"/>
  <c r="E168" i="1"/>
  <c r="F168" i="1"/>
  <c r="G168" i="1"/>
  <c r="H168" i="1"/>
  <c r="I168" i="1"/>
  <c r="J168" i="1"/>
  <c r="B169" i="1"/>
  <c r="C169" i="1"/>
  <c r="D169" i="1"/>
  <c r="E169" i="1"/>
  <c r="F169" i="1"/>
  <c r="G169" i="1"/>
  <c r="H169" i="1"/>
  <c r="I169" i="1"/>
  <c r="J169" i="1"/>
  <c r="B170" i="1"/>
  <c r="C170" i="1"/>
  <c r="D170" i="1"/>
  <c r="E170" i="1"/>
  <c r="F170" i="1"/>
  <c r="G170" i="1"/>
  <c r="H170" i="1"/>
  <c r="I170" i="1"/>
  <c r="J170" i="1"/>
  <c r="B171" i="1"/>
  <c r="C171" i="1"/>
  <c r="D171" i="1"/>
  <c r="E171" i="1"/>
  <c r="F171" i="1"/>
  <c r="G171" i="1"/>
  <c r="H171" i="1"/>
  <c r="I171" i="1"/>
  <c r="J171" i="1"/>
  <c r="B172" i="1"/>
  <c r="C172" i="1"/>
  <c r="D172" i="1"/>
  <c r="E172" i="1"/>
  <c r="F172" i="1"/>
  <c r="G172" i="1"/>
  <c r="H172" i="1"/>
  <c r="I172" i="1"/>
  <c r="J172" i="1"/>
  <c r="B173" i="1"/>
  <c r="C173" i="1"/>
  <c r="D173" i="1"/>
  <c r="E173" i="1"/>
  <c r="F173" i="1"/>
  <c r="G173" i="1"/>
  <c r="H173" i="1"/>
  <c r="I173" i="1"/>
  <c r="J173" i="1"/>
  <c r="B174" i="1"/>
  <c r="C174" i="1"/>
  <c r="D174" i="1"/>
  <c r="E174" i="1"/>
  <c r="F174" i="1"/>
  <c r="G174" i="1"/>
  <c r="H174" i="1"/>
  <c r="I174" i="1"/>
  <c r="J174" i="1"/>
  <c r="B175" i="1"/>
  <c r="C175" i="1"/>
  <c r="D175" i="1"/>
  <c r="E175" i="1"/>
  <c r="F175" i="1"/>
  <c r="G175" i="1"/>
  <c r="H175" i="1"/>
  <c r="I175" i="1"/>
  <c r="J175" i="1"/>
  <c r="B176" i="1"/>
  <c r="C176" i="1"/>
  <c r="D176" i="1"/>
  <c r="E176" i="1"/>
  <c r="F176" i="1"/>
  <c r="G176" i="1"/>
  <c r="H176" i="1"/>
  <c r="I176" i="1"/>
  <c r="J176" i="1"/>
  <c r="B177" i="1"/>
  <c r="C177" i="1"/>
  <c r="D177" i="1"/>
  <c r="E177" i="1"/>
  <c r="F177" i="1"/>
  <c r="G177" i="1"/>
  <c r="H177" i="1"/>
  <c r="I177" i="1"/>
  <c r="J177" i="1"/>
  <c r="B178" i="1"/>
  <c r="C178" i="1"/>
  <c r="D178" i="1"/>
  <c r="E178" i="1"/>
  <c r="F178" i="1"/>
  <c r="G178" i="1"/>
  <c r="H178" i="1"/>
  <c r="I178" i="1"/>
  <c r="J178" i="1"/>
  <c r="B179" i="1"/>
  <c r="C179" i="1"/>
  <c r="D179" i="1"/>
  <c r="E179" i="1"/>
  <c r="F179" i="1"/>
  <c r="G179" i="1"/>
  <c r="H179" i="1"/>
  <c r="I179" i="1"/>
  <c r="J179" i="1"/>
  <c r="B180" i="1"/>
  <c r="C180" i="1"/>
  <c r="D180" i="1"/>
  <c r="E180" i="1"/>
  <c r="F180" i="1"/>
  <c r="G180" i="1"/>
  <c r="H180" i="1"/>
  <c r="I180" i="1"/>
  <c r="J180" i="1"/>
  <c r="B181" i="1"/>
  <c r="C181" i="1"/>
  <c r="D181" i="1"/>
  <c r="E181" i="1"/>
  <c r="F181" i="1"/>
  <c r="G181" i="1"/>
  <c r="H181" i="1"/>
  <c r="I181" i="1"/>
  <c r="J181" i="1"/>
  <c r="B182" i="1"/>
  <c r="C182" i="1"/>
  <c r="D182" i="1"/>
  <c r="E182" i="1"/>
  <c r="F182" i="1"/>
  <c r="G182" i="1"/>
  <c r="H182" i="1"/>
  <c r="I182" i="1"/>
  <c r="J182" i="1"/>
  <c r="B183" i="1"/>
  <c r="C183" i="1"/>
  <c r="D183" i="1"/>
  <c r="E183" i="1"/>
  <c r="F183" i="1"/>
  <c r="G183" i="1"/>
  <c r="H183" i="1"/>
  <c r="I183" i="1"/>
  <c r="J183" i="1"/>
  <c r="B184" i="1"/>
  <c r="C184" i="1"/>
  <c r="D184" i="1"/>
  <c r="E184" i="1"/>
  <c r="F184" i="1"/>
  <c r="G184" i="1"/>
  <c r="H184" i="1"/>
  <c r="I184" i="1"/>
  <c r="J184" i="1"/>
  <c r="B185" i="1"/>
  <c r="C185" i="1"/>
  <c r="D185" i="1"/>
  <c r="E185" i="1"/>
  <c r="F185" i="1"/>
  <c r="G185" i="1"/>
  <c r="H185" i="1"/>
  <c r="I185" i="1"/>
  <c r="J185" i="1"/>
  <c r="B186" i="1"/>
  <c r="C186" i="1"/>
  <c r="D186" i="1"/>
  <c r="E186" i="1"/>
  <c r="F186" i="1"/>
  <c r="G186" i="1"/>
  <c r="H186" i="1"/>
  <c r="I186" i="1"/>
  <c r="J186" i="1"/>
  <c r="B187" i="1"/>
  <c r="C187" i="1"/>
  <c r="D187" i="1"/>
  <c r="E187" i="1"/>
  <c r="F187" i="1"/>
  <c r="G187" i="1"/>
  <c r="H187" i="1"/>
  <c r="I187" i="1"/>
  <c r="J187" i="1"/>
  <c r="B188" i="1"/>
  <c r="C188" i="1"/>
  <c r="D188" i="1"/>
  <c r="E188" i="1"/>
  <c r="F188" i="1"/>
  <c r="G188" i="1"/>
  <c r="H188" i="1"/>
  <c r="I188" i="1"/>
  <c r="J188" i="1"/>
  <c r="B189" i="1"/>
  <c r="C189" i="1"/>
  <c r="D189" i="1"/>
  <c r="E189" i="1"/>
  <c r="F189" i="1"/>
  <c r="G189" i="1"/>
  <c r="H189" i="1"/>
  <c r="I189" i="1"/>
  <c r="J189" i="1"/>
  <c r="B190" i="1"/>
  <c r="C190" i="1"/>
  <c r="D190" i="1"/>
  <c r="E190" i="1"/>
  <c r="F190" i="1"/>
  <c r="G190" i="1"/>
  <c r="H190" i="1"/>
  <c r="I190" i="1"/>
  <c r="J190" i="1"/>
  <c r="B191" i="1"/>
  <c r="C191" i="1"/>
  <c r="D191" i="1"/>
  <c r="E191" i="1"/>
  <c r="F191" i="1"/>
  <c r="G191" i="1"/>
  <c r="H191" i="1"/>
  <c r="I191" i="1"/>
  <c r="J191" i="1"/>
  <c r="B192" i="1"/>
  <c r="C192" i="1"/>
  <c r="D192" i="1"/>
  <c r="E192" i="1"/>
  <c r="F192" i="1"/>
  <c r="G192" i="1"/>
  <c r="H192" i="1"/>
  <c r="I192" i="1"/>
  <c r="J192" i="1"/>
  <c r="B193" i="1"/>
  <c r="C193" i="1"/>
  <c r="D193" i="1"/>
  <c r="E193" i="1"/>
  <c r="F193" i="1"/>
  <c r="G193" i="1"/>
  <c r="H193" i="1"/>
  <c r="I193" i="1"/>
  <c r="J193" i="1"/>
  <c r="B194" i="1"/>
  <c r="C194" i="1"/>
  <c r="D194" i="1"/>
  <c r="E194" i="1"/>
  <c r="F194" i="1"/>
  <c r="G194" i="1"/>
  <c r="H194" i="1"/>
  <c r="I194" i="1"/>
  <c r="J194" i="1"/>
  <c r="B195" i="1"/>
  <c r="C195" i="1"/>
  <c r="D195" i="1"/>
  <c r="E195" i="1"/>
  <c r="F195" i="1"/>
  <c r="G195" i="1"/>
  <c r="H195" i="1"/>
  <c r="I195" i="1"/>
  <c r="J195" i="1"/>
  <c r="B196" i="1"/>
  <c r="C196" i="1"/>
  <c r="D196" i="1"/>
  <c r="E196" i="1"/>
  <c r="F196" i="1"/>
  <c r="G196" i="1"/>
  <c r="H196" i="1"/>
  <c r="I196" i="1"/>
  <c r="J196" i="1"/>
  <c r="B197" i="1"/>
  <c r="C197" i="1"/>
  <c r="D197" i="1"/>
  <c r="E197" i="1"/>
  <c r="F197" i="1"/>
  <c r="G197" i="1"/>
  <c r="H197" i="1"/>
  <c r="I197" i="1"/>
  <c r="J197" i="1"/>
  <c r="B198" i="1"/>
  <c r="C198" i="1"/>
  <c r="D198" i="1"/>
  <c r="E198" i="1"/>
  <c r="F198" i="1"/>
  <c r="G198" i="1"/>
  <c r="H198" i="1"/>
  <c r="I198" i="1"/>
  <c r="J198" i="1"/>
  <c r="B199" i="1"/>
  <c r="C199" i="1"/>
  <c r="D199" i="1"/>
  <c r="E199" i="1"/>
  <c r="F199" i="1"/>
  <c r="G199" i="1"/>
  <c r="H199" i="1"/>
  <c r="I199" i="1"/>
  <c r="J199" i="1"/>
  <c r="B200" i="1"/>
  <c r="C200" i="1"/>
  <c r="D200" i="1"/>
  <c r="E200" i="1"/>
  <c r="F200" i="1"/>
  <c r="G200" i="1"/>
  <c r="H200" i="1"/>
  <c r="I200" i="1"/>
  <c r="J200" i="1"/>
  <c r="B201" i="1"/>
  <c r="C201" i="1"/>
  <c r="D201" i="1"/>
  <c r="E201" i="1"/>
  <c r="F201" i="1"/>
  <c r="G201" i="1"/>
  <c r="H201" i="1"/>
  <c r="I201" i="1"/>
  <c r="J201" i="1"/>
  <c r="B202" i="1"/>
  <c r="C202" i="1"/>
  <c r="D202" i="1"/>
  <c r="E202" i="1"/>
  <c r="F202" i="1"/>
  <c r="G202" i="1"/>
  <c r="H202" i="1"/>
  <c r="I202" i="1"/>
  <c r="J202" i="1"/>
  <c r="B203" i="1"/>
  <c r="C203" i="1"/>
  <c r="D203" i="1"/>
  <c r="E203" i="1"/>
  <c r="F203" i="1"/>
  <c r="G203" i="1"/>
  <c r="H203" i="1"/>
  <c r="I203" i="1"/>
  <c r="J203" i="1"/>
  <c r="B204" i="1"/>
  <c r="C204" i="1"/>
  <c r="D204" i="1"/>
  <c r="E204" i="1"/>
  <c r="F204" i="1"/>
  <c r="G204" i="1"/>
  <c r="H204" i="1"/>
  <c r="I204" i="1"/>
  <c r="J204" i="1"/>
  <c r="B205" i="1"/>
  <c r="C205" i="1"/>
  <c r="D205" i="1"/>
  <c r="E205" i="1"/>
  <c r="F205" i="1"/>
  <c r="G205" i="1"/>
  <c r="H205" i="1"/>
  <c r="I205" i="1"/>
  <c r="J205" i="1"/>
  <c r="B206" i="1"/>
  <c r="C206" i="1"/>
  <c r="D206" i="1"/>
  <c r="E206" i="1"/>
  <c r="F206" i="1"/>
  <c r="G206" i="1"/>
  <c r="H206" i="1"/>
  <c r="I206" i="1"/>
  <c r="J206" i="1"/>
  <c r="B207" i="1"/>
  <c r="C207" i="1"/>
  <c r="D207" i="1"/>
  <c r="E207" i="1"/>
  <c r="F207" i="1"/>
  <c r="G207" i="1"/>
  <c r="H207" i="1"/>
  <c r="I207" i="1"/>
  <c r="J207" i="1"/>
  <c r="B208" i="1"/>
  <c r="C208" i="1"/>
  <c r="D208" i="1"/>
  <c r="E208" i="1"/>
  <c r="F208" i="1"/>
  <c r="G208" i="1"/>
  <c r="H208" i="1"/>
  <c r="I208" i="1"/>
  <c r="J208" i="1"/>
  <c r="B209" i="1"/>
  <c r="C209" i="1"/>
  <c r="D209" i="1"/>
  <c r="E209" i="1"/>
  <c r="F209" i="1"/>
  <c r="G209" i="1"/>
  <c r="H209" i="1"/>
  <c r="I209" i="1"/>
  <c r="J209" i="1"/>
  <c r="B210" i="1"/>
  <c r="C210" i="1"/>
  <c r="D210" i="1"/>
  <c r="E210" i="1"/>
  <c r="F210" i="1"/>
  <c r="G210" i="1"/>
  <c r="H210" i="1"/>
  <c r="I210" i="1"/>
  <c r="J210" i="1"/>
  <c r="B211" i="1"/>
  <c r="C211" i="1"/>
  <c r="D211" i="1"/>
  <c r="E211" i="1"/>
  <c r="F211" i="1"/>
  <c r="G211" i="1"/>
  <c r="H211" i="1"/>
  <c r="I211" i="1"/>
  <c r="J211" i="1"/>
  <c r="B212" i="1"/>
  <c r="C212" i="1"/>
  <c r="D212" i="1"/>
  <c r="E212" i="1"/>
  <c r="F212" i="1"/>
  <c r="G212" i="1"/>
  <c r="H212" i="1"/>
  <c r="I212" i="1"/>
  <c r="J212" i="1"/>
  <c r="B213" i="1"/>
  <c r="C213" i="1"/>
  <c r="D213" i="1"/>
  <c r="E213" i="1"/>
  <c r="F213" i="1"/>
  <c r="G213" i="1"/>
  <c r="H213" i="1"/>
  <c r="I213" i="1"/>
  <c r="J213" i="1"/>
  <c r="B214" i="1"/>
  <c r="C214" i="1"/>
  <c r="D214" i="1"/>
  <c r="E214" i="1"/>
  <c r="F214" i="1"/>
  <c r="G214" i="1"/>
  <c r="H214" i="1"/>
  <c r="I214" i="1"/>
  <c r="J214" i="1"/>
  <c r="B215" i="1"/>
  <c r="C215" i="1"/>
  <c r="D215" i="1"/>
  <c r="E215" i="1"/>
  <c r="F215" i="1"/>
  <c r="G215" i="1"/>
  <c r="H215" i="1"/>
  <c r="I215" i="1"/>
  <c r="J215" i="1"/>
  <c r="B216" i="1"/>
  <c r="C216" i="1"/>
  <c r="D216" i="1"/>
  <c r="E216" i="1"/>
  <c r="F216" i="1"/>
  <c r="G216" i="1"/>
  <c r="H216" i="1"/>
  <c r="I216" i="1"/>
  <c r="J216" i="1"/>
  <c r="B217" i="1"/>
  <c r="C217" i="1"/>
  <c r="D217" i="1"/>
  <c r="E217" i="1"/>
  <c r="F217" i="1"/>
  <c r="G217" i="1"/>
  <c r="H217" i="1"/>
  <c r="I217" i="1"/>
  <c r="J217" i="1"/>
  <c r="B218" i="1"/>
  <c r="C218" i="1"/>
  <c r="D218" i="1"/>
  <c r="E218" i="1"/>
  <c r="F218" i="1"/>
  <c r="G218" i="1"/>
  <c r="H218" i="1"/>
  <c r="I218" i="1"/>
  <c r="J218" i="1"/>
  <c r="B219" i="1"/>
  <c r="C219" i="1"/>
  <c r="D219" i="1"/>
  <c r="E219" i="1"/>
  <c r="F219" i="1"/>
  <c r="G219" i="1"/>
  <c r="H219" i="1"/>
  <c r="I219" i="1"/>
  <c r="J219" i="1"/>
  <c r="B220" i="1"/>
  <c r="C220" i="1"/>
  <c r="D220" i="1"/>
  <c r="E220" i="1"/>
  <c r="F220" i="1"/>
  <c r="G220" i="1"/>
  <c r="H220" i="1"/>
  <c r="I220" i="1"/>
  <c r="J220" i="1"/>
  <c r="B221" i="1"/>
  <c r="C221" i="1"/>
  <c r="D221" i="1"/>
  <c r="E221" i="1"/>
  <c r="F221" i="1"/>
  <c r="G221" i="1"/>
  <c r="H221" i="1"/>
  <c r="I221" i="1"/>
  <c r="J221" i="1"/>
  <c r="B222" i="1"/>
  <c r="C222" i="1"/>
  <c r="D222" i="1"/>
  <c r="E222" i="1"/>
  <c r="F222" i="1"/>
  <c r="G222" i="1"/>
  <c r="H222" i="1"/>
  <c r="I222" i="1"/>
  <c r="J222" i="1"/>
  <c r="B223" i="1"/>
  <c r="C223" i="1"/>
  <c r="D223" i="1"/>
  <c r="E223" i="1"/>
  <c r="F223" i="1"/>
  <c r="G223" i="1"/>
  <c r="H223" i="1"/>
  <c r="I223" i="1"/>
  <c r="J223" i="1"/>
  <c r="B224" i="1"/>
  <c r="C224" i="1"/>
  <c r="D224" i="1"/>
  <c r="E224" i="1"/>
  <c r="F224" i="1"/>
  <c r="G224" i="1"/>
  <c r="H224" i="1"/>
  <c r="I224" i="1"/>
  <c r="J224" i="1"/>
  <c r="B225" i="1"/>
  <c r="C225" i="1"/>
  <c r="D225" i="1"/>
  <c r="E225" i="1"/>
  <c r="F225" i="1"/>
  <c r="G225" i="1"/>
  <c r="H225" i="1"/>
  <c r="I225" i="1"/>
  <c r="J225" i="1"/>
  <c r="B226" i="1"/>
  <c r="C226" i="1"/>
  <c r="D226" i="1"/>
  <c r="E226" i="1"/>
  <c r="F226" i="1"/>
  <c r="G226" i="1"/>
  <c r="H226" i="1"/>
  <c r="I226" i="1"/>
  <c r="J226" i="1"/>
  <c r="B227" i="1"/>
  <c r="C227" i="1"/>
  <c r="D227" i="1"/>
  <c r="E227" i="1"/>
  <c r="F227" i="1"/>
  <c r="G227" i="1"/>
  <c r="H227" i="1"/>
  <c r="I227" i="1"/>
  <c r="J227" i="1"/>
  <c r="B228" i="1"/>
  <c r="C228" i="1"/>
  <c r="D228" i="1"/>
  <c r="E228" i="1"/>
  <c r="F228" i="1"/>
  <c r="G228" i="1"/>
  <c r="H228" i="1"/>
  <c r="I228" i="1"/>
  <c r="J228" i="1"/>
  <c r="B229" i="1"/>
  <c r="C229" i="1"/>
  <c r="D229" i="1"/>
  <c r="E229" i="1"/>
  <c r="F229" i="1"/>
  <c r="G229" i="1"/>
  <c r="H229" i="1"/>
  <c r="I229" i="1"/>
  <c r="J229" i="1"/>
  <c r="B230" i="1"/>
  <c r="C230" i="1"/>
  <c r="D230" i="1"/>
  <c r="E230" i="1"/>
  <c r="F230" i="1"/>
  <c r="G230" i="1"/>
  <c r="H230" i="1"/>
  <c r="I230" i="1"/>
  <c r="J230" i="1"/>
  <c r="B231" i="1"/>
  <c r="C231" i="1"/>
  <c r="D231" i="1"/>
  <c r="E231" i="1"/>
  <c r="F231" i="1"/>
  <c r="G231" i="1"/>
  <c r="H231" i="1"/>
  <c r="I231" i="1"/>
  <c r="J231" i="1"/>
  <c r="B232" i="1"/>
  <c r="C232" i="1"/>
  <c r="D232" i="1"/>
  <c r="E232" i="1"/>
  <c r="F232" i="1"/>
  <c r="G232" i="1"/>
  <c r="H232" i="1"/>
  <c r="I232" i="1"/>
  <c r="J232" i="1"/>
  <c r="B233" i="1"/>
  <c r="C233" i="1"/>
  <c r="D233" i="1"/>
  <c r="E233" i="1"/>
  <c r="F233" i="1"/>
  <c r="G233" i="1"/>
  <c r="H233" i="1"/>
  <c r="I233" i="1"/>
  <c r="J233" i="1"/>
  <c r="B234" i="1"/>
  <c r="C234" i="1"/>
  <c r="D234" i="1"/>
  <c r="E234" i="1"/>
  <c r="F234" i="1"/>
  <c r="G234" i="1"/>
  <c r="H234" i="1"/>
  <c r="I234" i="1"/>
  <c r="J234" i="1"/>
  <c r="B235" i="1"/>
  <c r="C235" i="1"/>
  <c r="D235" i="1"/>
  <c r="E235" i="1"/>
  <c r="F235" i="1"/>
  <c r="G235" i="1"/>
  <c r="H235" i="1"/>
  <c r="I235" i="1"/>
  <c r="J235" i="1"/>
  <c r="B236" i="1"/>
  <c r="C236" i="1"/>
  <c r="D236" i="1"/>
  <c r="E236" i="1"/>
  <c r="F236" i="1"/>
  <c r="G236" i="1"/>
  <c r="H236" i="1"/>
  <c r="I236" i="1"/>
  <c r="J236" i="1"/>
  <c r="B237" i="1"/>
  <c r="C237" i="1"/>
  <c r="D237" i="1"/>
  <c r="E237" i="1"/>
  <c r="F237" i="1"/>
  <c r="G237" i="1"/>
  <c r="H237" i="1"/>
  <c r="I237" i="1"/>
  <c r="J237" i="1"/>
  <c r="B238" i="1"/>
  <c r="C238" i="1"/>
  <c r="D238" i="1"/>
  <c r="E238" i="1"/>
  <c r="F238" i="1"/>
  <c r="G238" i="1"/>
  <c r="H238" i="1"/>
  <c r="I238" i="1"/>
  <c r="J238" i="1"/>
  <c r="B239" i="1"/>
  <c r="C239" i="1"/>
  <c r="D239" i="1"/>
  <c r="E239" i="1"/>
  <c r="F239" i="1"/>
  <c r="G239" i="1"/>
  <c r="H239" i="1"/>
  <c r="I239" i="1"/>
  <c r="J239" i="1"/>
  <c r="B240" i="1"/>
  <c r="C240" i="1"/>
  <c r="D240" i="1"/>
  <c r="E240" i="1"/>
  <c r="F240" i="1"/>
  <c r="G240" i="1"/>
  <c r="H240" i="1"/>
  <c r="I240" i="1"/>
  <c r="J240" i="1"/>
  <c r="B241" i="1"/>
  <c r="C241" i="1"/>
  <c r="D241" i="1"/>
  <c r="E241" i="1"/>
  <c r="F241" i="1"/>
  <c r="G241" i="1"/>
  <c r="H241" i="1"/>
  <c r="I241" i="1"/>
  <c r="J241" i="1"/>
  <c r="B242" i="1"/>
  <c r="C242" i="1"/>
  <c r="D242" i="1"/>
  <c r="E242" i="1"/>
  <c r="F242" i="1"/>
  <c r="G242" i="1"/>
  <c r="H242" i="1"/>
  <c r="I242" i="1"/>
  <c r="J242" i="1"/>
  <c r="B243" i="1"/>
  <c r="C243" i="1"/>
  <c r="D243" i="1"/>
  <c r="E243" i="1"/>
  <c r="F243" i="1"/>
  <c r="G243" i="1"/>
  <c r="H243" i="1"/>
  <c r="I243" i="1"/>
  <c r="J243" i="1"/>
  <c r="B244" i="1"/>
  <c r="C244" i="1"/>
  <c r="D244" i="1"/>
  <c r="E244" i="1"/>
  <c r="F244" i="1"/>
  <c r="G244" i="1"/>
  <c r="H244" i="1"/>
  <c r="I244" i="1"/>
  <c r="J244" i="1"/>
  <c r="B245" i="1"/>
  <c r="C245" i="1"/>
  <c r="D245" i="1"/>
  <c r="E245" i="1"/>
  <c r="F245" i="1"/>
  <c r="G245" i="1"/>
  <c r="H245" i="1"/>
  <c r="I245" i="1"/>
  <c r="J245" i="1"/>
  <c r="B246" i="1"/>
  <c r="C246" i="1"/>
  <c r="D246" i="1"/>
  <c r="E246" i="1"/>
  <c r="F246" i="1"/>
  <c r="G246" i="1"/>
  <c r="H246" i="1"/>
  <c r="I246" i="1"/>
  <c r="J246" i="1"/>
  <c r="B247" i="1"/>
  <c r="C247" i="1"/>
  <c r="D247" i="1"/>
  <c r="E247" i="1"/>
  <c r="F247" i="1"/>
  <c r="G247" i="1"/>
  <c r="H247" i="1"/>
  <c r="I247" i="1"/>
  <c r="J247" i="1"/>
  <c r="B248" i="1"/>
  <c r="C248" i="1"/>
  <c r="D248" i="1"/>
  <c r="E248" i="1"/>
  <c r="F248" i="1"/>
  <c r="G248" i="1"/>
  <c r="H248" i="1"/>
  <c r="I248" i="1"/>
  <c r="J248" i="1"/>
  <c r="B249" i="1"/>
  <c r="C249" i="1"/>
  <c r="D249" i="1"/>
  <c r="E249" i="1"/>
  <c r="F249" i="1"/>
  <c r="G249" i="1"/>
  <c r="H249" i="1"/>
  <c r="I249" i="1"/>
  <c r="J249" i="1"/>
  <c r="B250" i="1"/>
  <c r="C250" i="1"/>
  <c r="D250" i="1"/>
  <c r="E250" i="1"/>
  <c r="F250" i="1"/>
  <c r="G250" i="1"/>
  <c r="H250" i="1"/>
  <c r="I250" i="1"/>
  <c r="J250" i="1"/>
  <c r="B251" i="1"/>
  <c r="C251" i="1"/>
  <c r="D251" i="1"/>
  <c r="E251" i="1"/>
  <c r="F251" i="1"/>
  <c r="G251" i="1"/>
  <c r="H251" i="1"/>
  <c r="I251" i="1"/>
  <c r="J251" i="1"/>
  <c r="B252" i="1"/>
  <c r="C252" i="1"/>
  <c r="D252" i="1"/>
  <c r="E252" i="1"/>
  <c r="F252" i="1"/>
  <c r="G252" i="1"/>
  <c r="H252" i="1"/>
  <c r="I252" i="1"/>
  <c r="J252" i="1"/>
  <c r="B253" i="1"/>
  <c r="C253" i="1"/>
  <c r="D253" i="1"/>
  <c r="E253" i="1"/>
  <c r="F253" i="1"/>
  <c r="G253" i="1"/>
  <c r="H253" i="1"/>
  <c r="I253" i="1"/>
  <c r="J253" i="1"/>
  <c r="B254" i="1"/>
  <c r="C254" i="1"/>
  <c r="D254" i="1"/>
  <c r="E254" i="1"/>
  <c r="F254" i="1"/>
  <c r="G254" i="1"/>
  <c r="H254" i="1"/>
  <c r="I254" i="1"/>
  <c r="J254" i="1"/>
  <c r="B255" i="1"/>
  <c r="C255" i="1"/>
  <c r="D255" i="1"/>
  <c r="E255" i="1"/>
  <c r="F255" i="1"/>
  <c r="G255" i="1"/>
  <c r="H255" i="1"/>
  <c r="I255" i="1"/>
  <c r="J255" i="1"/>
  <c r="B256" i="1"/>
  <c r="C256" i="1"/>
  <c r="D256" i="1"/>
  <c r="E256" i="1"/>
  <c r="F256" i="1"/>
  <c r="G256" i="1"/>
  <c r="H256" i="1"/>
  <c r="I256" i="1"/>
  <c r="J256" i="1"/>
  <c r="B257" i="1"/>
  <c r="C257" i="1"/>
  <c r="D257" i="1"/>
  <c r="E257" i="1"/>
  <c r="F257" i="1"/>
  <c r="G257" i="1"/>
  <c r="H257" i="1"/>
  <c r="I257" i="1"/>
  <c r="J257" i="1"/>
  <c r="B258" i="1"/>
  <c r="C258" i="1"/>
  <c r="D258" i="1"/>
  <c r="E258" i="1"/>
  <c r="F258" i="1"/>
  <c r="G258" i="1"/>
  <c r="H258" i="1"/>
  <c r="I258" i="1"/>
  <c r="J258" i="1"/>
  <c r="B259" i="1"/>
  <c r="C259" i="1"/>
  <c r="D259" i="1"/>
  <c r="E259" i="1"/>
  <c r="F259" i="1"/>
  <c r="G259" i="1"/>
  <c r="H259" i="1"/>
  <c r="I259" i="1"/>
  <c r="J259" i="1"/>
  <c r="B260" i="1"/>
  <c r="C260" i="1"/>
  <c r="D260" i="1"/>
  <c r="E260" i="1"/>
  <c r="F260" i="1"/>
  <c r="G260" i="1"/>
  <c r="H260" i="1"/>
  <c r="I260" i="1"/>
  <c r="J260" i="1"/>
  <c r="B261" i="1"/>
  <c r="C261" i="1"/>
  <c r="D261" i="1"/>
  <c r="E261" i="1"/>
  <c r="F261" i="1"/>
  <c r="G261" i="1"/>
  <c r="H261" i="1"/>
  <c r="I261" i="1"/>
  <c r="J261" i="1"/>
  <c r="B262" i="1"/>
  <c r="C262" i="1"/>
  <c r="D262" i="1"/>
  <c r="E262" i="1"/>
  <c r="F262" i="1"/>
  <c r="G262" i="1"/>
  <c r="H262" i="1"/>
  <c r="I262" i="1"/>
  <c r="J262" i="1"/>
  <c r="B263" i="1"/>
  <c r="C263" i="1"/>
  <c r="D263" i="1"/>
  <c r="E263" i="1"/>
  <c r="F263" i="1"/>
  <c r="G263" i="1"/>
  <c r="H263" i="1"/>
  <c r="I263" i="1"/>
  <c r="J263" i="1"/>
  <c r="B264" i="1"/>
  <c r="C264" i="1"/>
  <c r="D264" i="1"/>
  <c r="E264" i="1"/>
  <c r="F264" i="1"/>
  <c r="G264" i="1"/>
  <c r="H264" i="1"/>
  <c r="I264" i="1"/>
  <c r="J264" i="1"/>
  <c r="B265" i="1"/>
  <c r="C265" i="1"/>
  <c r="D265" i="1"/>
  <c r="E265" i="1"/>
  <c r="F265" i="1"/>
  <c r="G265" i="1"/>
  <c r="H265" i="1"/>
  <c r="I265" i="1"/>
  <c r="J265" i="1"/>
  <c r="B266" i="1"/>
  <c r="C266" i="1"/>
  <c r="D266" i="1"/>
  <c r="E266" i="1"/>
  <c r="F266" i="1"/>
  <c r="G266" i="1"/>
  <c r="H266" i="1"/>
  <c r="I266" i="1"/>
  <c r="J266" i="1"/>
  <c r="B267" i="1"/>
  <c r="C267" i="1"/>
  <c r="D267" i="1"/>
  <c r="E267" i="1"/>
  <c r="F267" i="1"/>
  <c r="G267" i="1"/>
  <c r="H267" i="1"/>
  <c r="I267" i="1"/>
  <c r="J267" i="1"/>
  <c r="B268" i="1"/>
  <c r="C268" i="1"/>
  <c r="D268" i="1"/>
  <c r="E268" i="1"/>
  <c r="F268" i="1"/>
  <c r="G268" i="1"/>
  <c r="H268" i="1"/>
  <c r="I268" i="1"/>
  <c r="J268" i="1"/>
  <c r="B269" i="1"/>
  <c r="C269" i="1"/>
  <c r="D269" i="1"/>
  <c r="E269" i="1"/>
  <c r="F269" i="1"/>
  <c r="G269" i="1"/>
  <c r="H269" i="1"/>
  <c r="I269" i="1"/>
  <c r="J269" i="1"/>
  <c r="B270" i="1"/>
  <c r="C270" i="1"/>
  <c r="D270" i="1"/>
  <c r="E270" i="1"/>
  <c r="F270" i="1"/>
  <c r="G270" i="1"/>
  <c r="H270" i="1"/>
  <c r="I270" i="1"/>
  <c r="J270" i="1"/>
  <c r="B271" i="1"/>
  <c r="C271" i="1"/>
  <c r="D271" i="1"/>
  <c r="E271" i="1"/>
  <c r="F271" i="1"/>
  <c r="G271" i="1"/>
  <c r="H271" i="1"/>
  <c r="I271" i="1"/>
  <c r="J271" i="1"/>
  <c r="B272" i="1"/>
  <c r="C272" i="1"/>
  <c r="D272" i="1"/>
  <c r="E272" i="1"/>
  <c r="F272" i="1"/>
  <c r="G272" i="1"/>
  <c r="H272" i="1"/>
  <c r="I272" i="1"/>
  <c r="J272" i="1"/>
  <c r="B273" i="1"/>
  <c r="C273" i="1"/>
  <c r="D273" i="1"/>
  <c r="E273" i="1"/>
  <c r="F273" i="1"/>
  <c r="G273" i="1"/>
  <c r="H273" i="1"/>
  <c r="I273" i="1"/>
  <c r="J273" i="1"/>
  <c r="B274" i="1"/>
  <c r="C274" i="1"/>
  <c r="D274" i="1"/>
  <c r="E274" i="1"/>
  <c r="F274" i="1"/>
  <c r="G274" i="1"/>
  <c r="H274" i="1"/>
  <c r="I274" i="1"/>
  <c r="J274" i="1"/>
  <c r="B275" i="1"/>
  <c r="C275" i="1"/>
  <c r="D275" i="1"/>
  <c r="E275" i="1"/>
  <c r="F275" i="1"/>
  <c r="G275" i="1"/>
  <c r="H275" i="1"/>
  <c r="I275" i="1"/>
  <c r="J275" i="1"/>
  <c r="B276" i="1"/>
  <c r="C276" i="1"/>
  <c r="D276" i="1"/>
  <c r="E276" i="1"/>
  <c r="F276" i="1"/>
  <c r="G276" i="1"/>
  <c r="H276" i="1"/>
  <c r="I276" i="1"/>
  <c r="J276" i="1"/>
  <c r="B277" i="1"/>
  <c r="C277" i="1"/>
  <c r="D277" i="1"/>
  <c r="E277" i="1"/>
  <c r="F277" i="1"/>
  <c r="G277" i="1"/>
  <c r="H277" i="1"/>
  <c r="I277" i="1"/>
  <c r="J277" i="1"/>
  <c r="B278" i="1"/>
  <c r="C278" i="1"/>
  <c r="D278" i="1"/>
  <c r="E278" i="1"/>
  <c r="F278" i="1"/>
  <c r="G278" i="1"/>
  <c r="H278" i="1"/>
  <c r="I278" i="1"/>
  <c r="J278" i="1"/>
  <c r="B279" i="1"/>
  <c r="C279" i="1"/>
  <c r="D279" i="1"/>
  <c r="E279" i="1"/>
  <c r="F279" i="1"/>
  <c r="G279" i="1"/>
  <c r="H279" i="1"/>
  <c r="I279" i="1"/>
  <c r="J279" i="1"/>
  <c r="B280" i="1"/>
  <c r="C280" i="1"/>
  <c r="D280" i="1"/>
  <c r="E280" i="1"/>
  <c r="F280" i="1"/>
  <c r="G280" i="1"/>
  <c r="H280" i="1"/>
  <c r="I280" i="1"/>
  <c r="J280" i="1"/>
  <c r="B281" i="1"/>
  <c r="C281" i="1"/>
  <c r="D281" i="1"/>
  <c r="E281" i="1"/>
  <c r="F281" i="1"/>
  <c r="G281" i="1"/>
  <c r="H281" i="1"/>
  <c r="I281" i="1"/>
  <c r="J281" i="1"/>
  <c r="B282" i="1"/>
  <c r="C282" i="1"/>
  <c r="D282" i="1"/>
  <c r="E282" i="1"/>
  <c r="F282" i="1"/>
  <c r="G282" i="1"/>
  <c r="H282" i="1"/>
  <c r="I282" i="1"/>
  <c r="J282" i="1"/>
  <c r="B283" i="1"/>
  <c r="C283" i="1"/>
  <c r="D283" i="1"/>
  <c r="E283" i="1"/>
  <c r="F283" i="1"/>
  <c r="G283" i="1"/>
  <c r="H283" i="1"/>
  <c r="I283" i="1"/>
  <c r="J283" i="1"/>
  <c r="B284" i="1"/>
  <c r="C284" i="1"/>
  <c r="D284" i="1"/>
  <c r="E284" i="1"/>
  <c r="F284" i="1"/>
  <c r="G284" i="1"/>
  <c r="H284" i="1"/>
  <c r="I284" i="1"/>
  <c r="J284" i="1"/>
  <c r="B285" i="1"/>
  <c r="C285" i="1"/>
  <c r="D285" i="1"/>
  <c r="E285" i="1"/>
  <c r="F285" i="1"/>
  <c r="G285" i="1"/>
  <c r="H285" i="1"/>
  <c r="I285" i="1"/>
  <c r="J285" i="1"/>
  <c r="B286" i="1"/>
  <c r="C286" i="1"/>
  <c r="D286" i="1"/>
  <c r="E286" i="1"/>
  <c r="F286" i="1"/>
  <c r="G286" i="1"/>
  <c r="H286" i="1"/>
  <c r="I286" i="1"/>
  <c r="J286" i="1"/>
  <c r="B287" i="1"/>
  <c r="C287" i="1"/>
  <c r="D287" i="1"/>
  <c r="E287" i="1"/>
  <c r="F287" i="1"/>
  <c r="G287" i="1"/>
  <c r="H287" i="1"/>
  <c r="I287" i="1"/>
  <c r="J287" i="1"/>
  <c r="B288" i="1"/>
  <c r="C288" i="1"/>
  <c r="D288" i="1"/>
  <c r="E288" i="1"/>
  <c r="F288" i="1"/>
  <c r="G288" i="1"/>
  <c r="H288" i="1"/>
  <c r="I288" i="1"/>
  <c r="J288" i="1"/>
  <c r="B289" i="1"/>
  <c r="C289" i="1"/>
  <c r="D289" i="1"/>
  <c r="E289" i="1"/>
  <c r="F289" i="1"/>
  <c r="G289" i="1"/>
  <c r="H289" i="1"/>
  <c r="I289" i="1"/>
  <c r="J289" i="1"/>
  <c r="B290" i="1"/>
  <c r="C290" i="1"/>
  <c r="D290" i="1"/>
  <c r="E290" i="1"/>
  <c r="F290" i="1"/>
  <c r="G290" i="1"/>
  <c r="H290" i="1"/>
  <c r="I290" i="1"/>
  <c r="J290" i="1"/>
  <c r="B291" i="1"/>
  <c r="C291" i="1"/>
  <c r="D291" i="1"/>
  <c r="E291" i="1"/>
  <c r="F291" i="1"/>
  <c r="G291" i="1"/>
  <c r="H291" i="1"/>
  <c r="I291" i="1"/>
  <c r="J291" i="1"/>
  <c r="B292" i="1"/>
  <c r="C292" i="1"/>
  <c r="D292" i="1"/>
  <c r="E292" i="1"/>
  <c r="F292" i="1"/>
  <c r="G292" i="1"/>
  <c r="H292" i="1"/>
  <c r="I292" i="1"/>
  <c r="J292" i="1"/>
  <c r="B293" i="1"/>
  <c r="C293" i="1"/>
  <c r="D293" i="1"/>
  <c r="E293" i="1"/>
  <c r="F293" i="1"/>
  <c r="G293" i="1"/>
  <c r="H293" i="1"/>
  <c r="I293" i="1"/>
  <c r="J293" i="1"/>
  <c r="B294" i="1"/>
  <c r="C294" i="1"/>
  <c r="D294" i="1"/>
  <c r="E294" i="1"/>
  <c r="F294" i="1"/>
  <c r="G294" i="1"/>
  <c r="H294" i="1"/>
  <c r="I294" i="1"/>
  <c r="J294" i="1"/>
  <c r="B295" i="1"/>
  <c r="C295" i="1"/>
  <c r="D295" i="1"/>
  <c r="E295" i="1"/>
  <c r="F295" i="1"/>
  <c r="G295" i="1"/>
  <c r="H295" i="1"/>
  <c r="I295" i="1"/>
  <c r="J295" i="1"/>
  <c r="B296" i="1"/>
  <c r="C296" i="1"/>
  <c r="D296" i="1"/>
  <c r="E296" i="1"/>
  <c r="F296" i="1"/>
  <c r="G296" i="1"/>
  <c r="H296" i="1"/>
  <c r="I296" i="1"/>
  <c r="J296" i="1"/>
  <c r="B297" i="1"/>
  <c r="C297" i="1"/>
  <c r="D297" i="1"/>
  <c r="E297" i="1"/>
  <c r="F297" i="1"/>
  <c r="G297" i="1"/>
  <c r="H297" i="1"/>
  <c r="I297" i="1"/>
  <c r="J297" i="1"/>
  <c r="B298" i="1"/>
  <c r="C298" i="1"/>
  <c r="D298" i="1"/>
  <c r="E298" i="1"/>
  <c r="F298" i="1"/>
  <c r="G298" i="1"/>
  <c r="H298" i="1"/>
  <c r="I298" i="1"/>
  <c r="J298" i="1"/>
  <c r="B299" i="1"/>
  <c r="C299" i="1"/>
  <c r="D299" i="1"/>
  <c r="E299" i="1"/>
  <c r="F299" i="1"/>
  <c r="G299" i="1"/>
  <c r="H299" i="1"/>
  <c r="I299" i="1"/>
  <c r="J299" i="1"/>
  <c r="B300" i="1"/>
  <c r="C300" i="1"/>
  <c r="D300" i="1"/>
  <c r="E300" i="1"/>
  <c r="F300" i="1"/>
  <c r="G300" i="1"/>
  <c r="H300" i="1"/>
  <c r="I300" i="1"/>
  <c r="J300" i="1"/>
  <c r="B301" i="1"/>
  <c r="C301" i="1"/>
  <c r="D301" i="1"/>
  <c r="E301" i="1"/>
  <c r="F301" i="1"/>
  <c r="G301" i="1"/>
  <c r="H301" i="1"/>
  <c r="I301" i="1"/>
  <c r="J301" i="1"/>
  <c r="B302" i="1"/>
  <c r="C302" i="1"/>
  <c r="D302" i="1"/>
  <c r="E302" i="1"/>
  <c r="F302" i="1"/>
  <c r="G302" i="1"/>
  <c r="H302" i="1"/>
  <c r="I302" i="1"/>
  <c r="J302" i="1"/>
  <c r="B303" i="1"/>
  <c r="C303" i="1"/>
  <c r="D303" i="1"/>
  <c r="E303" i="1"/>
  <c r="F303" i="1"/>
  <c r="G303" i="1"/>
  <c r="H303" i="1"/>
  <c r="I303" i="1"/>
  <c r="J303" i="1"/>
  <c r="B304" i="1"/>
  <c r="C304" i="1"/>
  <c r="D304" i="1"/>
  <c r="E304" i="1"/>
  <c r="F304" i="1"/>
  <c r="G304" i="1"/>
  <c r="H304" i="1"/>
  <c r="I304" i="1"/>
  <c r="J304" i="1"/>
  <c r="B305" i="1"/>
  <c r="C305" i="1"/>
  <c r="D305" i="1"/>
  <c r="E305" i="1"/>
  <c r="F305" i="1"/>
  <c r="G305" i="1"/>
  <c r="H305" i="1"/>
  <c r="I305" i="1"/>
  <c r="J305" i="1"/>
  <c r="B306" i="1"/>
  <c r="C306" i="1"/>
  <c r="D306" i="1"/>
  <c r="E306" i="1"/>
  <c r="F306" i="1"/>
  <c r="G306" i="1"/>
  <c r="H306" i="1"/>
  <c r="I306" i="1"/>
  <c r="J306" i="1"/>
  <c r="B307" i="1"/>
  <c r="C307" i="1"/>
  <c r="D307" i="1"/>
  <c r="E307" i="1"/>
  <c r="F307" i="1"/>
  <c r="G307" i="1"/>
  <c r="H307" i="1"/>
  <c r="I307" i="1"/>
  <c r="J307" i="1"/>
  <c r="B308" i="1"/>
  <c r="C308" i="1"/>
  <c r="D308" i="1"/>
  <c r="E308" i="1"/>
  <c r="F308" i="1"/>
  <c r="G308" i="1"/>
  <c r="H308" i="1"/>
  <c r="I308" i="1"/>
  <c r="J308" i="1"/>
  <c r="B309" i="1"/>
  <c r="C309" i="1"/>
  <c r="D309" i="1"/>
  <c r="E309" i="1"/>
  <c r="F309" i="1"/>
  <c r="G309" i="1"/>
  <c r="H309" i="1"/>
  <c r="I309" i="1"/>
  <c r="J309" i="1"/>
  <c r="B310" i="1"/>
  <c r="C310" i="1"/>
  <c r="D310" i="1"/>
  <c r="E310" i="1"/>
  <c r="F310" i="1"/>
  <c r="G310" i="1"/>
  <c r="H310" i="1"/>
  <c r="I310" i="1"/>
  <c r="J310" i="1"/>
  <c r="B311" i="1"/>
  <c r="C311" i="1"/>
  <c r="D311" i="1"/>
  <c r="E311" i="1"/>
  <c r="F311" i="1"/>
  <c r="G311" i="1"/>
  <c r="H311" i="1"/>
  <c r="I311" i="1"/>
  <c r="J311" i="1"/>
  <c r="B312" i="1"/>
  <c r="C312" i="1"/>
  <c r="D312" i="1"/>
  <c r="E312" i="1"/>
  <c r="F312" i="1"/>
  <c r="G312" i="1"/>
  <c r="H312" i="1"/>
  <c r="I312" i="1"/>
  <c r="J312" i="1"/>
  <c r="B313" i="1"/>
  <c r="C313" i="1"/>
  <c r="D313" i="1"/>
  <c r="E313" i="1"/>
  <c r="F313" i="1"/>
  <c r="G313" i="1"/>
  <c r="H313" i="1"/>
  <c r="I313" i="1"/>
  <c r="J313" i="1"/>
  <c r="B314" i="1"/>
  <c r="C314" i="1"/>
  <c r="D314" i="1"/>
  <c r="E314" i="1"/>
  <c r="F314" i="1"/>
  <c r="G314" i="1"/>
  <c r="H314" i="1"/>
  <c r="I314" i="1"/>
  <c r="J314" i="1"/>
  <c r="B315" i="1"/>
  <c r="C315" i="1"/>
  <c r="D315" i="1"/>
  <c r="E315" i="1"/>
  <c r="F315" i="1"/>
  <c r="G315" i="1"/>
  <c r="H315" i="1"/>
  <c r="I315" i="1"/>
  <c r="J315" i="1"/>
  <c r="B316" i="1"/>
  <c r="C316" i="1"/>
  <c r="D316" i="1"/>
  <c r="E316" i="1"/>
  <c r="F316" i="1"/>
  <c r="G316" i="1"/>
  <c r="H316" i="1"/>
  <c r="I316" i="1"/>
  <c r="J316" i="1"/>
  <c r="B317" i="1"/>
  <c r="C317" i="1"/>
  <c r="D317" i="1"/>
  <c r="E317" i="1"/>
  <c r="F317" i="1"/>
  <c r="G317" i="1"/>
  <c r="H317" i="1"/>
  <c r="I317" i="1"/>
  <c r="J317" i="1"/>
  <c r="B318" i="1"/>
  <c r="C318" i="1"/>
  <c r="D318" i="1"/>
  <c r="E318" i="1"/>
  <c r="F318" i="1"/>
  <c r="G318" i="1"/>
  <c r="H318" i="1"/>
  <c r="I318" i="1"/>
  <c r="J318" i="1"/>
  <c r="B319" i="1"/>
  <c r="C319" i="1"/>
  <c r="D319" i="1"/>
  <c r="E319" i="1"/>
  <c r="F319" i="1"/>
  <c r="G319" i="1"/>
  <c r="H319" i="1"/>
  <c r="I319" i="1"/>
  <c r="J319" i="1"/>
  <c r="B320" i="1"/>
  <c r="C320" i="1"/>
  <c r="D320" i="1"/>
  <c r="E320" i="1"/>
  <c r="F320" i="1"/>
  <c r="G320" i="1"/>
  <c r="H320" i="1"/>
  <c r="I320" i="1"/>
  <c r="J320" i="1"/>
  <c r="B321" i="1"/>
  <c r="C321" i="1"/>
  <c r="D321" i="1"/>
  <c r="E321" i="1"/>
  <c r="F321" i="1"/>
  <c r="G321" i="1"/>
  <c r="H321" i="1"/>
  <c r="I321" i="1"/>
  <c r="J321" i="1"/>
  <c r="B322" i="1"/>
  <c r="C322" i="1"/>
  <c r="D322" i="1"/>
  <c r="E322" i="1"/>
  <c r="F322" i="1"/>
  <c r="G322" i="1"/>
  <c r="H322" i="1"/>
  <c r="I322" i="1"/>
  <c r="J322" i="1"/>
  <c r="B323" i="1"/>
  <c r="C323" i="1"/>
  <c r="D323" i="1"/>
  <c r="E323" i="1"/>
  <c r="F323" i="1"/>
  <c r="G323" i="1"/>
  <c r="H323" i="1"/>
  <c r="I323" i="1"/>
  <c r="J323" i="1"/>
  <c r="B324" i="1"/>
  <c r="C324" i="1"/>
  <c r="D324" i="1"/>
  <c r="E324" i="1"/>
  <c r="F324" i="1"/>
  <c r="G324" i="1"/>
  <c r="H324" i="1"/>
  <c r="I324" i="1"/>
  <c r="J324" i="1"/>
  <c r="B325" i="1"/>
  <c r="C325" i="1"/>
  <c r="D325" i="1"/>
  <c r="E325" i="1"/>
  <c r="F325" i="1"/>
  <c r="G325" i="1"/>
  <c r="H325" i="1"/>
  <c r="I325" i="1"/>
  <c r="J325" i="1"/>
  <c r="B326" i="1"/>
  <c r="C326" i="1"/>
  <c r="D326" i="1"/>
  <c r="E326" i="1"/>
  <c r="F326" i="1"/>
  <c r="G326" i="1"/>
  <c r="H326" i="1"/>
  <c r="I326" i="1"/>
  <c r="J326" i="1"/>
  <c r="B327" i="1"/>
  <c r="C327" i="1"/>
  <c r="D327" i="1"/>
  <c r="E327" i="1"/>
  <c r="F327" i="1"/>
  <c r="G327" i="1"/>
  <c r="H327" i="1"/>
  <c r="I327" i="1"/>
  <c r="J327" i="1"/>
  <c r="B328" i="1"/>
  <c r="C328" i="1"/>
  <c r="D328" i="1"/>
  <c r="E328" i="1"/>
  <c r="F328" i="1"/>
  <c r="G328" i="1"/>
  <c r="H328" i="1"/>
  <c r="I328" i="1"/>
  <c r="J328" i="1"/>
  <c r="B329" i="1"/>
  <c r="C329" i="1"/>
  <c r="D329" i="1"/>
  <c r="E329" i="1"/>
  <c r="F329" i="1"/>
  <c r="G329" i="1"/>
  <c r="H329" i="1"/>
  <c r="I329" i="1"/>
  <c r="J329" i="1"/>
  <c r="B330" i="1"/>
  <c r="C330" i="1"/>
  <c r="D330" i="1"/>
  <c r="E330" i="1"/>
  <c r="F330" i="1"/>
  <c r="G330" i="1"/>
  <c r="H330" i="1"/>
  <c r="I330" i="1"/>
  <c r="J330" i="1"/>
  <c r="B331" i="1"/>
  <c r="C331" i="1"/>
  <c r="D331" i="1"/>
  <c r="E331" i="1"/>
  <c r="F331" i="1"/>
  <c r="G331" i="1"/>
  <c r="H331" i="1"/>
  <c r="I331" i="1"/>
  <c r="J331" i="1"/>
  <c r="B332" i="1"/>
  <c r="C332" i="1"/>
  <c r="D332" i="1"/>
  <c r="E332" i="1"/>
  <c r="F332" i="1"/>
  <c r="G332" i="1"/>
  <c r="H332" i="1"/>
  <c r="I332" i="1"/>
  <c r="J332" i="1"/>
  <c r="B333" i="1"/>
  <c r="C333" i="1"/>
  <c r="D333" i="1"/>
  <c r="E333" i="1"/>
  <c r="F333" i="1"/>
  <c r="G333" i="1"/>
  <c r="H333" i="1"/>
  <c r="I333" i="1"/>
  <c r="J333" i="1"/>
  <c r="B334" i="1"/>
  <c r="C334" i="1"/>
  <c r="D334" i="1"/>
  <c r="E334" i="1"/>
  <c r="F334" i="1"/>
  <c r="G334" i="1"/>
  <c r="H334" i="1"/>
  <c r="I334" i="1"/>
  <c r="J334" i="1"/>
  <c r="B335" i="1"/>
  <c r="C335" i="1"/>
  <c r="D335" i="1"/>
  <c r="E335" i="1"/>
  <c r="F335" i="1"/>
  <c r="G335" i="1"/>
  <c r="H335" i="1"/>
  <c r="I335" i="1"/>
  <c r="J335" i="1"/>
  <c r="B336" i="1"/>
  <c r="C336" i="1"/>
  <c r="D336" i="1"/>
  <c r="E336" i="1"/>
  <c r="F336" i="1"/>
  <c r="G336" i="1"/>
  <c r="H336" i="1"/>
  <c r="I336" i="1"/>
  <c r="J336" i="1"/>
  <c r="B337" i="1"/>
  <c r="C337" i="1"/>
  <c r="D337" i="1"/>
  <c r="E337" i="1"/>
  <c r="F337" i="1"/>
  <c r="G337" i="1"/>
  <c r="H337" i="1"/>
  <c r="I337" i="1"/>
  <c r="J337" i="1"/>
  <c r="B338" i="1"/>
  <c r="C338" i="1"/>
  <c r="D338" i="1"/>
  <c r="E338" i="1"/>
  <c r="F338" i="1"/>
  <c r="G338" i="1"/>
  <c r="H338" i="1"/>
  <c r="I338" i="1"/>
  <c r="J338" i="1"/>
  <c r="B339" i="1"/>
  <c r="C339" i="1"/>
  <c r="D339" i="1"/>
  <c r="E339" i="1"/>
  <c r="F339" i="1"/>
  <c r="G339" i="1"/>
  <c r="H339" i="1"/>
  <c r="I339" i="1"/>
  <c r="J339" i="1"/>
  <c r="B340" i="1"/>
  <c r="C340" i="1"/>
  <c r="D340" i="1"/>
  <c r="E340" i="1"/>
  <c r="F340" i="1"/>
  <c r="G340" i="1"/>
  <c r="H340" i="1"/>
  <c r="I340" i="1"/>
  <c r="J340" i="1"/>
  <c r="B341" i="1"/>
  <c r="C341" i="1"/>
  <c r="D341" i="1"/>
  <c r="E341" i="1"/>
  <c r="F341" i="1"/>
  <c r="G341" i="1"/>
  <c r="H341" i="1"/>
  <c r="I341" i="1"/>
  <c r="J341" i="1"/>
  <c r="B342" i="1"/>
  <c r="C342" i="1"/>
  <c r="D342" i="1"/>
  <c r="E342" i="1"/>
  <c r="F342" i="1"/>
  <c r="G342" i="1"/>
  <c r="H342" i="1"/>
  <c r="I342" i="1"/>
  <c r="J342" i="1"/>
  <c r="B343" i="1"/>
  <c r="C343" i="1"/>
  <c r="D343" i="1"/>
  <c r="E343" i="1"/>
  <c r="F343" i="1"/>
  <c r="G343" i="1"/>
  <c r="H343" i="1"/>
  <c r="I343" i="1"/>
  <c r="J343" i="1"/>
  <c r="B344" i="1"/>
  <c r="C344" i="1"/>
  <c r="D344" i="1"/>
  <c r="E344" i="1"/>
  <c r="F344" i="1"/>
  <c r="G344" i="1"/>
  <c r="H344" i="1"/>
  <c r="I344" i="1"/>
  <c r="J344" i="1"/>
  <c r="B345" i="1"/>
  <c r="C345" i="1"/>
  <c r="D345" i="1"/>
  <c r="E345" i="1"/>
  <c r="F345" i="1"/>
  <c r="G345" i="1"/>
  <c r="H345" i="1"/>
  <c r="I345" i="1"/>
  <c r="J345" i="1"/>
  <c r="B346" i="1"/>
  <c r="C346" i="1"/>
  <c r="D346" i="1"/>
  <c r="E346" i="1"/>
  <c r="F346" i="1"/>
  <c r="G346" i="1"/>
  <c r="H346" i="1"/>
  <c r="I346" i="1"/>
  <c r="J346" i="1"/>
  <c r="B347" i="1"/>
  <c r="C347" i="1"/>
  <c r="D347" i="1"/>
  <c r="E347" i="1"/>
  <c r="F347" i="1"/>
  <c r="G347" i="1"/>
  <c r="H347" i="1"/>
  <c r="I347" i="1"/>
  <c r="J347" i="1"/>
  <c r="B348" i="1"/>
  <c r="C348" i="1"/>
  <c r="D348" i="1"/>
  <c r="E348" i="1"/>
  <c r="F348" i="1"/>
  <c r="G348" i="1"/>
  <c r="H348" i="1"/>
  <c r="I348" i="1"/>
  <c r="J348" i="1"/>
  <c r="B349" i="1"/>
  <c r="C349" i="1"/>
  <c r="D349" i="1"/>
  <c r="E349" i="1"/>
  <c r="F349" i="1"/>
  <c r="G349" i="1"/>
  <c r="H349" i="1"/>
  <c r="I349" i="1"/>
  <c r="J349" i="1"/>
  <c r="B350" i="1"/>
  <c r="C350" i="1"/>
  <c r="D350" i="1"/>
  <c r="E350" i="1"/>
  <c r="F350" i="1"/>
  <c r="G350" i="1"/>
  <c r="H350" i="1"/>
  <c r="I350" i="1"/>
  <c r="J350" i="1"/>
  <c r="B351" i="1"/>
  <c r="C351" i="1"/>
  <c r="D351" i="1"/>
  <c r="E351" i="1"/>
  <c r="F351" i="1"/>
  <c r="G351" i="1"/>
  <c r="H351" i="1"/>
  <c r="I351" i="1"/>
  <c r="J351" i="1"/>
  <c r="B352" i="1"/>
  <c r="C352" i="1"/>
  <c r="D352" i="1"/>
  <c r="E352" i="1"/>
  <c r="F352" i="1"/>
  <c r="G352" i="1"/>
  <c r="H352" i="1"/>
  <c r="I352" i="1"/>
  <c r="J352" i="1"/>
  <c r="B353" i="1"/>
  <c r="C353" i="1"/>
  <c r="D353" i="1"/>
  <c r="E353" i="1"/>
  <c r="F353" i="1"/>
  <c r="G353" i="1"/>
  <c r="H353" i="1"/>
  <c r="I353" i="1"/>
  <c r="J353" i="1"/>
  <c r="B354" i="1"/>
  <c r="C354" i="1"/>
  <c r="D354" i="1"/>
  <c r="E354" i="1"/>
  <c r="F354" i="1"/>
  <c r="G354" i="1"/>
  <c r="H354" i="1"/>
  <c r="I354" i="1"/>
  <c r="J354" i="1"/>
  <c r="B355" i="1"/>
  <c r="C355" i="1"/>
  <c r="D355" i="1"/>
  <c r="E355" i="1"/>
  <c r="F355" i="1"/>
  <c r="G355" i="1"/>
  <c r="H355" i="1"/>
  <c r="I355" i="1"/>
  <c r="J355" i="1"/>
  <c r="B356" i="1"/>
  <c r="C356" i="1"/>
  <c r="D356" i="1"/>
  <c r="E356" i="1"/>
  <c r="F356" i="1"/>
  <c r="G356" i="1"/>
  <c r="H356" i="1"/>
  <c r="I356" i="1"/>
  <c r="J356" i="1"/>
  <c r="B357" i="1"/>
  <c r="C357" i="1"/>
  <c r="D357" i="1"/>
  <c r="E357" i="1"/>
  <c r="F357" i="1"/>
  <c r="G357" i="1"/>
  <c r="H357" i="1"/>
  <c r="I357" i="1"/>
  <c r="J357" i="1"/>
  <c r="B358" i="1"/>
  <c r="C358" i="1"/>
  <c r="D358" i="1"/>
  <c r="E358" i="1"/>
  <c r="F358" i="1"/>
  <c r="G358" i="1"/>
  <c r="H358" i="1"/>
  <c r="I358" i="1"/>
  <c r="J358" i="1"/>
  <c r="B359" i="1"/>
  <c r="C359" i="1"/>
  <c r="D359" i="1"/>
  <c r="E359" i="1"/>
  <c r="F359" i="1"/>
  <c r="G359" i="1"/>
  <c r="H359" i="1"/>
  <c r="I359" i="1"/>
  <c r="J359" i="1"/>
  <c r="B360" i="1"/>
  <c r="C360" i="1"/>
  <c r="D360" i="1"/>
  <c r="E360" i="1"/>
  <c r="F360" i="1"/>
  <c r="G360" i="1"/>
  <c r="H360" i="1"/>
  <c r="I360" i="1"/>
  <c r="J360" i="1"/>
  <c r="B361" i="1"/>
  <c r="C361" i="1"/>
  <c r="D361" i="1"/>
  <c r="E361" i="1"/>
  <c r="F361" i="1"/>
  <c r="G361" i="1"/>
  <c r="H361" i="1"/>
  <c r="I361" i="1"/>
  <c r="J361" i="1"/>
  <c r="B362" i="1"/>
  <c r="C362" i="1"/>
  <c r="D362" i="1"/>
  <c r="E362" i="1"/>
  <c r="F362" i="1"/>
  <c r="G362" i="1"/>
  <c r="H362" i="1"/>
  <c r="I362" i="1"/>
  <c r="J362" i="1"/>
  <c r="B363" i="1"/>
  <c r="C363" i="1"/>
  <c r="D363" i="1"/>
  <c r="E363" i="1"/>
  <c r="F363" i="1"/>
  <c r="G363" i="1"/>
  <c r="H363" i="1"/>
  <c r="I363" i="1"/>
  <c r="J363" i="1"/>
  <c r="B364" i="1"/>
  <c r="C364" i="1"/>
  <c r="D364" i="1"/>
  <c r="E364" i="1"/>
  <c r="F364" i="1"/>
  <c r="G364" i="1"/>
  <c r="H364" i="1"/>
  <c r="I364" i="1"/>
  <c r="J364" i="1"/>
  <c r="B365" i="1"/>
  <c r="C365" i="1"/>
  <c r="D365" i="1"/>
  <c r="E365" i="1"/>
  <c r="F365" i="1"/>
  <c r="G365" i="1"/>
  <c r="H365" i="1"/>
  <c r="I365" i="1"/>
  <c r="J365" i="1"/>
  <c r="B366" i="1"/>
  <c r="C366" i="1"/>
  <c r="D366" i="1"/>
  <c r="E366" i="1"/>
  <c r="F366" i="1"/>
  <c r="G366" i="1"/>
  <c r="H366" i="1"/>
  <c r="I366" i="1"/>
  <c r="J366" i="1"/>
  <c r="B367" i="1"/>
  <c r="C367" i="1"/>
  <c r="D367" i="1"/>
  <c r="E367" i="1"/>
  <c r="F367" i="1"/>
  <c r="G367" i="1"/>
  <c r="H367" i="1"/>
  <c r="I367" i="1"/>
  <c r="J367" i="1"/>
  <c r="B368" i="1"/>
  <c r="C368" i="1"/>
  <c r="D368" i="1"/>
  <c r="E368" i="1"/>
  <c r="F368" i="1"/>
  <c r="G368" i="1"/>
  <c r="H368" i="1"/>
  <c r="I368" i="1"/>
  <c r="J368" i="1"/>
  <c r="B369" i="1"/>
  <c r="C369" i="1"/>
  <c r="D369" i="1"/>
  <c r="E369" i="1"/>
  <c r="F369" i="1"/>
  <c r="G369" i="1"/>
  <c r="H369" i="1"/>
  <c r="I369" i="1"/>
  <c r="J369" i="1"/>
  <c r="B370" i="1"/>
  <c r="C370" i="1"/>
  <c r="D370" i="1"/>
  <c r="E370" i="1"/>
  <c r="F370" i="1"/>
  <c r="G370" i="1"/>
  <c r="H370" i="1"/>
  <c r="I370" i="1"/>
  <c r="J370" i="1"/>
  <c r="B371" i="1"/>
  <c r="C371" i="1"/>
  <c r="D371" i="1"/>
  <c r="E371" i="1"/>
  <c r="F371" i="1"/>
  <c r="G371" i="1"/>
  <c r="H371" i="1"/>
  <c r="I371" i="1"/>
  <c r="J371" i="1"/>
  <c r="B372" i="1"/>
  <c r="C372" i="1"/>
  <c r="D372" i="1"/>
  <c r="E372" i="1"/>
  <c r="F372" i="1"/>
  <c r="G372" i="1"/>
  <c r="H372" i="1"/>
  <c r="I372" i="1"/>
  <c r="J372" i="1"/>
  <c r="B373" i="1"/>
  <c r="C373" i="1"/>
  <c r="D373" i="1"/>
  <c r="E373" i="1"/>
  <c r="F373" i="1"/>
  <c r="G373" i="1"/>
  <c r="H373" i="1"/>
  <c r="I373" i="1"/>
  <c r="J373" i="1"/>
  <c r="B374" i="1"/>
  <c r="C374" i="1"/>
  <c r="D374" i="1"/>
  <c r="E374" i="1"/>
  <c r="F374" i="1"/>
  <c r="G374" i="1"/>
  <c r="H374" i="1"/>
  <c r="I374" i="1"/>
  <c r="J374" i="1"/>
  <c r="B375" i="1"/>
  <c r="C375" i="1"/>
  <c r="D375" i="1"/>
  <c r="E375" i="1"/>
  <c r="F375" i="1"/>
  <c r="G375" i="1"/>
  <c r="H375" i="1"/>
  <c r="I375" i="1"/>
  <c r="J375" i="1"/>
  <c r="B376" i="1"/>
  <c r="C376" i="1"/>
  <c r="D376" i="1"/>
  <c r="E376" i="1"/>
  <c r="F376" i="1"/>
  <c r="G376" i="1"/>
  <c r="H376" i="1"/>
  <c r="I376" i="1"/>
  <c r="J376" i="1"/>
  <c r="B377" i="1"/>
  <c r="C377" i="1"/>
  <c r="D377" i="1"/>
  <c r="E377" i="1"/>
  <c r="F377" i="1"/>
  <c r="G377" i="1"/>
  <c r="H377" i="1"/>
  <c r="I377" i="1"/>
  <c r="J377" i="1"/>
  <c r="B378" i="1"/>
  <c r="C378" i="1"/>
  <c r="D378" i="1"/>
  <c r="E378" i="1"/>
  <c r="F378" i="1"/>
  <c r="G378" i="1"/>
  <c r="H378" i="1"/>
  <c r="I378" i="1"/>
  <c r="J378" i="1"/>
  <c r="B379" i="1"/>
  <c r="C379" i="1"/>
  <c r="D379" i="1"/>
  <c r="E379" i="1"/>
  <c r="F379" i="1"/>
  <c r="G379" i="1"/>
  <c r="H379" i="1"/>
  <c r="I379" i="1"/>
  <c r="J379" i="1"/>
  <c r="B380" i="1"/>
  <c r="C380" i="1"/>
  <c r="D380" i="1"/>
  <c r="E380" i="1"/>
  <c r="F380" i="1"/>
  <c r="G380" i="1"/>
  <c r="H380" i="1"/>
  <c r="I380" i="1"/>
  <c r="J380" i="1"/>
  <c r="B381" i="1"/>
  <c r="C381" i="1"/>
  <c r="D381" i="1"/>
  <c r="E381" i="1"/>
  <c r="F381" i="1"/>
  <c r="G381" i="1"/>
  <c r="H381" i="1"/>
  <c r="I381" i="1"/>
  <c r="J381" i="1"/>
  <c r="B382" i="1"/>
  <c r="C382" i="1"/>
  <c r="D382" i="1"/>
  <c r="E382" i="1"/>
  <c r="F382" i="1"/>
  <c r="G382" i="1"/>
  <c r="H382" i="1"/>
  <c r="I382" i="1"/>
  <c r="J382" i="1"/>
  <c r="B383" i="1"/>
  <c r="C383" i="1"/>
  <c r="D383" i="1"/>
  <c r="E383" i="1"/>
  <c r="F383" i="1"/>
  <c r="G383" i="1"/>
  <c r="H383" i="1"/>
  <c r="I383" i="1"/>
  <c r="J383" i="1"/>
  <c r="B384" i="1"/>
  <c r="C384" i="1"/>
  <c r="D384" i="1"/>
  <c r="E384" i="1"/>
  <c r="F384" i="1"/>
  <c r="G384" i="1"/>
  <c r="H384" i="1"/>
  <c r="I384" i="1"/>
  <c r="J384" i="1"/>
  <c r="B385" i="1"/>
  <c r="C385" i="1"/>
  <c r="D385" i="1"/>
  <c r="E385" i="1"/>
  <c r="F385" i="1"/>
  <c r="G385" i="1"/>
  <c r="H385" i="1"/>
  <c r="I385" i="1"/>
  <c r="J385" i="1"/>
  <c r="B386" i="1"/>
  <c r="C386" i="1"/>
  <c r="D386" i="1"/>
  <c r="E386" i="1"/>
  <c r="F386" i="1"/>
  <c r="G386" i="1"/>
  <c r="H386" i="1"/>
  <c r="I386" i="1"/>
  <c r="J386" i="1"/>
  <c r="B387" i="1"/>
  <c r="C387" i="1"/>
  <c r="D387" i="1"/>
  <c r="E387" i="1"/>
  <c r="F387" i="1"/>
  <c r="G387" i="1"/>
  <c r="H387" i="1"/>
  <c r="I387" i="1"/>
  <c r="J387" i="1"/>
  <c r="B388" i="1"/>
  <c r="C388" i="1"/>
  <c r="D388" i="1"/>
  <c r="E388" i="1"/>
  <c r="F388" i="1"/>
  <c r="G388" i="1"/>
  <c r="H388" i="1"/>
  <c r="I388" i="1"/>
  <c r="J388" i="1"/>
  <c r="B389" i="1"/>
  <c r="C389" i="1"/>
  <c r="D389" i="1"/>
  <c r="E389" i="1"/>
  <c r="F389" i="1"/>
  <c r="G389" i="1"/>
  <c r="H389" i="1"/>
  <c r="I389" i="1"/>
  <c r="J389" i="1"/>
  <c r="B390" i="1"/>
  <c r="C390" i="1"/>
  <c r="D390" i="1"/>
  <c r="E390" i="1"/>
  <c r="F390" i="1"/>
  <c r="G390" i="1"/>
  <c r="H390" i="1"/>
  <c r="I390" i="1"/>
  <c r="J390" i="1"/>
  <c r="B391" i="1"/>
  <c r="C391" i="1"/>
  <c r="D391" i="1"/>
  <c r="E391" i="1"/>
  <c r="F391" i="1"/>
  <c r="G391" i="1"/>
  <c r="H391" i="1"/>
  <c r="I391" i="1"/>
  <c r="J391" i="1"/>
  <c r="B392" i="1"/>
  <c r="C392" i="1"/>
  <c r="D392" i="1"/>
  <c r="E392" i="1"/>
  <c r="F392" i="1"/>
  <c r="G392" i="1"/>
  <c r="H392" i="1"/>
  <c r="I392" i="1"/>
  <c r="J392" i="1"/>
  <c r="B393" i="1"/>
  <c r="C393" i="1"/>
  <c r="D393" i="1"/>
  <c r="E393" i="1"/>
  <c r="F393" i="1"/>
  <c r="G393" i="1"/>
  <c r="H393" i="1"/>
  <c r="I393" i="1"/>
  <c r="J393" i="1"/>
  <c r="B394" i="1"/>
  <c r="C394" i="1"/>
  <c r="D394" i="1"/>
  <c r="E394" i="1"/>
  <c r="F394" i="1"/>
  <c r="G394" i="1"/>
  <c r="H394" i="1"/>
  <c r="I394" i="1"/>
  <c r="J394" i="1"/>
  <c r="B395" i="1"/>
  <c r="C395" i="1"/>
  <c r="D395" i="1"/>
  <c r="E395" i="1"/>
  <c r="F395" i="1"/>
  <c r="G395" i="1"/>
  <c r="H395" i="1"/>
  <c r="I395" i="1"/>
  <c r="J395" i="1"/>
  <c r="B396" i="1"/>
  <c r="C396" i="1"/>
  <c r="D396" i="1"/>
  <c r="E396" i="1"/>
  <c r="F396" i="1"/>
  <c r="G396" i="1"/>
  <c r="H396" i="1"/>
  <c r="I396" i="1"/>
  <c r="J396" i="1"/>
  <c r="B397" i="1"/>
  <c r="C397" i="1"/>
  <c r="D397" i="1"/>
  <c r="E397" i="1"/>
  <c r="F397" i="1"/>
  <c r="G397" i="1"/>
  <c r="H397" i="1"/>
  <c r="I397" i="1"/>
  <c r="J397" i="1"/>
  <c r="B398" i="1"/>
  <c r="C398" i="1"/>
  <c r="D398" i="1"/>
  <c r="E398" i="1"/>
  <c r="F398" i="1"/>
  <c r="G398" i="1"/>
  <c r="H398" i="1"/>
  <c r="I398" i="1"/>
  <c r="J398" i="1"/>
  <c r="B399" i="1"/>
  <c r="C399" i="1"/>
  <c r="D399" i="1"/>
  <c r="E399" i="1"/>
  <c r="F399" i="1"/>
  <c r="G399" i="1"/>
  <c r="H399" i="1"/>
  <c r="I399" i="1"/>
  <c r="J399" i="1"/>
  <c r="B400" i="1"/>
  <c r="C400" i="1"/>
  <c r="D400" i="1"/>
  <c r="E400" i="1"/>
  <c r="F400" i="1"/>
  <c r="G400" i="1"/>
  <c r="H400" i="1"/>
  <c r="I400" i="1"/>
  <c r="J400" i="1"/>
  <c r="B401" i="1"/>
  <c r="C401" i="1"/>
  <c r="D401" i="1"/>
  <c r="E401" i="1"/>
  <c r="F401" i="1"/>
  <c r="G401" i="1"/>
  <c r="H401" i="1"/>
  <c r="I401" i="1"/>
  <c r="J401" i="1"/>
  <c r="B402" i="1"/>
  <c r="C402" i="1"/>
  <c r="D402" i="1"/>
  <c r="E402" i="1"/>
  <c r="F402" i="1"/>
  <c r="G402" i="1"/>
  <c r="H402" i="1"/>
  <c r="I402" i="1"/>
  <c r="J402" i="1"/>
  <c r="B403" i="1"/>
  <c r="C403" i="1"/>
  <c r="D403" i="1"/>
  <c r="E403" i="1"/>
  <c r="F403" i="1"/>
  <c r="G403" i="1"/>
  <c r="H403" i="1"/>
  <c r="I403" i="1"/>
  <c r="J403" i="1"/>
  <c r="B404" i="1"/>
  <c r="C404" i="1"/>
  <c r="D404" i="1"/>
  <c r="E404" i="1"/>
  <c r="F404" i="1"/>
  <c r="G404" i="1"/>
  <c r="H404" i="1"/>
  <c r="I404" i="1"/>
  <c r="J404" i="1"/>
  <c r="B405" i="1"/>
  <c r="C405" i="1"/>
  <c r="D405" i="1"/>
  <c r="E405" i="1"/>
  <c r="F405" i="1"/>
  <c r="G405" i="1"/>
  <c r="H405" i="1"/>
  <c r="I405" i="1"/>
  <c r="J405" i="1"/>
  <c r="B406" i="1"/>
  <c r="C406" i="1"/>
  <c r="D406" i="1"/>
  <c r="E406" i="1"/>
  <c r="F406" i="1"/>
  <c r="G406" i="1"/>
  <c r="H406" i="1"/>
  <c r="I406" i="1"/>
  <c r="J406" i="1"/>
  <c r="B407" i="1"/>
  <c r="C407" i="1"/>
  <c r="D407" i="1"/>
  <c r="E407" i="1"/>
  <c r="F407" i="1"/>
  <c r="G407" i="1"/>
  <c r="H407" i="1"/>
  <c r="I407" i="1"/>
  <c r="J407" i="1"/>
  <c r="B408" i="1"/>
  <c r="C408" i="1"/>
  <c r="D408" i="1"/>
  <c r="E408" i="1"/>
  <c r="F408" i="1"/>
  <c r="G408" i="1"/>
  <c r="H408" i="1"/>
  <c r="I408" i="1"/>
  <c r="J408" i="1"/>
  <c r="B409" i="1"/>
  <c r="C409" i="1"/>
  <c r="D409" i="1"/>
  <c r="E409" i="1"/>
  <c r="F409" i="1"/>
  <c r="G409" i="1"/>
  <c r="H409" i="1"/>
  <c r="I409" i="1"/>
  <c r="J409" i="1"/>
  <c r="B410" i="1"/>
  <c r="C410" i="1"/>
  <c r="D410" i="1"/>
  <c r="E410" i="1"/>
  <c r="F410" i="1"/>
  <c r="G410" i="1"/>
  <c r="H410" i="1"/>
  <c r="I410" i="1"/>
  <c r="J410" i="1"/>
  <c r="B411" i="1"/>
  <c r="C411" i="1"/>
  <c r="D411" i="1"/>
  <c r="E411" i="1"/>
  <c r="F411" i="1"/>
  <c r="G411" i="1"/>
  <c r="H411" i="1"/>
  <c r="I411" i="1"/>
  <c r="J411" i="1"/>
  <c r="B412" i="1"/>
  <c r="C412" i="1"/>
  <c r="D412" i="1"/>
  <c r="E412" i="1"/>
  <c r="F412" i="1"/>
  <c r="G412" i="1"/>
  <c r="H412" i="1"/>
  <c r="I412" i="1"/>
  <c r="J412" i="1"/>
  <c r="B413" i="1"/>
  <c r="C413" i="1"/>
  <c r="D413" i="1"/>
  <c r="E413" i="1"/>
  <c r="F413" i="1"/>
  <c r="G413" i="1"/>
  <c r="H413" i="1"/>
  <c r="I413" i="1"/>
  <c r="J413" i="1"/>
  <c r="B414" i="1"/>
  <c r="C414" i="1"/>
  <c r="D414" i="1"/>
  <c r="E414" i="1"/>
  <c r="F414" i="1"/>
  <c r="G414" i="1"/>
  <c r="H414" i="1"/>
  <c r="I414" i="1"/>
  <c r="J414" i="1"/>
  <c r="B415" i="1"/>
  <c r="C415" i="1"/>
  <c r="D415" i="1"/>
  <c r="E415" i="1"/>
  <c r="F415" i="1"/>
  <c r="G415" i="1"/>
  <c r="H415" i="1"/>
  <c r="I415" i="1"/>
  <c r="J415" i="1"/>
  <c r="B416" i="1"/>
  <c r="C416" i="1"/>
  <c r="D416" i="1"/>
  <c r="E416" i="1"/>
  <c r="F416" i="1"/>
  <c r="G416" i="1"/>
  <c r="H416" i="1"/>
  <c r="I416" i="1"/>
  <c r="J416" i="1"/>
  <c r="B417" i="1"/>
  <c r="C417" i="1"/>
  <c r="D417" i="1"/>
  <c r="E417" i="1"/>
  <c r="F417" i="1"/>
  <c r="G417" i="1"/>
  <c r="H417" i="1"/>
  <c r="I417" i="1"/>
  <c r="J417" i="1"/>
  <c r="B418" i="1"/>
  <c r="C418" i="1"/>
  <c r="D418" i="1"/>
  <c r="E418" i="1"/>
  <c r="F418" i="1"/>
  <c r="G418" i="1"/>
  <c r="H418" i="1"/>
  <c r="I418" i="1"/>
  <c r="J418" i="1"/>
  <c r="B419" i="1"/>
  <c r="C419" i="1"/>
  <c r="D419" i="1"/>
  <c r="E419" i="1"/>
  <c r="F419" i="1"/>
  <c r="G419" i="1"/>
  <c r="H419" i="1"/>
  <c r="I419" i="1"/>
  <c r="J419" i="1"/>
  <c r="B420" i="1"/>
  <c r="C420" i="1"/>
  <c r="D420" i="1"/>
  <c r="E420" i="1"/>
  <c r="F420" i="1"/>
  <c r="G420" i="1"/>
  <c r="H420" i="1"/>
  <c r="I420" i="1"/>
  <c r="J420" i="1"/>
  <c r="B421" i="1"/>
  <c r="C421" i="1"/>
  <c r="D421" i="1"/>
  <c r="E421" i="1"/>
  <c r="F421" i="1"/>
  <c r="G421" i="1"/>
  <c r="H421" i="1"/>
  <c r="I421" i="1"/>
  <c r="J421" i="1"/>
  <c r="B422" i="1"/>
  <c r="C422" i="1"/>
  <c r="D422" i="1"/>
  <c r="E422" i="1"/>
  <c r="F422" i="1"/>
  <c r="G422" i="1"/>
  <c r="H422" i="1"/>
  <c r="I422" i="1"/>
  <c r="J422" i="1"/>
  <c r="B423" i="1"/>
  <c r="C423" i="1"/>
  <c r="D423" i="1"/>
  <c r="E423" i="1"/>
  <c r="F423" i="1"/>
  <c r="G423" i="1"/>
  <c r="H423" i="1"/>
  <c r="I423" i="1"/>
  <c r="J423" i="1"/>
  <c r="B424" i="1"/>
  <c r="C424" i="1"/>
  <c r="D424" i="1"/>
  <c r="E424" i="1"/>
  <c r="F424" i="1"/>
  <c r="G424" i="1"/>
  <c r="H424" i="1"/>
  <c r="I424" i="1"/>
  <c r="J424" i="1"/>
  <c r="B425" i="1"/>
  <c r="C425" i="1"/>
  <c r="D425" i="1"/>
  <c r="E425" i="1"/>
  <c r="F425" i="1"/>
  <c r="G425" i="1"/>
  <c r="H425" i="1"/>
  <c r="I425" i="1"/>
  <c r="J425" i="1"/>
  <c r="B426" i="1"/>
  <c r="C426" i="1"/>
  <c r="D426" i="1"/>
  <c r="E426" i="1"/>
  <c r="F426" i="1"/>
  <c r="G426" i="1"/>
  <c r="H426" i="1"/>
  <c r="I426" i="1"/>
  <c r="J426" i="1"/>
  <c r="B427" i="1"/>
  <c r="C427" i="1"/>
  <c r="D427" i="1"/>
  <c r="E427" i="1"/>
  <c r="F427" i="1"/>
  <c r="G427" i="1"/>
  <c r="H427" i="1"/>
  <c r="I427" i="1"/>
  <c r="J427" i="1"/>
  <c r="B428" i="1"/>
  <c r="C428" i="1"/>
  <c r="D428" i="1"/>
  <c r="E428" i="1"/>
  <c r="F428" i="1"/>
  <c r="G428" i="1"/>
  <c r="H428" i="1"/>
  <c r="I428" i="1"/>
  <c r="J428" i="1"/>
  <c r="B429" i="1"/>
  <c r="C429" i="1"/>
  <c r="D429" i="1"/>
  <c r="E429" i="1"/>
  <c r="F429" i="1"/>
  <c r="G429" i="1"/>
  <c r="H429" i="1"/>
  <c r="I429" i="1"/>
  <c r="J429" i="1"/>
  <c r="B430" i="1"/>
  <c r="C430" i="1"/>
  <c r="D430" i="1"/>
  <c r="E430" i="1"/>
  <c r="F430" i="1"/>
  <c r="G430" i="1"/>
  <c r="H430" i="1"/>
  <c r="I430" i="1"/>
  <c r="J430" i="1"/>
  <c r="B431" i="1"/>
  <c r="C431" i="1"/>
  <c r="D431" i="1"/>
  <c r="E431" i="1"/>
  <c r="F431" i="1"/>
  <c r="G431" i="1"/>
  <c r="H431" i="1"/>
  <c r="I431" i="1"/>
  <c r="J431" i="1"/>
  <c r="B432" i="1"/>
  <c r="C432" i="1"/>
  <c r="D432" i="1"/>
  <c r="E432" i="1"/>
  <c r="F432" i="1"/>
  <c r="G432" i="1"/>
  <c r="H432" i="1"/>
  <c r="I432" i="1"/>
  <c r="J432" i="1"/>
  <c r="B433" i="1"/>
  <c r="C433" i="1"/>
  <c r="D433" i="1"/>
  <c r="E433" i="1"/>
  <c r="F433" i="1"/>
  <c r="G433" i="1"/>
  <c r="H433" i="1"/>
  <c r="I433" i="1"/>
  <c r="J433" i="1"/>
  <c r="B434" i="1"/>
  <c r="C434" i="1"/>
  <c r="D434" i="1"/>
  <c r="E434" i="1"/>
  <c r="F434" i="1"/>
  <c r="G434" i="1"/>
  <c r="H434" i="1"/>
  <c r="I434" i="1"/>
  <c r="J434" i="1"/>
  <c r="B435" i="1"/>
  <c r="C435" i="1"/>
  <c r="D435" i="1"/>
  <c r="E435" i="1"/>
  <c r="F435" i="1"/>
  <c r="G435" i="1"/>
  <c r="H435" i="1"/>
  <c r="I435" i="1"/>
  <c r="J435" i="1"/>
  <c r="B436" i="1"/>
  <c r="C436" i="1"/>
  <c r="D436" i="1"/>
  <c r="E436" i="1"/>
  <c r="F436" i="1"/>
  <c r="G436" i="1"/>
  <c r="H436" i="1"/>
  <c r="I436" i="1"/>
  <c r="J436" i="1"/>
  <c r="B437" i="1"/>
  <c r="C437" i="1"/>
  <c r="D437" i="1"/>
  <c r="E437" i="1"/>
  <c r="F437" i="1"/>
  <c r="G437" i="1"/>
  <c r="H437" i="1"/>
  <c r="I437" i="1"/>
  <c r="J437" i="1"/>
  <c r="B438" i="1"/>
  <c r="C438" i="1"/>
  <c r="D438" i="1"/>
  <c r="E438" i="1"/>
  <c r="F438" i="1"/>
  <c r="G438" i="1"/>
  <c r="H438" i="1"/>
  <c r="I438" i="1"/>
  <c r="J438" i="1"/>
  <c r="B439" i="1"/>
  <c r="C439" i="1"/>
  <c r="D439" i="1"/>
  <c r="E439" i="1"/>
  <c r="F439" i="1"/>
  <c r="G439" i="1"/>
  <c r="H439" i="1"/>
  <c r="I439" i="1"/>
  <c r="J439" i="1"/>
  <c r="B440" i="1"/>
  <c r="C440" i="1"/>
  <c r="D440" i="1"/>
  <c r="E440" i="1"/>
  <c r="F440" i="1"/>
  <c r="G440" i="1"/>
  <c r="H440" i="1"/>
  <c r="I440" i="1"/>
  <c r="J440" i="1"/>
  <c r="B441" i="1"/>
  <c r="C441" i="1"/>
  <c r="D441" i="1"/>
  <c r="E441" i="1"/>
  <c r="F441" i="1"/>
  <c r="G441" i="1"/>
  <c r="H441" i="1"/>
  <c r="I441" i="1"/>
  <c r="J441" i="1"/>
  <c r="B442" i="1"/>
  <c r="C442" i="1"/>
  <c r="D442" i="1"/>
  <c r="E442" i="1"/>
  <c r="F442" i="1"/>
  <c r="G442" i="1"/>
  <c r="H442" i="1"/>
  <c r="I442" i="1"/>
  <c r="J442" i="1"/>
  <c r="B443" i="1"/>
  <c r="C443" i="1"/>
  <c r="D443" i="1"/>
  <c r="E443" i="1"/>
  <c r="F443" i="1"/>
  <c r="G443" i="1"/>
  <c r="H443" i="1"/>
  <c r="I443" i="1"/>
  <c r="J443" i="1"/>
  <c r="B444" i="1"/>
  <c r="C444" i="1"/>
  <c r="D444" i="1"/>
  <c r="E444" i="1"/>
  <c r="F444" i="1"/>
  <c r="G444" i="1"/>
  <c r="H444" i="1"/>
  <c r="I444" i="1"/>
  <c r="J444" i="1"/>
  <c r="B445" i="1"/>
  <c r="C445" i="1"/>
  <c r="D445" i="1"/>
  <c r="E445" i="1"/>
  <c r="F445" i="1"/>
  <c r="G445" i="1"/>
  <c r="H445" i="1"/>
  <c r="I445" i="1"/>
  <c r="J445" i="1"/>
  <c r="B446" i="1"/>
  <c r="C446" i="1"/>
  <c r="D446" i="1"/>
  <c r="E446" i="1"/>
  <c r="F446" i="1"/>
  <c r="G446" i="1"/>
  <c r="H446" i="1"/>
  <c r="I446" i="1"/>
  <c r="J446" i="1"/>
  <c r="B447" i="1"/>
  <c r="C447" i="1"/>
  <c r="D447" i="1"/>
  <c r="E447" i="1"/>
  <c r="F447" i="1"/>
  <c r="G447" i="1"/>
  <c r="H447" i="1"/>
  <c r="I447" i="1"/>
  <c r="J447" i="1"/>
  <c r="B448" i="1"/>
  <c r="C448" i="1"/>
  <c r="D448" i="1"/>
  <c r="E448" i="1"/>
  <c r="F448" i="1"/>
  <c r="G448" i="1"/>
  <c r="H448" i="1"/>
  <c r="I448" i="1"/>
  <c r="J448" i="1"/>
  <c r="B449" i="1"/>
  <c r="C449" i="1"/>
  <c r="D449" i="1"/>
  <c r="E449" i="1"/>
  <c r="F449" i="1"/>
  <c r="G449" i="1"/>
  <c r="H449" i="1"/>
  <c r="I449" i="1"/>
  <c r="J449" i="1"/>
  <c r="B450" i="1"/>
  <c r="C450" i="1"/>
  <c r="D450" i="1"/>
  <c r="E450" i="1"/>
  <c r="F450" i="1"/>
  <c r="G450" i="1"/>
  <c r="H450" i="1"/>
  <c r="I450" i="1"/>
  <c r="J450" i="1"/>
  <c r="B451" i="1"/>
  <c r="C451" i="1"/>
  <c r="D451" i="1"/>
  <c r="E451" i="1"/>
  <c r="F451" i="1"/>
  <c r="G451" i="1"/>
  <c r="H451" i="1"/>
  <c r="I451" i="1"/>
  <c r="J451" i="1"/>
  <c r="B452" i="1"/>
  <c r="C452" i="1"/>
  <c r="D452" i="1"/>
  <c r="E452" i="1"/>
  <c r="F452" i="1"/>
  <c r="G452" i="1"/>
  <c r="H452" i="1"/>
  <c r="I452" i="1"/>
  <c r="J452" i="1"/>
  <c r="B453" i="1"/>
  <c r="C453" i="1"/>
  <c r="D453" i="1"/>
  <c r="E453" i="1"/>
  <c r="F453" i="1"/>
  <c r="G453" i="1"/>
  <c r="H453" i="1"/>
  <c r="I453" i="1"/>
  <c r="J453" i="1"/>
  <c r="B454" i="1"/>
  <c r="C454" i="1"/>
  <c r="D454" i="1"/>
  <c r="E454" i="1"/>
  <c r="F454" i="1"/>
  <c r="G454" i="1"/>
  <c r="H454" i="1"/>
  <c r="I454" i="1"/>
  <c r="J454" i="1"/>
  <c r="B455" i="1"/>
  <c r="C455" i="1"/>
  <c r="D455" i="1"/>
  <c r="E455" i="1"/>
  <c r="F455" i="1"/>
  <c r="G455" i="1"/>
  <c r="H455" i="1"/>
  <c r="I455" i="1"/>
  <c r="J455" i="1"/>
  <c r="B456" i="1"/>
  <c r="C456" i="1"/>
  <c r="D456" i="1"/>
  <c r="E456" i="1"/>
  <c r="F456" i="1"/>
  <c r="G456" i="1"/>
  <c r="H456" i="1"/>
  <c r="I456" i="1"/>
  <c r="J456" i="1"/>
  <c r="B457" i="1"/>
  <c r="C457" i="1"/>
  <c r="D457" i="1"/>
  <c r="E457" i="1"/>
  <c r="F457" i="1"/>
  <c r="G457" i="1"/>
  <c r="H457" i="1"/>
  <c r="I457" i="1"/>
  <c r="J457" i="1"/>
  <c r="B458" i="1"/>
  <c r="C458" i="1"/>
  <c r="D458" i="1"/>
  <c r="E458" i="1"/>
  <c r="F458" i="1"/>
  <c r="G458" i="1"/>
  <c r="H458" i="1"/>
  <c r="I458" i="1"/>
  <c r="J458" i="1"/>
  <c r="B459" i="1"/>
  <c r="C459" i="1"/>
  <c r="D459" i="1"/>
  <c r="E459" i="1"/>
  <c r="F459" i="1"/>
  <c r="G459" i="1"/>
  <c r="H459" i="1"/>
  <c r="I459" i="1"/>
  <c r="J459" i="1"/>
  <c r="B460" i="1"/>
  <c r="C460" i="1"/>
  <c r="D460" i="1"/>
  <c r="E460" i="1"/>
  <c r="F460" i="1"/>
  <c r="G460" i="1"/>
  <c r="H460" i="1"/>
  <c r="I460" i="1"/>
  <c r="J460" i="1"/>
  <c r="B461" i="1"/>
  <c r="C461" i="1"/>
  <c r="D461" i="1"/>
  <c r="E461" i="1"/>
  <c r="F461" i="1"/>
  <c r="G461" i="1"/>
  <c r="H461" i="1"/>
  <c r="I461" i="1"/>
  <c r="J461" i="1"/>
  <c r="B462" i="1"/>
  <c r="C462" i="1"/>
  <c r="D462" i="1"/>
  <c r="E462" i="1"/>
  <c r="F462" i="1"/>
  <c r="G462" i="1"/>
  <c r="H462" i="1"/>
  <c r="I462" i="1"/>
  <c r="J462" i="1"/>
  <c r="B463" i="1"/>
  <c r="C463" i="1"/>
  <c r="D463" i="1"/>
  <c r="E463" i="1"/>
  <c r="F463" i="1"/>
  <c r="G463" i="1"/>
  <c r="H463" i="1"/>
  <c r="I463" i="1"/>
  <c r="J463" i="1"/>
  <c r="B464" i="1"/>
  <c r="C464" i="1"/>
  <c r="D464" i="1"/>
  <c r="E464" i="1"/>
  <c r="F464" i="1"/>
  <c r="G464" i="1"/>
  <c r="H464" i="1"/>
  <c r="I464" i="1"/>
  <c r="J464" i="1"/>
  <c r="B465" i="1"/>
  <c r="C465" i="1"/>
  <c r="D465" i="1"/>
  <c r="E465" i="1"/>
  <c r="F465" i="1"/>
  <c r="G465" i="1"/>
  <c r="H465" i="1"/>
  <c r="I465" i="1"/>
  <c r="J465" i="1"/>
  <c r="B466" i="1"/>
  <c r="C466" i="1"/>
  <c r="D466" i="1"/>
  <c r="E466" i="1"/>
  <c r="F466" i="1"/>
  <c r="G466" i="1"/>
  <c r="H466" i="1"/>
  <c r="I466" i="1"/>
  <c r="J466" i="1"/>
  <c r="B467" i="1"/>
  <c r="C467" i="1"/>
  <c r="D467" i="1"/>
  <c r="E467" i="1"/>
  <c r="F467" i="1"/>
  <c r="G467" i="1"/>
  <c r="H467" i="1"/>
  <c r="I467" i="1"/>
  <c r="J467" i="1"/>
  <c r="B468" i="1"/>
  <c r="C468" i="1"/>
  <c r="D468" i="1"/>
  <c r="E468" i="1"/>
  <c r="F468" i="1"/>
  <c r="G468" i="1"/>
  <c r="H468" i="1"/>
  <c r="I468" i="1"/>
  <c r="J468" i="1"/>
  <c r="B469" i="1"/>
  <c r="C469" i="1"/>
  <c r="D469" i="1"/>
  <c r="E469" i="1"/>
  <c r="F469" i="1"/>
  <c r="G469" i="1"/>
  <c r="H469" i="1"/>
  <c r="I469" i="1"/>
  <c r="J469" i="1"/>
  <c r="B470" i="1"/>
  <c r="C470" i="1"/>
  <c r="D470" i="1"/>
  <c r="E470" i="1"/>
  <c r="F470" i="1"/>
  <c r="G470" i="1"/>
  <c r="H470" i="1"/>
  <c r="I470" i="1"/>
  <c r="J470" i="1"/>
  <c r="B471" i="1"/>
  <c r="C471" i="1"/>
  <c r="D471" i="1"/>
  <c r="E471" i="1"/>
  <c r="F471" i="1"/>
  <c r="G471" i="1"/>
  <c r="H471" i="1"/>
  <c r="I471" i="1"/>
  <c r="J471" i="1"/>
  <c r="B472" i="1"/>
  <c r="C472" i="1"/>
  <c r="D472" i="1"/>
  <c r="E472" i="1"/>
  <c r="F472" i="1"/>
  <c r="G472" i="1"/>
  <c r="H472" i="1"/>
  <c r="I472" i="1"/>
  <c r="J472" i="1"/>
  <c r="B473" i="1"/>
  <c r="C473" i="1"/>
  <c r="D473" i="1"/>
  <c r="E473" i="1"/>
  <c r="F473" i="1"/>
  <c r="G473" i="1"/>
  <c r="H473" i="1"/>
  <c r="I473" i="1"/>
  <c r="J473" i="1"/>
  <c r="B474" i="1"/>
  <c r="C474" i="1"/>
  <c r="D474" i="1"/>
  <c r="E474" i="1"/>
  <c r="F474" i="1"/>
  <c r="G474" i="1"/>
  <c r="H474" i="1"/>
  <c r="I474" i="1"/>
  <c r="J474" i="1"/>
  <c r="B475" i="1"/>
  <c r="C475" i="1"/>
  <c r="D475" i="1"/>
  <c r="E475" i="1"/>
  <c r="F475" i="1"/>
  <c r="G475" i="1"/>
  <c r="H475" i="1"/>
  <c r="I475" i="1"/>
  <c r="J475" i="1"/>
  <c r="B476" i="1"/>
  <c r="C476" i="1"/>
  <c r="D476" i="1"/>
  <c r="E476" i="1"/>
  <c r="F476" i="1"/>
  <c r="G476" i="1"/>
  <c r="H476" i="1"/>
  <c r="I476" i="1"/>
  <c r="J476" i="1"/>
  <c r="B477" i="1"/>
  <c r="C477" i="1"/>
  <c r="D477" i="1"/>
  <c r="E477" i="1"/>
  <c r="F477" i="1"/>
  <c r="G477" i="1"/>
  <c r="H477" i="1"/>
  <c r="I477" i="1"/>
  <c r="J477" i="1"/>
  <c r="B478" i="1"/>
  <c r="C478" i="1"/>
  <c r="D478" i="1"/>
  <c r="E478" i="1"/>
  <c r="F478" i="1"/>
  <c r="G478" i="1"/>
  <c r="H478" i="1"/>
  <c r="I478" i="1"/>
  <c r="J478" i="1"/>
  <c r="B479" i="1"/>
  <c r="C479" i="1"/>
  <c r="D479" i="1"/>
  <c r="E479" i="1"/>
  <c r="F479" i="1"/>
  <c r="G479" i="1"/>
  <c r="H479" i="1"/>
  <c r="I479" i="1"/>
  <c r="J479" i="1"/>
  <c r="B480" i="1"/>
  <c r="C480" i="1"/>
  <c r="D480" i="1"/>
  <c r="E480" i="1"/>
  <c r="F480" i="1"/>
  <c r="G480" i="1"/>
  <c r="H480" i="1"/>
  <c r="I480" i="1"/>
  <c r="J480" i="1"/>
  <c r="B481" i="1"/>
  <c r="C481" i="1"/>
  <c r="D481" i="1"/>
  <c r="E481" i="1"/>
  <c r="F481" i="1"/>
  <c r="G481" i="1"/>
  <c r="H481" i="1"/>
  <c r="I481" i="1"/>
  <c r="J481" i="1"/>
  <c r="B482" i="1"/>
  <c r="C482" i="1"/>
  <c r="D482" i="1"/>
  <c r="E482" i="1"/>
  <c r="F482" i="1"/>
  <c r="G482" i="1"/>
  <c r="H482" i="1"/>
  <c r="I482" i="1"/>
  <c r="J482" i="1"/>
  <c r="B483" i="1"/>
  <c r="C483" i="1"/>
  <c r="D483" i="1"/>
  <c r="E483" i="1"/>
  <c r="F483" i="1"/>
  <c r="G483" i="1"/>
  <c r="H483" i="1"/>
  <c r="I483" i="1"/>
  <c r="J483" i="1"/>
  <c r="B484" i="1"/>
  <c r="C484" i="1"/>
  <c r="D484" i="1"/>
  <c r="E484" i="1"/>
  <c r="F484" i="1"/>
  <c r="G484" i="1"/>
  <c r="H484" i="1"/>
  <c r="I484" i="1"/>
  <c r="J484" i="1"/>
  <c r="B485" i="1"/>
  <c r="C485" i="1"/>
  <c r="D485" i="1"/>
  <c r="E485" i="1"/>
  <c r="F485" i="1"/>
  <c r="G485" i="1"/>
  <c r="H485" i="1"/>
  <c r="I485" i="1"/>
  <c r="J485" i="1"/>
  <c r="B486" i="1"/>
  <c r="C486" i="1"/>
  <c r="D486" i="1"/>
  <c r="E486" i="1"/>
  <c r="F486" i="1"/>
  <c r="G486" i="1"/>
  <c r="H486" i="1"/>
  <c r="I486" i="1"/>
  <c r="J486" i="1"/>
  <c r="B487" i="1"/>
  <c r="C487" i="1"/>
  <c r="D487" i="1"/>
  <c r="E487" i="1"/>
  <c r="F487" i="1"/>
  <c r="G487" i="1"/>
  <c r="H487" i="1"/>
  <c r="I487" i="1"/>
  <c r="J487" i="1"/>
  <c r="B488" i="1"/>
  <c r="C488" i="1"/>
  <c r="D488" i="1"/>
  <c r="E488" i="1"/>
  <c r="F488" i="1"/>
  <c r="G488" i="1"/>
  <c r="H488" i="1"/>
  <c r="I488" i="1"/>
  <c r="J488" i="1"/>
  <c r="B489" i="1"/>
  <c r="C489" i="1"/>
  <c r="D489" i="1"/>
  <c r="E489" i="1"/>
  <c r="F489" i="1"/>
  <c r="G489" i="1"/>
  <c r="H489" i="1"/>
  <c r="I489" i="1"/>
  <c r="J489" i="1"/>
  <c r="B490" i="1"/>
  <c r="C490" i="1"/>
  <c r="D490" i="1"/>
  <c r="E490" i="1"/>
  <c r="F490" i="1"/>
  <c r="G490" i="1"/>
  <c r="H490" i="1"/>
  <c r="I490" i="1"/>
  <c r="J490" i="1"/>
  <c r="B491" i="1"/>
  <c r="C491" i="1"/>
  <c r="D491" i="1"/>
  <c r="E491" i="1"/>
  <c r="F491" i="1"/>
  <c r="G491" i="1"/>
  <c r="H491" i="1"/>
  <c r="I491" i="1"/>
  <c r="J491" i="1"/>
  <c r="B492" i="1"/>
  <c r="C492" i="1"/>
  <c r="D492" i="1"/>
  <c r="E492" i="1"/>
  <c r="F492" i="1"/>
  <c r="G492" i="1"/>
  <c r="H492" i="1"/>
  <c r="I492" i="1"/>
  <c r="J492" i="1"/>
  <c r="B493" i="1"/>
  <c r="C493" i="1"/>
  <c r="D493" i="1"/>
  <c r="E493" i="1"/>
  <c r="F493" i="1"/>
  <c r="G493" i="1"/>
  <c r="H493" i="1"/>
  <c r="I493" i="1"/>
  <c r="J493" i="1"/>
  <c r="B494" i="1"/>
  <c r="C494" i="1"/>
  <c r="D494" i="1"/>
  <c r="E494" i="1"/>
  <c r="F494" i="1"/>
  <c r="G494" i="1"/>
  <c r="H494" i="1"/>
  <c r="I494" i="1"/>
  <c r="J494" i="1"/>
  <c r="B495" i="1"/>
  <c r="C495" i="1"/>
  <c r="D495" i="1"/>
  <c r="E495" i="1"/>
  <c r="F495" i="1"/>
  <c r="G495" i="1"/>
  <c r="H495" i="1"/>
  <c r="I495" i="1"/>
  <c r="J495" i="1"/>
  <c r="B496" i="1"/>
  <c r="C496" i="1"/>
  <c r="D496" i="1"/>
  <c r="E496" i="1"/>
  <c r="F496" i="1"/>
  <c r="G496" i="1"/>
  <c r="H496" i="1"/>
  <c r="I496" i="1"/>
  <c r="J496" i="1"/>
  <c r="B497" i="1"/>
  <c r="C497" i="1"/>
  <c r="D497" i="1"/>
  <c r="E497" i="1"/>
  <c r="F497" i="1"/>
  <c r="G497" i="1"/>
  <c r="H497" i="1"/>
  <c r="I497" i="1"/>
  <c r="J497" i="1"/>
  <c r="B498" i="1"/>
  <c r="C498" i="1"/>
  <c r="D498" i="1"/>
  <c r="E498" i="1"/>
  <c r="F498" i="1"/>
  <c r="G498" i="1"/>
  <c r="H498" i="1"/>
  <c r="I498" i="1"/>
  <c r="J498" i="1"/>
  <c r="B499" i="1"/>
  <c r="C499" i="1"/>
  <c r="D499" i="1"/>
  <c r="E499" i="1"/>
  <c r="F499" i="1"/>
  <c r="G499" i="1"/>
  <c r="H499" i="1"/>
  <c r="I499" i="1"/>
  <c r="J499" i="1"/>
  <c r="B500" i="1"/>
  <c r="C500" i="1"/>
  <c r="D500" i="1"/>
  <c r="E500" i="1"/>
  <c r="F500" i="1"/>
  <c r="G500" i="1"/>
  <c r="H500" i="1"/>
  <c r="I500" i="1"/>
  <c r="J500" i="1"/>
  <c r="B501" i="1"/>
  <c r="C501" i="1"/>
  <c r="D501" i="1"/>
  <c r="E501" i="1"/>
  <c r="F501" i="1"/>
  <c r="G501" i="1"/>
  <c r="H501" i="1"/>
  <c r="I501" i="1"/>
  <c r="J501" i="1"/>
  <c r="B502" i="1"/>
  <c r="C502" i="1"/>
  <c r="D502" i="1"/>
  <c r="E502" i="1"/>
  <c r="F502" i="1"/>
  <c r="G502" i="1"/>
  <c r="H502" i="1"/>
  <c r="I502" i="1"/>
  <c r="J502" i="1"/>
  <c r="B503" i="1"/>
  <c r="C503" i="1"/>
  <c r="D503" i="1"/>
  <c r="E503" i="1"/>
  <c r="F503" i="1"/>
  <c r="G503" i="1"/>
  <c r="H503" i="1"/>
  <c r="I503" i="1"/>
  <c r="J503" i="1"/>
  <c r="B504" i="1"/>
  <c r="C504" i="1"/>
  <c r="D504" i="1"/>
  <c r="E504" i="1"/>
  <c r="F504" i="1"/>
  <c r="G504" i="1"/>
  <c r="H504" i="1"/>
  <c r="I504" i="1"/>
  <c r="J504" i="1"/>
  <c r="B505" i="1"/>
  <c r="C505" i="1"/>
  <c r="D505" i="1"/>
  <c r="E505" i="1"/>
  <c r="F505" i="1"/>
  <c r="G505" i="1"/>
  <c r="H505" i="1"/>
  <c r="I505" i="1"/>
  <c r="J505" i="1"/>
  <c r="B506" i="1"/>
  <c r="C506" i="1"/>
  <c r="D506" i="1"/>
  <c r="E506" i="1"/>
  <c r="F506" i="1"/>
  <c r="G506" i="1"/>
  <c r="H506" i="1"/>
  <c r="I506" i="1"/>
  <c r="J506" i="1"/>
  <c r="B507" i="1"/>
  <c r="C507" i="1"/>
  <c r="D507" i="1"/>
  <c r="E507" i="1"/>
  <c r="F507" i="1"/>
  <c r="G507" i="1"/>
  <c r="H507" i="1"/>
  <c r="I507" i="1"/>
  <c r="J507" i="1"/>
  <c r="B508" i="1"/>
  <c r="C508" i="1"/>
  <c r="D508" i="1"/>
  <c r="E508" i="1"/>
  <c r="F508" i="1"/>
  <c r="G508" i="1"/>
  <c r="H508" i="1"/>
  <c r="I508" i="1"/>
  <c r="J508" i="1"/>
  <c r="B509" i="1"/>
  <c r="C509" i="1"/>
  <c r="D509" i="1"/>
  <c r="E509" i="1"/>
  <c r="F509" i="1"/>
  <c r="G509" i="1"/>
  <c r="H509" i="1"/>
  <c r="I509" i="1"/>
  <c r="J509" i="1"/>
  <c r="B510" i="1"/>
  <c r="C510" i="1"/>
  <c r="D510" i="1"/>
  <c r="E510" i="1"/>
  <c r="F510" i="1"/>
  <c r="G510" i="1"/>
  <c r="H510" i="1"/>
  <c r="I510" i="1"/>
  <c r="J510" i="1"/>
  <c r="B511" i="1"/>
  <c r="C511" i="1"/>
  <c r="D511" i="1"/>
  <c r="E511" i="1"/>
  <c r="F511" i="1"/>
  <c r="G511" i="1"/>
  <c r="H511" i="1"/>
  <c r="I511" i="1"/>
  <c r="J511" i="1"/>
  <c r="B512" i="1"/>
  <c r="C512" i="1"/>
  <c r="D512" i="1"/>
  <c r="E512" i="1"/>
  <c r="F512" i="1"/>
  <c r="G512" i="1"/>
  <c r="H512" i="1"/>
  <c r="I512" i="1"/>
  <c r="J512" i="1"/>
  <c r="B513" i="1"/>
  <c r="C513" i="1"/>
  <c r="D513" i="1"/>
  <c r="E513" i="1"/>
  <c r="F513" i="1"/>
  <c r="G513" i="1"/>
  <c r="H513" i="1"/>
  <c r="I513" i="1"/>
  <c r="J513" i="1"/>
  <c r="B514" i="1"/>
  <c r="C514" i="1"/>
  <c r="D514" i="1"/>
  <c r="E514" i="1"/>
  <c r="F514" i="1"/>
  <c r="G514" i="1"/>
  <c r="H514" i="1"/>
  <c r="I514" i="1"/>
  <c r="J514" i="1"/>
  <c r="B515" i="1"/>
  <c r="C515" i="1"/>
  <c r="D515" i="1"/>
  <c r="E515" i="1"/>
  <c r="F515" i="1"/>
  <c r="G515" i="1"/>
  <c r="H515" i="1"/>
  <c r="I515" i="1"/>
  <c r="J515" i="1"/>
  <c r="B516" i="1"/>
  <c r="C516" i="1"/>
  <c r="D516" i="1"/>
  <c r="E516" i="1"/>
  <c r="F516" i="1"/>
  <c r="G516" i="1"/>
  <c r="H516" i="1"/>
  <c r="I516" i="1"/>
  <c r="J516" i="1"/>
  <c r="B517" i="1"/>
  <c r="C517" i="1"/>
  <c r="D517" i="1"/>
  <c r="E517" i="1"/>
  <c r="F517" i="1"/>
  <c r="G517" i="1"/>
  <c r="H517" i="1"/>
  <c r="I517" i="1"/>
  <c r="J517" i="1"/>
  <c r="B518" i="1"/>
  <c r="C518" i="1"/>
  <c r="D518" i="1"/>
  <c r="E518" i="1"/>
  <c r="F518" i="1"/>
  <c r="G518" i="1"/>
  <c r="H518" i="1"/>
  <c r="I518" i="1"/>
  <c r="J518" i="1"/>
  <c r="B519" i="1"/>
  <c r="C519" i="1"/>
  <c r="D519" i="1"/>
  <c r="E519" i="1"/>
  <c r="F519" i="1"/>
  <c r="G519" i="1"/>
  <c r="H519" i="1"/>
  <c r="I519" i="1"/>
  <c r="J519" i="1"/>
  <c r="B520" i="1"/>
  <c r="C520" i="1"/>
  <c r="D520" i="1"/>
  <c r="E520" i="1"/>
  <c r="F520" i="1"/>
  <c r="G520" i="1"/>
  <c r="H520" i="1"/>
  <c r="I520" i="1"/>
  <c r="J520" i="1"/>
  <c r="B521" i="1"/>
  <c r="C521" i="1"/>
  <c r="D521" i="1"/>
  <c r="E521" i="1"/>
  <c r="F521" i="1"/>
  <c r="G521" i="1"/>
  <c r="H521" i="1"/>
  <c r="I521" i="1"/>
  <c r="J521" i="1"/>
  <c r="B522" i="1"/>
  <c r="C522" i="1"/>
  <c r="D522" i="1"/>
  <c r="E522" i="1"/>
  <c r="F522" i="1"/>
  <c r="G522" i="1"/>
  <c r="H522" i="1"/>
  <c r="I522" i="1"/>
  <c r="J522" i="1"/>
  <c r="B523" i="1"/>
  <c r="C523" i="1"/>
  <c r="D523" i="1"/>
  <c r="E523" i="1"/>
  <c r="F523" i="1"/>
  <c r="G523" i="1"/>
  <c r="H523" i="1"/>
  <c r="I523" i="1"/>
  <c r="J523" i="1"/>
  <c r="B524" i="1"/>
  <c r="C524" i="1"/>
  <c r="D524" i="1"/>
  <c r="E524" i="1"/>
  <c r="F524" i="1"/>
  <c r="G524" i="1"/>
  <c r="H524" i="1"/>
  <c r="I524" i="1"/>
  <c r="J524" i="1"/>
  <c r="B525" i="1"/>
  <c r="C525" i="1"/>
  <c r="D525" i="1"/>
  <c r="E525" i="1"/>
  <c r="F525" i="1"/>
  <c r="G525" i="1"/>
  <c r="H525" i="1"/>
  <c r="I525" i="1"/>
  <c r="J525" i="1"/>
  <c r="B526" i="1"/>
  <c r="C526" i="1"/>
  <c r="D526" i="1"/>
  <c r="E526" i="1"/>
  <c r="F526" i="1"/>
  <c r="G526" i="1"/>
  <c r="H526" i="1"/>
  <c r="I526" i="1"/>
  <c r="J526" i="1"/>
  <c r="B527" i="1"/>
  <c r="C527" i="1"/>
  <c r="D527" i="1"/>
  <c r="E527" i="1"/>
  <c r="F527" i="1"/>
  <c r="G527" i="1"/>
  <c r="H527" i="1"/>
  <c r="I527" i="1"/>
  <c r="J527" i="1"/>
  <c r="B528" i="1"/>
  <c r="C528" i="1"/>
  <c r="D528" i="1"/>
  <c r="E528" i="1"/>
  <c r="F528" i="1"/>
  <c r="G528" i="1"/>
  <c r="H528" i="1"/>
  <c r="I528" i="1"/>
  <c r="J528" i="1"/>
  <c r="B529" i="1"/>
  <c r="C529" i="1"/>
  <c r="D529" i="1"/>
  <c r="E529" i="1"/>
  <c r="F529" i="1"/>
  <c r="G529" i="1"/>
  <c r="H529" i="1"/>
  <c r="I529" i="1"/>
  <c r="J529" i="1"/>
  <c r="B530" i="1"/>
  <c r="C530" i="1"/>
  <c r="D530" i="1"/>
  <c r="E530" i="1"/>
  <c r="F530" i="1"/>
  <c r="G530" i="1"/>
  <c r="H530" i="1"/>
  <c r="I530" i="1"/>
  <c r="J530" i="1"/>
  <c r="B531" i="1"/>
  <c r="C531" i="1"/>
  <c r="D531" i="1"/>
  <c r="E531" i="1"/>
  <c r="F531" i="1"/>
  <c r="G531" i="1"/>
  <c r="H531" i="1"/>
  <c r="I531" i="1"/>
  <c r="J531" i="1"/>
  <c r="B532" i="1"/>
  <c r="C532" i="1"/>
  <c r="D532" i="1"/>
  <c r="E532" i="1"/>
  <c r="F532" i="1"/>
  <c r="G532" i="1"/>
  <c r="H532" i="1"/>
  <c r="I532" i="1"/>
  <c r="J532" i="1"/>
  <c r="B533" i="1"/>
  <c r="C533" i="1"/>
  <c r="D533" i="1"/>
  <c r="E533" i="1"/>
  <c r="F533" i="1"/>
  <c r="G533" i="1"/>
  <c r="H533" i="1"/>
  <c r="I533" i="1"/>
  <c r="J533" i="1"/>
  <c r="B534" i="1"/>
  <c r="C534" i="1"/>
  <c r="D534" i="1"/>
  <c r="E534" i="1"/>
  <c r="F534" i="1"/>
  <c r="G534" i="1"/>
  <c r="H534" i="1"/>
  <c r="I534" i="1"/>
  <c r="J534" i="1"/>
  <c r="B535" i="1"/>
  <c r="C535" i="1"/>
  <c r="D535" i="1"/>
  <c r="E535" i="1"/>
  <c r="F535" i="1"/>
  <c r="G535" i="1"/>
  <c r="H535" i="1"/>
  <c r="I535" i="1"/>
  <c r="J535" i="1"/>
  <c r="B536" i="1"/>
  <c r="C536" i="1"/>
  <c r="D536" i="1"/>
  <c r="E536" i="1"/>
  <c r="F536" i="1"/>
  <c r="G536" i="1"/>
  <c r="H536" i="1"/>
  <c r="I536" i="1"/>
  <c r="J536" i="1"/>
  <c r="B537" i="1"/>
  <c r="C537" i="1"/>
  <c r="D537" i="1"/>
  <c r="E537" i="1"/>
  <c r="F537" i="1"/>
  <c r="G537" i="1"/>
  <c r="H537" i="1"/>
  <c r="I537" i="1"/>
  <c r="J537" i="1"/>
  <c r="B538" i="1"/>
  <c r="C538" i="1"/>
  <c r="D538" i="1"/>
  <c r="E538" i="1"/>
  <c r="F538" i="1"/>
  <c r="G538" i="1"/>
  <c r="H538" i="1"/>
  <c r="I538" i="1"/>
  <c r="J538" i="1"/>
  <c r="B539" i="1"/>
  <c r="C539" i="1"/>
  <c r="D539" i="1"/>
  <c r="E539" i="1"/>
  <c r="F539" i="1"/>
  <c r="G539" i="1"/>
  <c r="H539" i="1"/>
  <c r="I539" i="1"/>
  <c r="J539" i="1"/>
  <c r="B540" i="1"/>
  <c r="C540" i="1"/>
  <c r="D540" i="1"/>
  <c r="E540" i="1"/>
  <c r="F540" i="1"/>
  <c r="G540" i="1"/>
  <c r="H540" i="1"/>
  <c r="I540" i="1"/>
  <c r="J540" i="1"/>
  <c r="B541" i="1"/>
  <c r="C541" i="1"/>
  <c r="D541" i="1"/>
  <c r="E541" i="1"/>
  <c r="F541" i="1"/>
  <c r="G541" i="1"/>
  <c r="H541" i="1"/>
  <c r="I541" i="1"/>
  <c r="J541" i="1"/>
  <c r="B542" i="1"/>
  <c r="C542" i="1"/>
  <c r="D542" i="1"/>
  <c r="E542" i="1"/>
  <c r="F542" i="1"/>
  <c r="G542" i="1"/>
  <c r="H542" i="1"/>
  <c r="I542" i="1"/>
  <c r="J542" i="1"/>
  <c r="B543" i="1"/>
  <c r="C543" i="1"/>
  <c r="D543" i="1"/>
  <c r="E543" i="1"/>
  <c r="F543" i="1"/>
  <c r="G543" i="1"/>
  <c r="H543" i="1"/>
  <c r="I543" i="1"/>
  <c r="J543" i="1"/>
  <c r="B544" i="1"/>
  <c r="C544" i="1"/>
  <c r="D544" i="1"/>
  <c r="E544" i="1"/>
  <c r="F544" i="1"/>
  <c r="G544" i="1"/>
  <c r="H544" i="1"/>
  <c r="I544" i="1"/>
  <c r="J544" i="1"/>
  <c r="B545" i="1"/>
  <c r="C545" i="1"/>
  <c r="D545" i="1"/>
  <c r="E545" i="1"/>
  <c r="F545" i="1"/>
  <c r="G545" i="1"/>
  <c r="H545" i="1"/>
  <c r="I545" i="1"/>
  <c r="J545" i="1"/>
  <c r="B546" i="1"/>
  <c r="C546" i="1"/>
  <c r="D546" i="1"/>
  <c r="E546" i="1"/>
  <c r="F546" i="1"/>
  <c r="G546" i="1"/>
  <c r="H546" i="1"/>
  <c r="I546" i="1"/>
  <c r="J546" i="1"/>
  <c r="B547" i="1"/>
  <c r="C547" i="1"/>
  <c r="D547" i="1"/>
  <c r="E547" i="1"/>
  <c r="F547" i="1"/>
  <c r="G547" i="1"/>
  <c r="H547" i="1"/>
  <c r="I547" i="1"/>
  <c r="J547" i="1"/>
  <c r="B548" i="1"/>
  <c r="C548" i="1"/>
  <c r="D548" i="1"/>
  <c r="E548" i="1"/>
  <c r="F548" i="1"/>
  <c r="G548" i="1"/>
  <c r="H548" i="1"/>
  <c r="I548" i="1"/>
  <c r="J548" i="1"/>
  <c r="B549" i="1"/>
  <c r="C549" i="1"/>
  <c r="D549" i="1"/>
  <c r="E549" i="1"/>
  <c r="F549" i="1"/>
  <c r="G549" i="1"/>
  <c r="H549" i="1"/>
  <c r="I549" i="1"/>
  <c r="J549" i="1"/>
  <c r="B550" i="1"/>
  <c r="C550" i="1"/>
  <c r="D550" i="1"/>
  <c r="E550" i="1"/>
  <c r="F550" i="1"/>
  <c r="G550" i="1"/>
  <c r="H550" i="1"/>
  <c r="I550" i="1"/>
  <c r="J550" i="1"/>
  <c r="B551" i="1"/>
  <c r="C551" i="1"/>
  <c r="D551" i="1"/>
  <c r="E551" i="1"/>
  <c r="F551" i="1"/>
  <c r="G551" i="1"/>
  <c r="H551" i="1"/>
  <c r="I551" i="1"/>
  <c r="J551" i="1"/>
  <c r="B552" i="1"/>
  <c r="C552" i="1"/>
  <c r="D552" i="1"/>
  <c r="E552" i="1"/>
  <c r="F552" i="1"/>
  <c r="G552" i="1"/>
  <c r="H552" i="1"/>
  <c r="I552" i="1"/>
  <c r="J552" i="1"/>
  <c r="B553" i="1"/>
  <c r="C553" i="1"/>
  <c r="D553" i="1"/>
  <c r="E553" i="1"/>
  <c r="F553" i="1"/>
  <c r="G553" i="1"/>
  <c r="H553" i="1"/>
  <c r="I553" i="1"/>
  <c r="J553" i="1"/>
  <c r="B554" i="1"/>
  <c r="C554" i="1"/>
  <c r="D554" i="1"/>
  <c r="E554" i="1"/>
  <c r="F554" i="1"/>
  <c r="G554" i="1"/>
  <c r="H554" i="1"/>
  <c r="I554" i="1"/>
  <c r="J554" i="1"/>
  <c r="B555" i="1"/>
  <c r="C555" i="1"/>
  <c r="D555" i="1"/>
  <c r="E555" i="1"/>
  <c r="F555" i="1"/>
  <c r="G555" i="1"/>
  <c r="H555" i="1"/>
  <c r="I555" i="1"/>
  <c r="J555" i="1"/>
  <c r="B556" i="1"/>
  <c r="C556" i="1"/>
  <c r="D556" i="1"/>
  <c r="E556" i="1"/>
  <c r="F556" i="1"/>
  <c r="G556" i="1"/>
  <c r="H556" i="1"/>
  <c r="I556" i="1"/>
  <c r="J556" i="1"/>
  <c r="B557" i="1"/>
  <c r="C557" i="1"/>
  <c r="D557" i="1"/>
  <c r="E557" i="1"/>
  <c r="F557" i="1"/>
  <c r="G557" i="1"/>
  <c r="H557" i="1"/>
  <c r="I557" i="1"/>
  <c r="J557" i="1"/>
  <c r="B558" i="1"/>
  <c r="C558" i="1"/>
  <c r="D558" i="1"/>
  <c r="E558" i="1"/>
  <c r="F558" i="1"/>
  <c r="G558" i="1"/>
  <c r="H558" i="1"/>
  <c r="I558" i="1"/>
  <c r="J558" i="1"/>
  <c r="B559" i="1"/>
  <c r="C559" i="1"/>
  <c r="D559" i="1"/>
  <c r="E559" i="1"/>
  <c r="F559" i="1"/>
  <c r="G559" i="1"/>
  <c r="H559" i="1"/>
  <c r="I559" i="1"/>
  <c r="J559" i="1"/>
  <c r="B560" i="1"/>
  <c r="C560" i="1"/>
  <c r="D560" i="1"/>
  <c r="E560" i="1"/>
  <c r="F560" i="1"/>
  <c r="G560" i="1"/>
  <c r="H560" i="1"/>
  <c r="I560" i="1"/>
  <c r="J560" i="1"/>
  <c r="B561" i="1"/>
  <c r="C561" i="1"/>
  <c r="D561" i="1"/>
  <c r="E561" i="1"/>
  <c r="F561" i="1"/>
  <c r="G561" i="1"/>
  <c r="H561" i="1"/>
  <c r="I561" i="1"/>
  <c r="J561" i="1"/>
  <c r="B562" i="1"/>
  <c r="C562" i="1"/>
  <c r="D562" i="1"/>
  <c r="E562" i="1"/>
  <c r="F562" i="1"/>
  <c r="G562" i="1"/>
  <c r="H562" i="1"/>
  <c r="I562" i="1"/>
  <c r="J562" i="1"/>
  <c r="B563" i="1"/>
  <c r="C563" i="1"/>
  <c r="D563" i="1"/>
  <c r="E563" i="1"/>
  <c r="F563" i="1"/>
  <c r="G563" i="1"/>
  <c r="H563" i="1"/>
  <c r="I563" i="1"/>
  <c r="J563" i="1"/>
  <c r="B564" i="1"/>
  <c r="C564" i="1"/>
  <c r="D564" i="1"/>
  <c r="E564" i="1"/>
  <c r="F564" i="1"/>
  <c r="G564" i="1"/>
  <c r="H564" i="1"/>
  <c r="I564" i="1"/>
  <c r="J564" i="1"/>
  <c r="B565" i="1"/>
  <c r="C565" i="1"/>
  <c r="D565" i="1"/>
  <c r="E565" i="1"/>
  <c r="F565" i="1"/>
  <c r="G565" i="1"/>
  <c r="H565" i="1"/>
  <c r="I565" i="1"/>
  <c r="J565" i="1"/>
  <c r="B566" i="1"/>
  <c r="C566" i="1"/>
  <c r="D566" i="1"/>
  <c r="E566" i="1"/>
  <c r="F566" i="1"/>
  <c r="G566" i="1"/>
  <c r="H566" i="1"/>
  <c r="I566" i="1"/>
  <c r="J566" i="1"/>
  <c r="B567" i="1"/>
  <c r="C567" i="1"/>
  <c r="D567" i="1"/>
  <c r="E567" i="1"/>
  <c r="F567" i="1"/>
  <c r="G567" i="1"/>
  <c r="H567" i="1"/>
  <c r="I567" i="1"/>
  <c r="J567" i="1"/>
  <c r="B568" i="1"/>
  <c r="C568" i="1"/>
  <c r="D568" i="1"/>
  <c r="E568" i="1"/>
  <c r="F568" i="1"/>
  <c r="G568" i="1"/>
  <c r="H568" i="1"/>
  <c r="I568" i="1"/>
  <c r="J568" i="1"/>
  <c r="B569" i="1"/>
  <c r="C569" i="1"/>
  <c r="D569" i="1"/>
  <c r="E569" i="1"/>
  <c r="F569" i="1"/>
  <c r="G569" i="1"/>
  <c r="H569" i="1"/>
  <c r="I569" i="1"/>
  <c r="J569" i="1"/>
  <c r="B570" i="1"/>
  <c r="C570" i="1"/>
  <c r="D570" i="1"/>
  <c r="E570" i="1"/>
  <c r="F570" i="1"/>
  <c r="G570" i="1"/>
  <c r="H570" i="1"/>
  <c r="I570" i="1"/>
  <c r="J570" i="1"/>
  <c r="B571" i="1"/>
  <c r="C571" i="1"/>
  <c r="D571" i="1"/>
  <c r="E571" i="1"/>
  <c r="F571" i="1"/>
  <c r="G571" i="1"/>
  <c r="H571" i="1"/>
  <c r="I571" i="1"/>
  <c r="J571" i="1"/>
  <c r="B572" i="1"/>
  <c r="C572" i="1"/>
  <c r="D572" i="1"/>
  <c r="E572" i="1"/>
  <c r="F572" i="1"/>
  <c r="G572" i="1"/>
  <c r="H572" i="1"/>
  <c r="I572" i="1"/>
  <c r="J572" i="1"/>
  <c r="B573" i="1"/>
  <c r="C573" i="1"/>
  <c r="D573" i="1"/>
  <c r="E573" i="1"/>
  <c r="F573" i="1"/>
  <c r="G573" i="1"/>
  <c r="H573" i="1"/>
  <c r="I573" i="1"/>
  <c r="J573" i="1"/>
  <c r="B574" i="1"/>
  <c r="C574" i="1"/>
  <c r="D574" i="1"/>
  <c r="E574" i="1"/>
  <c r="F574" i="1"/>
  <c r="G574" i="1"/>
  <c r="H574" i="1"/>
  <c r="I574" i="1"/>
  <c r="J574" i="1"/>
  <c r="B575" i="1"/>
  <c r="C575" i="1"/>
  <c r="D575" i="1"/>
  <c r="E575" i="1"/>
  <c r="F575" i="1"/>
  <c r="G575" i="1"/>
  <c r="H575" i="1"/>
  <c r="I575" i="1"/>
  <c r="J575" i="1"/>
  <c r="B576" i="1"/>
  <c r="C576" i="1"/>
  <c r="D576" i="1"/>
  <c r="E576" i="1"/>
  <c r="F576" i="1"/>
  <c r="G576" i="1"/>
  <c r="H576" i="1"/>
  <c r="I576" i="1"/>
  <c r="J576" i="1"/>
  <c r="B577" i="1"/>
  <c r="C577" i="1"/>
  <c r="D577" i="1"/>
  <c r="E577" i="1"/>
  <c r="F577" i="1"/>
  <c r="G577" i="1"/>
  <c r="H577" i="1"/>
  <c r="I577" i="1"/>
  <c r="J577" i="1"/>
  <c r="B578" i="1"/>
  <c r="C578" i="1"/>
  <c r="D578" i="1"/>
  <c r="E578" i="1"/>
  <c r="F578" i="1"/>
  <c r="G578" i="1"/>
  <c r="H578" i="1"/>
  <c r="I578" i="1"/>
  <c r="J578" i="1"/>
  <c r="B579" i="1"/>
  <c r="C579" i="1"/>
  <c r="D579" i="1"/>
  <c r="E579" i="1"/>
  <c r="F579" i="1"/>
  <c r="G579" i="1"/>
  <c r="H579" i="1"/>
  <c r="I579" i="1"/>
  <c r="J579" i="1"/>
  <c r="B580" i="1"/>
  <c r="C580" i="1"/>
  <c r="D580" i="1"/>
  <c r="E580" i="1"/>
  <c r="F580" i="1"/>
  <c r="G580" i="1"/>
  <c r="H580" i="1"/>
  <c r="I580" i="1"/>
  <c r="J580" i="1"/>
  <c r="B581" i="1"/>
  <c r="C581" i="1"/>
  <c r="D581" i="1"/>
  <c r="E581" i="1"/>
  <c r="F581" i="1"/>
  <c r="G581" i="1"/>
  <c r="H581" i="1"/>
  <c r="I581" i="1"/>
  <c r="J581" i="1"/>
  <c r="B582" i="1"/>
  <c r="C582" i="1"/>
  <c r="D582" i="1"/>
  <c r="E582" i="1"/>
  <c r="F582" i="1"/>
  <c r="G582" i="1"/>
  <c r="H582" i="1"/>
  <c r="I582" i="1"/>
  <c r="J582" i="1"/>
  <c r="B583" i="1"/>
  <c r="C583" i="1"/>
  <c r="D583" i="1"/>
  <c r="E583" i="1"/>
  <c r="F583" i="1"/>
  <c r="G583" i="1"/>
  <c r="H583" i="1"/>
  <c r="I583" i="1"/>
  <c r="J583" i="1"/>
  <c r="B584" i="1"/>
  <c r="C584" i="1"/>
  <c r="D584" i="1"/>
  <c r="E584" i="1"/>
  <c r="F584" i="1"/>
  <c r="G584" i="1"/>
  <c r="H584" i="1"/>
  <c r="I584" i="1"/>
  <c r="J584" i="1"/>
  <c r="B585" i="1"/>
  <c r="C585" i="1"/>
  <c r="D585" i="1"/>
  <c r="E585" i="1"/>
  <c r="F585" i="1"/>
  <c r="G585" i="1"/>
  <c r="H585" i="1"/>
  <c r="I585" i="1"/>
  <c r="J585" i="1"/>
  <c r="B586" i="1"/>
  <c r="C586" i="1"/>
  <c r="D586" i="1"/>
  <c r="E586" i="1"/>
  <c r="F586" i="1"/>
  <c r="G586" i="1"/>
  <c r="H586" i="1"/>
  <c r="I586" i="1"/>
  <c r="J586" i="1"/>
  <c r="B587" i="1"/>
  <c r="C587" i="1"/>
  <c r="D587" i="1"/>
  <c r="E587" i="1"/>
  <c r="F587" i="1"/>
  <c r="G587" i="1"/>
  <c r="H587" i="1"/>
  <c r="I587" i="1"/>
  <c r="J587" i="1"/>
  <c r="B588" i="1"/>
  <c r="C588" i="1"/>
  <c r="D588" i="1"/>
  <c r="E588" i="1"/>
  <c r="F588" i="1"/>
  <c r="G588" i="1"/>
  <c r="H588" i="1"/>
  <c r="I588" i="1"/>
  <c r="J588" i="1"/>
  <c r="B589" i="1"/>
  <c r="C589" i="1"/>
  <c r="D589" i="1"/>
  <c r="E589" i="1"/>
  <c r="F589" i="1"/>
  <c r="G589" i="1"/>
  <c r="H589" i="1"/>
  <c r="I589" i="1"/>
  <c r="J589" i="1"/>
  <c r="B590" i="1"/>
  <c r="C590" i="1"/>
  <c r="D590" i="1"/>
  <c r="E590" i="1"/>
  <c r="F590" i="1"/>
  <c r="G590" i="1"/>
  <c r="H590" i="1"/>
  <c r="I590" i="1"/>
  <c r="J590" i="1"/>
  <c r="B591" i="1"/>
  <c r="C591" i="1"/>
  <c r="D591" i="1"/>
  <c r="E591" i="1"/>
  <c r="F591" i="1"/>
  <c r="G591" i="1"/>
  <c r="H591" i="1"/>
  <c r="I591" i="1"/>
  <c r="J591" i="1"/>
  <c r="B592" i="1"/>
  <c r="C592" i="1"/>
  <c r="D592" i="1"/>
  <c r="E592" i="1"/>
  <c r="F592" i="1"/>
  <c r="G592" i="1"/>
  <c r="H592" i="1"/>
  <c r="I592" i="1"/>
  <c r="J592" i="1"/>
  <c r="B593" i="1"/>
  <c r="C593" i="1"/>
  <c r="D593" i="1"/>
  <c r="E593" i="1"/>
  <c r="F593" i="1"/>
  <c r="G593" i="1"/>
  <c r="H593" i="1"/>
  <c r="I593" i="1"/>
  <c r="J593" i="1"/>
  <c r="B594" i="1"/>
  <c r="C594" i="1"/>
  <c r="D594" i="1"/>
  <c r="E594" i="1"/>
  <c r="F594" i="1"/>
  <c r="G594" i="1"/>
  <c r="H594" i="1"/>
  <c r="I594" i="1"/>
  <c r="J594" i="1"/>
  <c r="B595" i="1"/>
  <c r="C595" i="1"/>
  <c r="D595" i="1"/>
  <c r="E595" i="1"/>
  <c r="F595" i="1"/>
  <c r="G595" i="1"/>
  <c r="H595" i="1"/>
  <c r="I595" i="1"/>
  <c r="J595" i="1"/>
  <c r="B596" i="1"/>
  <c r="C596" i="1"/>
  <c r="D596" i="1"/>
  <c r="E596" i="1"/>
  <c r="F596" i="1"/>
  <c r="G596" i="1"/>
  <c r="H596" i="1"/>
  <c r="I596" i="1"/>
  <c r="J596" i="1"/>
  <c r="B597" i="1"/>
  <c r="C597" i="1"/>
  <c r="D597" i="1"/>
  <c r="E597" i="1"/>
  <c r="F597" i="1"/>
  <c r="G597" i="1"/>
  <c r="H597" i="1"/>
  <c r="I597" i="1"/>
  <c r="J597" i="1"/>
  <c r="B598" i="1"/>
  <c r="C598" i="1"/>
  <c r="D598" i="1"/>
  <c r="E598" i="1"/>
  <c r="F598" i="1"/>
  <c r="G598" i="1"/>
  <c r="H598" i="1"/>
  <c r="I598" i="1"/>
  <c r="J598" i="1"/>
  <c r="B599" i="1"/>
  <c r="C599" i="1"/>
  <c r="D599" i="1"/>
  <c r="E599" i="1"/>
  <c r="F599" i="1"/>
  <c r="G599" i="1"/>
  <c r="H599" i="1"/>
  <c r="I599" i="1"/>
  <c r="J599" i="1"/>
  <c r="B600" i="1"/>
  <c r="C600" i="1"/>
  <c r="D600" i="1"/>
  <c r="E600" i="1"/>
  <c r="F600" i="1"/>
  <c r="G600" i="1"/>
  <c r="H600" i="1"/>
  <c r="I600" i="1"/>
  <c r="J600" i="1"/>
  <c r="B601" i="1"/>
  <c r="C601" i="1"/>
  <c r="D601" i="1"/>
  <c r="E601" i="1"/>
  <c r="F601" i="1"/>
  <c r="G601" i="1"/>
  <c r="H601" i="1"/>
  <c r="I601" i="1"/>
  <c r="J601" i="1"/>
  <c r="B602" i="1"/>
  <c r="C602" i="1"/>
  <c r="D602" i="1"/>
  <c r="E602" i="1"/>
  <c r="F602" i="1"/>
  <c r="G602" i="1"/>
  <c r="H602" i="1"/>
  <c r="I602" i="1"/>
  <c r="J602" i="1"/>
  <c r="B603" i="1"/>
  <c r="C603" i="1"/>
  <c r="D603" i="1"/>
  <c r="E603" i="1"/>
  <c r="F603" i="1"/>
  <c r="G603" i="1"/>
  <c r="H603" i="1"/>
  <c r="I603" i="1"/>
  <c r="J603" i="1"/>
  <c r="B604" i="1"/>
  <c r="C604" i="1"/>
  <c r="D604" i="1"/>
  <c r="E604" i="1"/>
  <c r="F604" i="1"/>
  <c r="G604" i="1"/>
  <c r="H604" i="1"/>
  <c r="I604" i="1"/>
  <c r="J604" i="1"/>
  <c r="B605" i="1"/>
  <c r="C605" i="1"/>
  <c r="D605" i="1"/>
  <c r="E605" i="1"/>
  <c r="F605" i="1"/>
  <c r="G605" i="1"/>
  <c r="H605" i="1"/>
  <c r="I605" i="1"/>
  <c r="J605" i="1"/>
  <c r="B606" i="1"/>
  <c r="C606" i="1"/>
  <c r="D606" i="1"/>
  <c r="E606" i="1"/>
  <c r="F606" i="1"/>
  <c r="G606" i="1"/>
  <c r="H606" i="1"/>
  <c r="I606" i="1"/>
  <c r="J606" i="1"/>
  <c r="B607" i="1"/>
  <c r="C607" i="1"/>
  <c r="D607" i="1"/>
  <c r="E607" i="1"/>
  <c r="F607" i="1"/>
  <c r="G607" i="1"/>
  <c r="H607" i="1"/>
  <c r="I607" i="1"/>
  <c r="J607" i="1"/>
  <c r="B608" i="1"/>
  <c r="C608" i="1"/>
  <c r="D608" i="1"/>
  <c r="E608" i="1"/>
  <c r="F608" i="1"/>
  <c r="G608" i="1"/>
  <c r="H608" i="1"/>
  <c r="I608" i="1"/>
  <c r="J608" i="1"/>
  <c r="B609" i="1"/>
  <c r="C609" i="1"/>
  <c r="D609" i="1"/>
  <c r="E609" i="1"/>
  <c r="F609" i="1"/>
  <c r="G609" i="1"/>
  <c r="H609" i="1"/>
  <c r="I609" i="1"/>
  <c r="J609" i="1"/>
  <c r="B610" i="1"/>
  <c r="C610" i="1"/>
  <c r="D610" i="1"/>
  <c r="E610" i="1"/>
  <c r="F610" i="1"/>
  <c r="G610" i="1"/>
  <c r="H610" i="1"/>
  <c r="I610" i="1"/>
  <c r="J610" i="1"/>
  <c r="B611" i="1"/>
  <c r="C611" i="1"/>
  <c r="D611" i="1"/>
  <c r="E611" i="1"/>
  <c r="F611" i="1"/>
  <c r="G611" i="1"/>
  <c r="H611" i="1"/>
  <c r="I611" i="1"/>
  <c r="J611" i="1"/>
  <c r="B612" i="1"/>
  <c r="C612" i="1"/>
  <c r="D612" i="1"/>
  <c r="E612" i="1"/>
  <c r="F612" i="1"/>
  <c r="G612" i="1"/>
  <c r="H612" i="1"/>
  <c r="I612" i="1"/>
  <c r="J612" i="1"/>
  <c r="B613" i="1"/>
  <c r="C613" i="1"/>
  <c r="D613" i="1"/>
  <c r="E613" i="1"/>
  <c r="F613" i="1"/>
  <c r="G613" i="1"/>
  <c r="H613" i="1"/>
  <c r="I613" i="1"/>
  <c r="J613" i="1"/>
  <c r="B614" i="1"/>
  <c r="C614" i="1"/>
  <c r="D614" i="1"/>
  <c r="E614" i="1"/>
  <c r="F614" i="1"/>
  <c r="G614" i="1"/>
  <c r="H614" i="1"/>
  <c r="I614" i="1"/>
  <c r="J614" i="1"/>
  <c r="B615" i="1"/>
  <c r="C615" i="1"/>
  <c r="D615" i="1"/>
  <c r="E615" i="1"/>
  <c r="F615" i="1"/>
  <c r="G615" i="1"/>
  <c r="H615" i="1"/>
  <c r="I615" i="1"/>
  <c r="J615" i="1"/>
  <c r="B616" i="1"/>
  <c r="C616" i="1"/>
  <c r="D616" i="1"/>
  <c r="E616" i="1"/>
  <c r="F616" i="1"/>
  <c r="G616" i="1"/>
  <c r="H616" i="1"/>
  <c r="I616" i="1"/>
  <c r="J616" i="1"/>
  <c r="B617" i="1"/>
  <c r="C617" i="1"/>
  <c r="D617" i="1"/>
  <c r="E617" i="1"/>
  <c r="F617" i="1"/>
  <c r="G617" i="1"/>
  <c r="H617" i="1"/>
  <c r="I617" i="1"/>
  <c r="J617" i="1"/>
  <c r="B618" i="1"/>
  <c r="C618" i="1"/>
  <c r="D618" i="1"/>
  <c r="E618" i="1"/>
  <c r="F618" i="1"/>
  <c r="G618" i="1"/>
  <c r="H618" i="1"/>
  <c r="I618" i="1"/>
  <c r="J618" i="1"/>
  <c r="B619" i="1"/>
  <c r="C619" i="1"/>
  <c r="D619" i="1"/>
  <c r="E619" i="1"/>
  <c r="F619" i="1"/>
  <c r="G619" i="1"/>
  <c r="H619" i="1"/>
  <c r="I619" i="1"/>
  <c r="J619" i="1"/>
  <c r="B620" i="1"/>
  <c r="C620" i="1"/>
  <c r="D620" i="1"/>
  <c r="E620" i="1"/>
  <c r="F620" i="1"/>
  <c r="G620" i="1"/>
  <c r="H620" i="1"/>
  <c r="I620" i="1"/>
  <c r="J620" i="1"/>
  <c r="B621" i="1"/>
  <c r="C621" i="1"/>
  <c r="D621" i="1"/>
  <c r="E621" i="1"/>
  <c r="F621" i="1"/>
  <c r="G621" i="1"/>
  <c r="H621" i="1"/>
  <c r="I621" i="1"/>
  <c r="J621" i="1"/>
  <c r="B622" i="1"/>
  <c r="C622" i="1"/>
  <c r="D622" i="1"/>
  <c r="E622" i="1"/>
  <c r="F622" i="1"/>
  <c r="G622" i="1"/>
  <c r="H622" i="1"/>
  <c r="I622" i="1"/>
  <c r="J622" i="1"/>
  <c r="B623" i="1"/>
  <c r="C623" i="1"/>
  <c r="D623" i="1"/>
  <c r="E623" i="1"/>
  <c r="F623" i="1"/>
  <c r="G623" i="1"/>
  <c r="H623" i="1"/>
  <c r="I623" i="1"/>
  <c r="J623" i="1"/>
  <c r="B624" i="1"/>
  <c r="C624" i="1"/>
  <c r="D624" i="1"/>
  <c r="E624" i="1"/>
  <c r="F624" i="1"/>
  <c r="G624" i="1"/>
  <c r="H624" i="1"/>
  <c r="I624" i="1"/>
  <c r="J624" i="1"/>
  <c r="B625" i="1"/>
  <c r="C625" i="1"/>
  <c r="D625" i="1"/>
  <c r="E625" i="1"/>
  <c r="F625" i="1"/>
  <c r="G625" i="1"/>
  <c r="H625" i="1"/>
  <c r="I625" i="1"/>
  <c r="J625" i="1"/>
  <c r="B626" i="1"/>
  <c r="C626" i="1"/>
  <c r="D626" i="1"/>
  <c r="E626" i="1"/>
  <c r="F626" i="1"/>
  <c r="G626" i="1"/>
  <c r="H626" i="1"/>
  <c r="I626" i="1"/>
  <c r="J626" i="1"/>
  <c r="B627" i="1"/>
  <c r="C627" i="1"/>
  <c r="D627" i="1"/>
  <c r="E627" i="1"/>
  <c r="F627" i="1"/>
  <c r="G627" i="1"/>
  <c r="H627" i="1"/>
  <c r="I627" i="1"/>
  <c r="J627" i="1"/>
  <c r="B628" i="1"/>
  <c r="C628" i="1"/>
  <c r="D628" i="1"/>
  <c r="E628" i="1"/>
  <c r="F628" i="1"/>
  <c r="G628" i="1"/>
  <c r="H628" i="1"/>
  <c r="I628" i="1"/>
  <c r="J628" i="1"/>
  <c r="B629" i="1"/>
  <c r="C629" i="1"/>
  <c r="D629" i="1"/>
  <c r="E629" i="1"/>
  <c r="F629" i="1"/>
  <c r="G629" i="1"/>
  <c r="H629" i="1"/>
  <c r="I629" i="1"/>
  <c r="J629" i="1"/>
  <c r="B630" i="1"/>
  <c r="C630" i="1"/>
  <c r="D630" i="1"/>
  <c r="E630" i="1"/>
  <c r="F630" i="1"/>
  <c r="G630" i="1"/>
  <c r="H630" i="1"/>
  <c r="I630" i="1"/>
  <c r="J630" i="1"/>
  <c r="B631" i="1"/>
  <c r="C631" i="1"/>
  <c r="D631" i="1"/>
  <c r="E631" i="1"/>
  <c r="F631" i="1"/>
  <c r="G631" i="1"/>
  <c r="H631" i="1"/>
  <c r="I631" i="1"/>
  <c r="J631" i="1"/>
  <c r="B632" i="1"/>
  <c r="C632" i="1"/>
  <c r="D632" i="1"/>
  <c r="E632" i="1"/>
  <c r="F632" i="1"/>
  <c r="G632" i="1"/>
  <c r="H632" i="1"/>
  <c r="I632" i="1"/>
  <c r="J632" i="1"/>
  <c r="B633" i="1"/>
  <c r="C633" i="1"/>
  <c r="D633" i="1"/>
  <c r="E633" i="1"/>
  <c r="F633" i="1"/>
  <c r="G633" i="1"/>
  <c r="H633" i="1"/>
  <c r="I633" i="1"/>
  <c r="J633" i="1"/>
  <c r="B634" i="1"/>
  <c r="C634" i="1"/>
  <c r="D634" i="1"/>
  <c r="E634" i="1"/>
  <c r="F634" i="1"/>
  <c r="G634" i="1"/>
  <c r="H634" i="1"/>
  <c r="I634" i="1"/>
  <c r="J634" i="1"/>
  <c r="B635" i="1"/>
  <c r="C635" i="1"/>
  <c r="D635" i="1"/>
  <c r="E635" i="1"/>
  <c r="F635" i="1"/>
  <c r="G635" i="1"/>
  <c r="H635" i="1"/>
  <c r="I635" i="1"/>
  <c r="J635" i="1"/>
  <c r="B636" i="1"/>
  <c r="C636" i="1"/>
  <c r="D636" i="1"/>
  <c r="E636" i="1"/>
  <c r="F636" i="1"/>
  <c r="G636" i="1"/>
  <c r="H636" i="1"/>
  <c r="I636" i="1"/>
  <c r="J636" i="1"/>
  <c r="B637" i="1"/>
  <c r="C637" i="1"/>
  <c r="D637" i="1"/>
  <c r="E637" i="1"/>
  <c r="F637" i="1"/>
  <c r="G637" i="1"/>
  <c r="H637" i="1"/>
  <c r="I637" i="1"/>
  <c r="J637" i="1"/>
  <c r="B638" i="1"/>
  <c r="C638" i="1"/>
  <c r="D638" i="1"/>
  <c r="E638" i="1"/>
  <c r="F638" i="1"/>
  <c r="G638" i="1"/>
  <c r="H638" i="1"/>
  <c r="I638" i="1"/>
  <c r="J638" i="1"/>
  <c r="B639" i="1"/>
  <c r="C639" i="1"/>
  <c r="D639" i="1"/>
  <c r="E639" i="1"/>
  <c r="F639" i="1"/>
  <c r="G639" i="1"/>
  <c r="H639" i="1"/>
  <c r="I639" i="1"/>
  <c r="J639" i="1"/>
  <c r="B640" i="1"/>
  <c r="C640" i="1"/>
  <c r="D640" i="1"/>
  <c r="E640" i="1"/>
  <c r="F640" i="1"/>
  <c r="G640" i="1"/>
  <c r="H640" i="1"/>
  <c r="I640" i="1"/>
  <c r="J640" i="1"/>
  <c r="B641" i="1"/>
  <c r="C641" i="1"/>
  <c r="D641" i="1"/>
  <c r="E641" i="1"/>
  <c r="F641" i="1"/>
  <c r="G641" i="1"/>
  <c r="H641" i="1"/>
  <c r="I641" i="1"/>
  <c r="J641" i="1"/>
  <c r="B642" i="1"/>
  <c r="C642" i="1"/>
  <c r="D642" i="1"/>
  <c r="E642" i="1"/>
  <c r="F642" i="1"/>
  <c r="G642" i="1"/>
  <c r="H642" i="1"/>
  <c r="I642" i="1"/>
  <c r="J642" i="1"/>
  <c r="B643" i="1"/>
  <c r="C643" i="1"/>
  <c r="D643" i="1"/>
  <c r="E643" i="1"/>
  <c r="F643" i="1"/>
  <c r="G643" i="1"/>
  <c r="H643" i="1"/>
  <c r="I643" i="1"/>
  <c r="J643" i="1"/>
  <c r="B644" i="1"/>
  <c r="C644" i="1"/>
  <c r="D644" i="1"/>
  <c r="E644" i="1"/>
  <c r="F644" i="1"/>
  <c r="G644" i="1"/>
  <c r="H644" i="1"/>
  <c r="I644" i="1"/>
  <c r="J644" i="1"/>
  <c r="B645" i="1"/>
  <c r="C645" i="1"/>
  <c r="D645" i="1"/>
  <c r="E645" i="1"/>
  <c r="F645" i="1"/>
  <c r="G645" i="1"/>
  <c r="H645" i="1"/>
  <c r="I645" i="1"/>
  <c r="J645" i="1"/>
  <c r="B646" i="1"/>
  <c r="C646" i="1"/>
  <c r="D646" i="1"/>
  <c r="E646" i="1"/>
  <c r="F646" i="1"/>
  <c r="G646" i="1"/>
  <c r="H646" i="1"/>
  <c r="I646" i="1"/>
  <c r="J646" i="1"/>
  <c r="B647" i="1"/>
  <c r="C647" i="1"/>
  <c r="D647" i="1"/>
  <c r="E647" i="1"/>
  <c r="F647" i="1"/>
  <c r="G647" i="1"/>
  <c r="H647" i="1"/>
  <c r="I647" i="1"/>
  <c r="J647" i="1"/>
  <c r="B648" i="1"/>
  <c r="C648" i="1"/>
  <c r="D648" i="1"/>
  <c r="E648" i="1"/>
  <c r="F648" i="1"/>
  <c r="G648" i="1"/>
  <c r="H648" i="1"/>
  <c r="I648" i="1"/>
  <c r="J648" i="1"/>
  <c r="B649" i="1"/>
  <c r="C649" i="1"/>
  <c r="D649" i="1"/>
  <c r="E649" i="1"/>
  <c r="F649" i="1"/>
  <c r="G649" i="1"/>
  <c r="H649" i="1"/>
  <c r="I649" i="1"/>
  <c r="J649" i="1"/>
  <c r="B650" i="1"/>
  <c r="C650" i="1"/>
  <c r="D650" i="1"/>
  <c r="E650" i="1"/>
  <c r="F650" i="1"/>
  <c r="G650" i="1"/>
  <c r="H650" i="1"/>
  <c r="I650" i="1"/>
  <c r="J650" i="1"/>
  <c r="B651" i="1"/>
  <c r="C651" i="1"/>
  <c r="D651" i="1"/>
  <c r="E651" i="1"/>
  <c r="F651" i="1"/>
  <c r="G651" i="1"/>
  <c r="H651" i="1"/>
  <c r="I651" i="1"/>
  <c r="J651" i="1"/>
  <c r="B652" i="1"/>
  <c r="C652" i="1"/>
  <c r="D652" i="1"/>
  <c r="E652" i="1"/>
  <c r="F652" i="1"/>
  <c r="G652" i="1"/>
  <c r="H652" i="1"/>
  <c r="I652" i="1"/>
  <c r="J652" i="1"/>
  <c r="B653" i="1"/>
  <c r="C653" i="1"/>
  <c r="D653" i="1"/>
  <c r="E653" i="1"/>
  <c r="F653" i="1"/>
  <c r="G653" i="1"/>
  <c r="H653" i="1"/>
  <c r="I653" i="1"/>
  <c r="J653" i="1"/>
  <c r="B654" i="1"/>
  <c r="C654" i="1"/>
  <c r="D654" i="1"/>
  <c r="E654" i="1"/>
  <c r="F654" i="1"/>
  <c r="G654" i="1"/>
  <c r="H654" i="1"/>
  <c r="I654" i="1"/>
  <c r="J654" i="1"/>
  <c r="B655" i="1"/>
  <c r="C655" i="1"/>
  <c r="D655" i="1"/>
  <c r="E655" i="1"/>
  <c r="F655" i="1"/>
  <c r="G655" i="1"/>
  <c r="H655" i="1"/>
  <c r="I655" i="1"/>
  <c r="J655" i="1"/>
  <c r="B656" i="1"/>
  <c r="C656" i="1"/>
  <c r="D656" i="1"/>
  <c r="E656" i="1"/>
  <c r="F656" i="1"/>
  <c r="G656" i="1"/>
  <c r="H656" i="1"/>
  <c r="I656" i="1"/>
  <c r="J656" i="1"/>
  <c r="B657" i="1"/>
  <c r="C657" i="1"/>
  <c r="D657" i="1"/>
  <c r="E657" i="1"/>
  <c r="F657" i="1"/>
  <c r="G657" i="1"/>
  <c r="H657" i="1"/>
  <c r="I657" i="1"/>
  <c r="J657" i="1"/>
  <c r="B658" i="1"/>
  <c r="C658" i="1"/>
  <c r="D658" i="1"/>
  <c r="E658" i="1"/>
  <c r="F658" i="1"/>
  <c r="G658" i="1"/>
  <c r="H658" i="1"/>
  <c r="I658" i="1"/>
  <c r="J658" i="1"/>
  <c r="B659" i="1"/>
  <c r="C659" i="1"/>
  <c r="D659" i="1"/>
  <c r="E659" i="1"/>
  <c r="F659" i="1"/>
  <c r="G659" i="1"/>
  <c r="H659" i="1"/>
  <c r="I659" i="1"/>
  <c r="J659" i="1"/>
  <c r="B660" i="1"/>
  <c r="C660" i="1"/>
  <c r="D660" i="1"/>
  <c r="E660" i="1"/>
  <c r="F660" i="1"/>
  <c r="G660" i="1"/>
  <c r="H660" i="1"/>
  <c r="I660" i="1"/>
  <c r="J660" i="1"/>
  <c r="B661" i="1"/>
  <c r="C661" i="1"/>
  <c r="D661" i="1"/>
  <c r="E661" i="1"/>
  <c r="F661" i="1"/>
  <c r="G661" i="1"/>
  <c r="H661" i="1"/>
  <c r="I661" i="1"/>
  <c r="J661" i="1"/>
  <c r="B662" i="1"/>
  <c r="C662" i="1"/>
  <c r="D662" i="1"/>
  <c r="E662" i="1"/>
  <c r="F662" i="1"/>
  <c r="G662" i="1"/>
  <c r="H662" i="1"/>
  <c r="I662" i="1"/>
  <c r="J662" i="1"/>
  <c r="B663" i="1"/>
  <c r="C663" i="1"/>
  <c r="D663" i="1"/>
  <c r="E663" i="1"/>
  <c r="F663" i="1"/>
  <c r="G663" i="1"/>
  <c r="H663" i="1"/>
  <c r="I663" i="1"/>
  <c r="J663" i="1"/>
  <c r="B664" i="1"/>
  <c r="C664" i="1"/>
  <c r="D664" i="1"/>
  <c r="E664" i="1"/>
  <c r="F664" i="1"/>
  <c r="G664" i="1"/>
  <c r="H664" i="1"/>
  <c r="I664" i="1"/>
  <c r="J664" i="1"/>
  <c r="B665" i="1"/>
  <c r="C665" i="1"/>
  <c r="D665" i="1"/>
  <c r="E665" i="1"/>
  <c r="F665" i="1"/>
  <c r="G665" i="1"/>
  <c r="H665" i="1"/>
  <c r="I665" i="1"/>
  <c r="J665" i="1"/>
  <c r="B666" i="1"/>
  <c r="C666" i="1"/>
  <c r="D666" i="1"/>
  <c r="E666" i="1"/>
  <c r="F666" i="1"/>
  <c r="G666" i="1"/>
  <c r="H666" i="1"/>
  <c r="I666" i="1"/>
  <c r="J666" i="1"/>
  <c r="B667" i="1"/>
  <c r="C667" i="1"/>
  <c r="D667" i="1"/>
  <c r="E667" i="1"/>
  <c r="F667" i="1"/>
  <c r="G667" i="1"/>
  <c r="H667" i="1"/>
  <c r="I667" i="1"/>
  <c r="J667" i="1"/>
  <c r="B668" i="1"/>
  <c r="C668" i="1"/>
  <c r="D668" i="1"/>
  <c r="E668" i="1"/>
  <c r="F668" i="1"/>
  <c r="G668" i="1"/>
  <c r="H668" i="1"/>
  <c r="I668" i="1"/>
  <c r="J668" i="1"/>
  <c r="B669" i="1"/>
  <c r="C669" i="1"/>
  <c r="D669" i="1"/>
  <c r="E669" i="1"/>
  <c r="F669" i="1"/>
  <c r="G669" i="1"/>
  <c r="H669" i="1"/>
  <c r="I669" i="1"/>
  <c r="J669" i="1"/>
  <c r="B670" i="1"/>
  <c r="C670" i="1"/>
  <c r="D670" i="1"/>
  <c r="E670" i="1"/>
  <c r="F670" i="1"/>
  <c r="G670" i="1"/>
  <c r="H670" i="1"/>
  <c r="I670" i="1"/>
  <c r="J670" i="1"/>
  <c r="B671" i="1"/>
  <c r="C671" i="1"/>
  <c r="D671" i="1"/>
  <c r="E671" i="1"/>
  <c r="F671" i="1"/>
  <c r="G671" i="1"/>
  <c r="H671" i="1"/>
  <c r="I671" i="1"/>
  <c r="J671" i="1"/>
  <c r="B672" i="1"/>
  <c r="C672" i="1"/>
  <c r="D672" i="1"/>
  <c r="E672" i="1"/>
  <c r="F672" i="1"/>
  <c r="G672" i="1"/>
  <c r="H672" i="1"/>
  <c r="I672" i="1"/>
  <c r="J672" i="1"/>
  <c r="B673" i="1"/>
  <c r="C673" i="1"/>
  <c r="D673" i="1"/>
  <c r="E673" i="1"/>
  <c r="F673" i="1"/>
  <c r="G673" i="1"/>
  <c r="H673" i="1"/>
  <c r="I673" i="1"/>
  <c r="J673" i="1"/>
  <c r="B674" i="1"/>
  <c r="C674" i="1"/>
  <c r="D674" i="1"/>
  <c r="E674" i="1"/>
  <c r="F674" i="1"/>
  <c r="G674" i="1"/>
  <c r="H674" i="1"/>
  <c r="I674" i="1"/>
  <c r="J674" i="1"/>
  <c r="B675" i="1"/>
  <c r="C675" i="1"/>
  <c r="D675" i="1"/>
  <c r="E675" i="1"/>
  <c r="F675" i="1"/>
  <c r="G675" i="1"/>
  <c r="H675" i="1"/>
  <c r="I675" i="1"/>
  <c r="J675" i="1"/>
  <c r="B676" i="1"/>
  <c r="C676" i="1"/>
  <c r="D676" i="1"/>
  <c r="E676" i="1"/>
  <c r="F676" i="1"/>
  <c r="G676" i="1"/>
  <c r="H676" i="1"/>
  <c r="I676" i="1"/>
  <c r="J676" i="1"/>
  <c r="B677" i="1"/>
  <c r="C677" i="1"/>
  <c r="D677" i="1"/>
  <c r="E677" i="1"/>
  <c r="F677" i="1"/>
  <c r="G677" i="1"/>
  <c r="H677" i="1"/>
  <c r="I677" i="1"/>
  <c r="J677" i="1"/>
  <c r="B678" i="1"/>
  <c r="C678" i="1"/>
  <c r="D678" i="1"/>
  <c r="E678" i="1"/>
  <c r="F678" i="1"/>
  <c r="G678" i="1"/>
  <c r="H678" i="1"/>
  <c r="I678" i="1"/>
  <c r="J678" i="1"/>
  <c r="B679" i="1"/>
  <c r="C679" i="1"/>
  <c r="D679" i="1"/>
  <c r="E679" i="1"/>
  <c r="F679" i="1"/>
  <c r="G679" i="1"/>
  <c r="H679" i="1"/>
  <c r="I679" i="1"/>
  <c r="J679" i="1"/>
  <c r="B680" i="1"/>
  <c r="C680" i="1"/>
  <c r="D680" i="1"/>
  <c r="E680" i="1"/>
  <c r="F680" i="1"/>
  <c r="G680" i="1"/>
  <c r="H680" i="1"/>
  <c r="I680" i="1"/>
  <c r="J680" i="1"/>
  <c r="B681" i="1"/>
  <c r="C681" i="1"/>
  <c r="D681" i="1"/>
  <c r="E681" i="1"/>
  <c r="F681" i="1"/>
  <c r="G681" i="1"/>
  <c r="H681" i="1"/>
  <c r="I681" i="1"/>
  <c r="J681" i="1"/>
  <c r="B682" i="1"/>
  <c r="C682" i="1"/>
  <c r="D682" i="1"/>
  <c r="E682" i="1"/>
  <c r="F682" i="1"/>
  <c r="G682" i="1"/>
  <c r="H682" i="1"/>
  <c r="I682" i="1"/>
  <c r="J682" i="1"/>
  <c r="B683" i="1"/>
  <c r="C683" i="1"/>
  <c r="D683" i="1"/>
  <c r="E683" i="1"/>
  <c r="F683" i="1"/>
  <c r="G683" i="1"/>
  <c r="H683" i="1"/>
  <c r="I683" i="1"/>
  <c r="J683" i="1"/>
  <c r="B684" i="1"/>
  <c r="C684" i="1"/>
  <c r="D684" i="1"/>
  <c r="E684" i="1"/>
  <c r="F684" i="1"/>
  <c r="G684" i="1"/>
  <c r="H684" i="1"/>
  <c r="I684" i="1"/>
  <c r="J684" i="1"/>
  <c r="B685" i="1"/>
  <c r="C685" i="1"/>
  <c r="D685" i="1"/>
  <c r="E685" i="1"/>
  <c r="F685" i="1"/>
  <c r="G685" i="1"/>
  <c r="H685" i="1"/>
  <c r="I685" i="1"/>
  <c r="J685" i="1"/>
  <c r="B686" i="1"/>
  <c r="C686" i="1"/>
  <c r="D686" i="1"/>
  <c r="E686" i="1"/>
  <c r="F686" i="1"/>
  <c r="G686" i="1"/>
  <c r="H686" i="1"/>
  <c r="I686" i="1"/>
  <c r="J686" i="1"/>
  <c r="B687" i="1"/>
  <c r="C687" i="1"/>
  <c r="D687" i="1"/>
  <c r="E687" i="1"/>
  <c r="F687" i="1"/>
  <c r="G687" i="1"/>
  <c r="H687" i="1"/>
  <c r="I687" i="1"/>
  <c r="J687" i="1"/>
  <c r="B688" i="1"/>
  <c r="C688" i="1"/>
  <c r="D688" i="1"/>
  <c r="E688" i="1"/>
  <c r="F688" i="1"/>
  <c r="G688" i="1"/>
  <c r="H688" i="1"/>
  <c r="I688" i="1"/>
  <c r="J688" i="1"/>
  <c r="B689" i="1"/>
  <c r="C689" i="1"/>
  <c r="D689" i="1"/>
  <c r="E689" i="1"/>
  <c r="F689" i="1"/>
  <c r="G689" i="1"/>
  <c r="H689" i="1"/>
  <c r="I689" i="1"/>
  <c r="J689" i="1"/>
  <c r="B690" i="1"/>
  <c r="C690" i="1"/>
  <c r="D690" i="1"/>
  <c r="E690" i="1"/>
  <c r="F690" i="1"/>
  <c r="G690" i="1"/>
  <c r="H690" i="1"/>
  <c r="I690" i="1"/>
  <c r="J690" i="1"/>
  <c r="B691" i="1"/>
  <c r="C691" i="1"/>
  <c r="D691" i="1"/>
  <c r="E691" i="1"/>
  <c r="F691" i="1"/>
  <c r="G691" i="1"/>
  <c r="H691" i="1"/>
  <c r="I691" i="1"/>
  <c r="J691" i="1"/>
  <c r="B692" i="1"/>
  <c r="C692" i="1"/>
  <c r="D692" i="1"/>
  <c r="E692" i="1"/>
  <c r="F692" i="1"/>
  <c r="G692" i="1"/>
  <c r="H692" i="1"/>
  <c r="I692" i="1"/>
  <c r="J692" i="1"/>
  <c r="B693" i="1"/>
  <c r="C693" i="1"/>
  <c r="D693" i="1"/>
  <c r="E693" i="1"/>
  <c r="F693" i="1"/>
  <c r="G693" i="1"/>
  <c r="H693" i="1"/>
  <c r="I693" i="1"/>
  <c r="J693" i="1"/>
  <c r="B694" i="1"/>
  <c r="C694" i="1"/>
  <c r="D694" i="1"/>
  <c r="E694" i="1"/>
  <c r="F694" i="1"/>
  <c r="G694" i="1"/>
  <c r="H694" i="1"/>
  <c r="I694" i="1"/>
  <c r="J694" i="1"/>
  <c r="B695" i="1"/>
  <c r="C695" i="1"/>
  <c r="D695" i="1"/>
  <c r="E695" i="1"/>
  <c r="F695" i="1"/>
  <c r="G695" i="1"/>
  <c r="H695" i="1"/>
  <c r="I695" i="1"/>
  <c r="J695" i="1"/>
  <c r="B696" i="1"/>
  <c r="C696" i="1"/>
  <c r="D696" i="1"/>
  <c r="E696" i="1"/>
  <c r="F696" i="1"/>
  <c r="G696" i="1"/>
  <c r="H696" i="1"/>
  <c r="I696" i="1"/>
  <c r="J696" i="1"/>
  <c r="B697" i="1"/>
  <c r="C697" i="1"/>
  <c r="D697" i="1"/>
  <c r="E697" i="1"/>
  <c r="F697" i="1"/>
  <c r="G697" i="1"/>
  <c r="H697" i="1"/>
  <c r="I697" i="1"/>
  <c r="J697" i="1"/>
  <c r="B698" i="1"/>
  <c r="C698" i="1"/>
  <c r="D698" i="1"/>
  <c r="E698" i="1"/>
  <c r="F698" i="1"/>
  <c r="G698" i="1"/>
  <c r="H698" i="1"/>
  <c r="I698" i="1"/>
  <c r="J698" i="1"/>
  <c r="B699" i="1"/>
  <c r="C699" i="1"/>
  <c r="D699" i="1"/>
  <c r="E699" i="1"/>
  <c r="F699" i="1"/>
  <c r="G699" i="1"/>
  <c r="H699" i="1"/>
  <c r="I699" i="1"/>
  <c r="J699" i="1"/>
  <c r="B700" i="1"/>
  <c r="C700" i="1"/>
  <c r="D700" i="1"/>
  <c r="E700" i="1"/>
  <c r="F700" i="1"/>
  <c r="G700" i="1"/>
  <c r="H700" i="1"/>
  <c r="I700" i="1"/>
  <c r="J700" i="1"/>
  <c r="B701" i="1"/>
  <c r="C701" i="1"/>
  <c r="D701" i="1"/>
  <c r="E701" i="1"/>
  <c r="F701" i="1"/>
  <c r="G701" i="1"/>
  <c r="H701" i="1"/>
  <c r="I701" i="1"/>
  <c r="J701" i="1"/>
  <c r="B702" i="1"/>
  <c r="C702" i="1"/>
  <c r="D702" i="1"/>
  <c r="E702" i="1"/>
  <c r="F702" i="1"/>
  <c r="G702" i="1"/>
  <c r="H702" i="1"/>
  <c r="I702" i="1"/>
  <c r="J702" i="1"/>
  <c r="B703" i="1"/>
  <c r="C703" i="1"/>
  <c r="D703" i="1"/>
  <c r="E703" i="1"/>
  <c r="F703" i="1"/>
  <c r="G703" i="1"/>
  <c r="H703" i="1"/>
  <c r="I703" i="1"/>
  <c r="J703" i="1"/>
  <c r="B704" i="1"/>
  <c r="C704" i="1"/>
  <c r="D704" i="1"/>
  <c r="E704" i="1"/>
  <c r="F704" i="1"/>
  <c r="G704" i="1"/>
  <c r="H704" i="1"/>
  <c r="I704" i="1"/>
  <c r="J704" i="1"/>
  <c r="B705" i="1"/>
  <c r="C705" i="1"/>
  <c r="D705" i="1"/>
  <c r="E705" i="1"/>
  <c r="F705" i="1"/>
  <c r="G705" i="1"/>
  <c r="H705" i="1"/>
  <c r="I705" i="1"/>
  <c r="J705" i="1"/>
  <c r="B706" i="1"/>
  <c r="C706" i="1"/>
  <c r="D706" i="1"/>
  <c r="E706" i="1"/>
  <c r="F706" i="1"/>
  <c r="G706" i="1"/>
  <c r="H706" i="1"/>
  <c r="I706" i="1"/>
  <c r="J706" i="1"/>
  <c r="B707" i="1"/>
  <c r="C707" i="1"/>
  <c r="D707" i="1"/>
  <c r="E707" i="1"/>
  <c r="F707" i="1"/>
  <c r="G707" i="1"/>
  <c r="H707" i="1"/>
  <c r="I707" i="1"/>
  <c r="J707" i="1"/>
  <c r="B708" i="1"/>
  <c r="C708" i="1"/>
  <c r="D708" i="1"/>
  <c r="E708" i="1"/>
  <c r="F708" i="1"/>
  <c r="G708" i="1"/>
  <c r="H708" i="1"/>
  <c r="I708" i="1"/>
  <c r="J708" i="1"/>
  <c r="B709" i="1"/>
  <c r="C709" i="1"/>
  <c r="D709" i="1"/>
  <c r="E709" i="1"/>
  <c r="F709" i="1"/>
  <c r="G709" i="1"/>
  <c r="H709" i="1"/>
  <c r="I709" i="1"/>
  <c r="J709" i="1"/>
  <c r="B710" i="1"/>
  <c r="C710" i="1"/>
  <c r="D710" i="1"/>
  <c r="E710" i="1"/>
  <c r="F710" i="1"/>
  <c r="G710" i="1"/>
  <c r="H710" i="1"/>
  <c r="I710" i="1"/>
  <c r="J710" i="1"/>
  <c r="B711" i="1"/>
  <c r="C711" i="1"/>
  <c r="D711" i="1"/>
  <c r="E711" i="1"/>
  <c r="F711" i="1"/>
  <c r="G711" i="1"/>
  <c r="H711" i="1"/>
  <c r="I711" i="1"/>
  <c r="J711" i="1"/>
  <c r="B712" i="1"/>
  <c r="C712" i="1"/>
  <c r="D712" i="1"/>
  <c r="E712" i="1"/>
  <c r="F712" i="1"/>
  <c r="G712" i="1"/>
  <c r="H712" i="1"/>
  <c r="I712" i="1"/>
  <c r="J712" i="1"/>
  <c r="B713" i="1"/>
  <c r="C713" i="1"/>
  <c r="D713" i="1"/>
  <c r="E713" i="1"/>
  <c r="F713" i="1"/>
  <c r="G713" i="1"/>
  <c r="H713" i="1"/>
  <c r="I713" i="1"/>
  <c r="J713" i="1"/>
  <c r="B714" i="1"/>
  <c r="C714" i="1"/>
  <c r="D714" i="1"/>
  <c r="E714" i="1"/>
  <c r="F714" i="1"/>
  <c r="G714" i="1"/>
  <c r="H714" i="1"/>
  <c r="I714" i="1"/>
  <c r="J714" i="1"/>
  <c r="B715" i="1"/>
  <c r="C715" i="1"/>
  <c r="D715" i="1"/>
  <c r="E715" i="1"/>
  <c r="F715" i="1"/>
  <c r="G715" i="1"/>
  <c r="H715" i="1"/>
  <c r="I715" i="1"/>
  <c r="J715" i="1"/>
  <c r="B716" i="1"/>
  <c r="C716" i="1"/>
  <c r="D716" i="1"/>
  <c r="E716" i="1"/>
  <c r="F716" i="1"/>
  <c r="G716" i="1"/>
  <c r="H716" i="1"/>
  <c r="I716" i="1"/>
  <c r="J716" i="1"/>
  <c r="B717" i="1"/>
  <c r="C717" i="1"/>
  <c r="D717" i="1"/>
  <c r="E717" i="1"/>
  <c r="F717" i="1"/>
  <c r="G717" i="1"/>
  <c r="H717" i="1"/>
  <c r="I717" i="1"/>
  <c r="J717" i="1"/>
  <c r="B718" i="1"/>
  <c r="C718" i="1"/>
  <c r="D718" i="1"/>
  <c r="E718" i="1"/>
  <c r="F718" i="1"/>
  <c r="G718" i="1"/>
  <c r="H718" i="1"/>
  <c r="I718" i="1"/>
  <c r="J718" i="1"/>
  <c r="B719" i="1"/>
  <c r="C719" i="1"/>
  <c r="D719" i="1"/>
  <c r="E719" i="1"/>
  <c r="F719" i="1"/>
  <c r="G719" i="1"/>
  <c r="H719" i="1"/>
  <c r="I719" i="1"/>
  <c r="J719" i="1"/>
  <c r="B720" i="1"/>
  <c r="C720" i="1"/>
  <c r="D720" i="1"/>
  <c r="E720" i="1"/>
  <c r="F720" i="1"/>
  <c r="G720" i="1"/>
  <c r="H720" i="1"/>
  <c r="I720" i="1"/>
  <c r="J720" i="1"/>
  <c r="B721" i="1"/>
  <c r="C721" i="1"/>
  <c r="D721" i="1"/>
  <c r="E721" i="1"/>
  <c r="F721" i="1"/>
  <c r="G721" i="1"/>
  <c r="H721" i="1"/>
  <c r="I721" i="1"/>
  <c r="J721" i="1"/>
  <c r="B722" i="1"/>
  <c r="C722" i="1"/>
  <c r="D722" i="1"/>
  <c r="E722" i="1"/>
  <c r="F722" i="1"/>
  <c r="G722" i="1"/>
  <c r="H722" i="1"/>
  <c r="I722" i="1"/>
  <c r="J722" i="1"/>
  <c r="B723" i="1"/>
  <c r="C723" i="1"/>
  <c r="D723" i="1"/>
  <c r="E723" i="1"/>
  <c r="F723" i="1"/>
  <c r="G723" i="1"/>
  <c r="H723" i="1"/>
  <c r="I723" i="1"/>
  <c r="J723" i="1"/>
  <c r="B724" i="1"/>
  <c r="C724" i="1"/>
  <c r="D724" i="1"/>
  <c r="E724" i="1"/>
  <c r="F724" i="1"/>
  <c r="G724" i="1"/>
  <c r="H724" i="1"/>
  <c r="I724" i="1"/>
  <c r="J724" i="1"/>
  <c r="B725" i="1"/>
  <c r="C725" i="1"/>
  <c r="D725" i="1"/>
  <c r="E725" i="1"/>
  <c r="F725" i="1"/>
  <c r="G725" i="1"/>
  <c r="H725" i="1"/>
  <c r="I725" i="1"/>
  <c r="J725" i="1"/>
  <c r="B726" i="1"/>
  <c r="C726" i="1"/>
  <c r="D726" i="1"/>
  <c r="E726" i="1"/>
  <c r="F726" i="1"/>
  <c r="G726" i="1"/>
  <c r="H726" i="1"/>
  <c r="I726" i="1"/>
  <c r="J726" i="1"/>
  <c r="B727" i="1"/>
  <c r="C727" i="1"/>
  <c r="D727" i="1"/>
  <c r="E727" i="1"/>
  <c r="F727" i="1"/>
  <c r="G727" i="1"/>
  <c r="H727" i="1"/>
  <c r="I727" i="1"/>
  <c r="J727" i="1"/>
  <c r="B728" i="1"/>
  <c r="C728" i="1"/>
  <c r="D728" i="1"/>
  <c r="E728" i="1"/>
  <c r="F728" i="1"/>
  <c r="G728" i="1"/>
  <c r="H728" i="1"/>
  <c r="I728" i="1"/>
  <c r="J728" i="1"/>
  <c r="B729" i="1"/>
  <c r="C729" i="1"/>
  <c r="D729" i="1"/>
  <c r="E729" i="1"/>
  <c r="F729" i="1"/>
  <c r="G729" i="1"/>
  <c r="H729" i="1"/>
  <c r="I729" i="1"/>
  <c r="J729" i="1"/>
  <c r="B730" i="1"/>
  <c r="C730" i="1"/>
  <c r="D730" i="1"/>
  <c r="E730" i="1"/>
  <c r="F730" i="1"/>
  <c r="G730" i="1"/>
  <c r="H730" i="1"/>
  <c r="I730" i="1"/>
  <c r="J730" i="1"/>
  <c r="B731" i="1"/>
  <c r="C731" i="1"/>
  <c r="D731" i="1"/>
  <c r="E731" i="1"/>
  <c r="F731" i="1"/>
  <c r="G731" i="1"/>
  <c r="H731" i="1"/>
  <c r="I731" i="1"/>
  <c r="J731" i="1"/>
  <c r="B732" i="1"/>
  <c r="C732" i="1"/>
  <c r="D732" i="1"/>
  <c r="E732" i="1"/>
  <c r="F732" i="1"/>
  <c r="G732" i="1"/>
  <c r="H732" i="1"/>
  <c r="I732" i="1"/>
  <c r="J732" i="1"/>
  <c r="B733" i="1"/>
  <c r="C733" i="1"/>
  <c r="D733" i="1"/>
  <c r="E733" i="1"/>
  <c r="F733" i="1"/>
  <c r="G733" i="1"/>
  <c r="H733" i="1"/>
  <c r="I733" i="1"/>
  <c r="J733" i="1"/>
  <c r="B734" i="1"/>
  <c r="C734" i="1"/>
  <c r="D734" i="1"/>
  <c r="E734" i="1"/>
  <c r="F734" i="1"/>
  <c r="G734" i="1"/>
  <c r="H734" i="1"/>
  <c r="I734" i="1"/>
  <c r="J734" i="1"/>
  <c r="B735" i="1"/>
  <c r="C735" i="1"/>
  <c r="D735" i="1"/>
  <c r="E735" i="1"/>
  <c r="F735" i="1"/>
  <c r="G735" i="1"/>
  <c r="H735" i="1"/>
  <c r="I735" i="1"/>
  <c r="J735" i="1"/>
  <c r="B736" i="1"/>
  <c r="C736" i="1"/>
  <c r="D736" i="1"/>
  <c r="E736" i="1"/>
  <c r="F736" i="1"/>
  <c r="G736" i="1"/>
  <c r="H736" i="1"/>
  <c r="I736" i="1"/>
  <c r="J736" i="1"/>
  <c r="B737" i="1"/>
  <c r="C737" i="1"/>
  <c r="D737" i="1"/>
  <c r="E737" i="1"/>
  <c r="F737" i="1"/>
  <c r="G737" i="1"/>
  <c r="H737" i="1"/>
  <c r="I737" i="1"/>
  <c r="J737" i="1"/>
  <c r="B738" i="1"/>
  <c r="C738" i="1"/>
  <c r="D738" i="1"/>
  <c r="E738" i="1"/>
  <c r="F738" i="1"/>
  <c r="G738" i="1"/>
  <c r="H738" i="1"/>
  <c r="I738" i="1"/>
  <c r="J738" i="1"/>
  <c r="B739" i="1"/>
  <c r="C739" i="1"/>
  <c r="D739" i="1"/>
  <c r="E739" i="1"/>
  <c r="F739" i="1"/>
  <c r="G739" i="1"/>
  <c r="H739" i="1"/>
  <c r="I739" i="1"/>
  <c r="J739" i="1"/>
  <c r="B740" i="1"/>
  <c r="C740" i="1"/>
  <c r="D740" i="1"/>
  <c r="E740" i="1"/>
  <c r="F740" i="1"/>
  <c r="G740" i="1"/>
  <c r="H740" i="1"/>
  <c r="I740" i="1"/>
  <c r="J740" i="1"/>
  <c r="B741" i="1"/>
  <c r="C741" i="1"/>
  <c r="D741" i="1"/>
  <c r="E741" i="1"/>
  <c r="F741" i="1"/>
  <c r="G741" i="1"/>
  <c r="H741" i="1"/>
  <c r="I741" i="1"/>
  <c r="J741" i="1"/>
  <c r="B742" i="1"/>
  <c r="C742" i="1"/>
  <c r="D742" i="1"/>
  <c r="E742" i="1"/>
  <c r="F742" i="1"/>
  <c r="G742" i="1"/>
  <c r="H742" i="1"/>
  <c r="I742" i="1"/>
  <c r="J742" i="1"/>
  <c r="B743" i="1"/>
  <c r="C743" i="1"/>
  <c r="D743" i="1"/>
  <c r="E743" i="1"/>
  <c r="F743" i="1"/>
  <c r="G743" i="1"/>
  <c r="H743" i="1"/>
  <c r="I743" i="1"/>
  <c r="J743" i="1"/>
  <c r="B744" i="1"/>
  <c r="C744" i="1"/>
  <c r="D744" i="1"/>
  <c r="E744" i="1"/>
  <c r="F744" i="1"/>
  <c r="G744" i="1"/>
  <c r="H744" i="1"/>
  <c r="I744" i="1"/>
  <c r="J744" i="1"/>
  <c r="B745" i="1"/>
  <c r="C745" i="1"/>
  <c r="D745" i="1"/>
  <c r="E745" i="1"/>
  <c r="F745" i="1"/>
  <c r="G745" i="1"/>
  <c r="H745" i="1"/>
  <c r="I745" i="1"/>
  <c r="J745" i="1"/>
  <c r="B746" i="1"/>
  <c r="C746" i="1"/>
  <c r="D746" i="1"/>
  <c r="E746" i="1"/>
  <c r="F746" i="1"/>
  <c r="G746" i="1"/>
  <c r="H746" i="1"/>
  <c r="I746" i="1"/>
  <c r="J746" i="1"/>
  <c r="B747" i="1"/>
  <c r="C747" i="1"/>
  <c r="D747" i="1"/>
  <c r="E747" i="1"/>
  <c r="F747" i="1"/>
  <c r="G747" i="1"/>
  <c r="H747" i="1"/>
  <c r="I747" i="1"/>
  <c r="J747" i="1"/>
  <c r="B748" i="1"/>
  <c r="C748" i="1"/>
  <c r="D748" i="1"/>
  <c r="E748" i="1"/>
  <c r="F748" i="1"/>
  <c r="G748" i="1"/>
  <c r="H748" i="1"/>
  <c r="I748" i="1"/>
  <c r="J748" i="1"/>
  <c r="B749" i="1"/>
  <c r="C749" i="1"/>
  <c r="D749" i="1"/>
  <c r="E749" i="1"/>
  <c r="F749" i="1"/>
  <c r="G749" i="1"/>
  <c r="H749" i="1"/>
  <c r="I749" i="1"/>
  <c r="J749" i="1"/>
  <c r="B750" i="1"/>
  <c r="C750" i="1"/>
  <c r="D750" i="1"/>
  <c r="E750" i="1"/>
  <c r="F750" i="1"/>
  <c r="G750" i="1"/>
  <c r="H750" i="1"/>
  <c r="I750" i="1"/>
  <c r="J750" i="1"/>
  <c r="B751" i="1"/>
  <c r="C751" i="1"/>
  <c r="D751" i="1"/>
  <c r="E751" i="1"/>
  <c r="F751" i="1"/>
  <c r="G751" i="1"/>
  <c r="H751" i="1"/>
  <c r="I751" i="1"/>
  <c r="J751" i="1"/>
  <c r="B752" i="1"/>
  <c r="C752" i="1"/>
  <c r="D752" i="1"/>
  <c r="E752" i="1"/>
  <c r="F752" i="1"/>
  <c r="G752" i="1"/>
  <c r="H752" i="1"/>
  <c r="I752" i="1"/>
  <c r="J752" i="1"/>
  <c r="B753" i="1"/>
  <c r="C753" i="1"/>
  <c r="D753" i="1"/>
  <c r="E753" i="1"/>
  <c r="F753" i="1"/>
  <c r="G753" i="1"/>
  <c r="H753" i="1"/>
  <c r="I753" i="1"/>
  <c r="J753" i="1"/>
  <c r="B754" i="1"/>
  <c r="C754" i="1"/>
  <c r="D754" i="1"/>
  <c r="E754" i="1"/>
  <c r="F754" i="1"/>
  <c r="G754" i="1"/>
  <c r="H754" i="1"/>
  <c r="I754" i="1"/>
  <c r="J754" i="1"/>
  <c r="B755" i="1"/>
  <c r="C755" i="1"/>
  <c r="D755" i="1"/>
  <c r="E755" i="1"/>
  <c r="F755" i="1"/>
  <c r="G755" i="1"/>
  <c r="H755" i="1"/>
  <c r="I755" i="1"/>
  <c r="J755" i="1"/>
  <c r="B756" i="1"/>
  <c r="C756" i="1"/>
  <c r="D756" i="1"/>
  <c r="E756" i="1"/>
  <c r="F756" i="1"/>
  <c r="G756" i="1"/>
  <c r="H756" i="1"/>
  <c r="I756" i="1"/>
  <c r="J756" i="1"/>
  <c r="B757" i="1"/>
  <c r="C757" i="1"/>
  <c r="D757" i="1"/>
  <c r="E757" i="1"/>
  <c r="F757" i="1"/>
  <c r="G757" i="1"/>
  <c r="H757" i="1"/>
  <c r="I757" i="1"/>
  <c r="J757" i="1"/>
  <c r="B758" i="1"/>
  <c r="C758" i="1"/>
  <c r="D758" i="1"/>
  <c r="E758" i="1"/>
  <c r="F758" i="1"/>
  <c r="G758" i="1"/>
  <c r="H758" i="1"/>
  <c r="I758" i="1"/>
  <c r="J758" i="1"/>
  <c r="B759" i="1"/>
  <c r="C759" i="1"/>
  <c r="D759" i="1"/>
  <c r="E759" i="1"/>
  <c r="F759" i="1"/>
  <c r="G759" i="1"/>
  <c r="H759" i="1"/>
  <c r="I759" i="1"/>
  <c r="J759" i="1"/>
  <c r="B760" i="1"/>
  <c r="C760" i="1"/>
  <c r="D760" i="1"/>
  <c r="E760" i="1"/>
  <c r="F760" i="1"/>
  <c r="G760" i="1"/>
  <c r="H760" i="1"/>
  <c r="I760" i="1"/>
  <c r="J760" i="1"/>
  <c r="B761" i="1"/>
  <c r="C761" i="1"/>
  <c r="D761" i="1"/>
  <c r="E761" i="1"/>
  <c r="F761" i="1"/>
  <c r="G761" i="1"/>
  <c r="H761" i="1"/>
  <c r="I761" i="1"/>
  <c r="J761" i="1"/>
  <c r="B762" i="1"/>
  <c r="C762" i="1"/>
  <c r="D762" i="1"/>
  <c r="E762" i="1"/>
  <c r="F762" i="1"/>
  <c r="G762" i="1"/>
  <c r="H762" i="1"/>
  <c r="I762" i="1"/>
  <c r="J762" i="1"/>
  <c r="B763" i="1"/>
  <c r="C763" i="1"/>
  <c r="D763" i="1"/>
  <c r="E763" i="1"/>
  <c r="F763" i="1"/>
  <c r="G763" i="1"/>
  <c r="H763" i="1"/>
  <c r="I763" i="1"/>
  <c r="J763" i="1"/>
  <c r="B764" i="1"/>
  <c r="C764" i="1"/>
  <c r="D764" i="1"/>
  <c r="E764" i="1"/>
  <c r="F764" i="1"/>
  <c r="G764" i="1"/>
  <c r="H764" i="1"/>
  <c r="I764" i="1"/>
  <c r="J764" i="1"/>
  <c r="B765" i="1"/>
  <c r="C765" i="1"/>
  <c r="D765" i="1"/>
  <c r="E765" i="1"/>
  <c r="F765" i="1"/>
  <c r="G765" i="1"/>
  <c r="H765" i="1"/>
  <c r="I765" i="1"/>
  <c r="J765" i="1"/>
  <c r="B766" i="1"/>
  <c r="C766" i="1"/>
  <c r="D766" i="1"/>
  <c r="E766" i="1"/>
  <c r="F766" i="1"/>
  <c r="G766" i="1"/>
  <c r="H766" i="1"/>
  <c r="I766" i="1"/>
  <c r="J766" i="1"/>
  <c r="B767" i="1"/>
  <c r="C767" i="1"/>
  <c r="D767" i="1"/>
  <c r="E767" i="1"/>
  <c r="F767" i="1"/>
  <c r="G767" i="1"/>
  <c r="H767" i="1"/>
  <c r="I767" i="1"/>
  <c r="J767" i="1"/>
  <c r="B768" i="1"/>
  <c r="C768" i="1"/>
  <c r="D768" i="1"/>
  <c r="E768" i="1"/>
  <c r="F768" i="1"/>
  <c r="G768" i="1"/>
  <c r="H768" i="1"/>
  <c r="I768" i="1"/>
  <c r="J768" i="1"/>
  <c r="B769" i="1"/>
  <c r="C769" i="1"/>
  <c r="D769" i="1"/>
  <c r="E769" i="1"/>
  <c r="F769" i="1"/>
  <c r="G769" i="1"/>
  <c r="H769" i="1"/>
  <c r="I769" i="1"/>
  <c r="J769" i="1"/>
  <c r="B770" i="1"/>
  <c r="C770" i="1"/>
  <c r="D770" i="1"/>
  <c r="E770" i="1"/>
  <c r="F770" i="1"/>
  <c r="G770" i="1"/>
  <c r="H770" i="1"/>
  <c r="I770" i="1"/>
  <c r="J770" i="1"/>
  <c r="B771" i="1"/>
  <c r="C771" i="1"/>
  <c r="D771" i="1"/>
  <c r="E771" i="1"/>
  <c r="F771" i="1"/>
  <c r="G771" i="1"/>
  <c r="H771" i="1"/>
  <c r="I771" i="1"/>
  <c r="J771" i="1"/>
  <c r="B772" i="1"/>
  <c r="C772" i="1"/>
  <c r="D772" i="1"/>
  <c r="E772" i="1"/>
  <c r="F772" i="1"/>
  <c r="G772" i="1"/>
  <c r="H772" i="1"/>
  <c r="I772" i="1"/>
  <c r="J772" i="1"/>
  <c r="B773" i="1"/>
  <c r="C773" i="1"/>
  <c r="D773" i="1"/>
  <c r="E773" i="1"/>
  <c r="F773" i="1"/>
  <c r="G773" i="1"/>
  <c r="H773" i="1"/>
  <c r="I773" i="1"/>
  <c r="J773" i="1"/>
  <c r="B774" i="1"/>
  <c r="C774" i="1"/>
  <c r="D774" i="1"/>
  <c r="E774" i="1"/>
  <c r="F774" i="1"/>
  <c r="G774" i="1"/>
  <c r="H774" i="1"/>
  <c r="I774" i="1"/>
  <c r="J774" i="1"/>
  <c r="B775" i="1"/>
  <c r="C775" i="1"/>
  <c r="D775" i="1"/>
  <c r="E775" i="1"/>
  <c r="F775" i="1"/>
  <c r="G775" i="1"/>
  <c r="H775" i="1"/>
  <c r="I775" i="1"/>
  <c r="J775" i="1"/>
  <c r="B776" i="1"/>
  <c r="C776" i="1"/>
  <c r="D776" i="1"/>
  <c r="E776" i="1"/>
  <c r="F776" i="1"/>
  <c r="G776" i="1"/>
  <c r="H776" i="1"/>
  <c r="I776" i="1"/>
  <c r="J776" i="1"/>
  <c r="B777" i="1"/>
  <c r="C777" i="1"/>
  <c r="D777" i="1"/>
  <c r="E777" i="1"/>
  <c r="F777" i="1"/>
  <c r="G777" i="1"/>
  <c r="H777" i="1"/>
  <c r="I777" i="1"/>
  <c r="J777" i="1"/>
  <c r="B778" i="1"/>
  <c r="C778" i="1"/>
  <c r="D778" i="1"/>
  <c r="E778" i="1"/>
  <c r="F778" i="1"/>
  <c r="G778" i="1"/>
  <c r="H778" i="1"/>
  <c r="I778" i="1"/>
  <c r="J778" i="1"/>
  <c r="B779" i="1"/>
  <c r="C779" i="1"/>
  <c r="D779" i="1"/>
  <c r="E779" i="1"/>
  <c r="F779" i="1"/>
  <c r="G779" i="1"/>
  <c r="H779" i="1"/>
  <c r="I779" i="1"/>
  <c r="J779" i="1"/>
  <c r="B780" i="1"/>
  <c r="C780" i="1"/>
  <c r="D780" i="1"/>
  <c r="E780" i="1"/>
  <c r="F780" i="1"/>
  <c r="G780" i="1"/>
  <c r="H780" i="1"/>
  <c r="I780" i="1"/>
  <c r="J780" i="1"/>
  <c r="B781" i="1"/>
  <c r="C781" i="1"/>
  <c r="D781" i="1"/>
  <c r="E781" i="1"/>
  <c r="F781" i="1"/>
  <c r="G781" i="1"/>
  <c r="H781" i="1"/>
  <c r="I781" i="1"/>
  <c r="J781" i="1"/>
  <c r="B782" i="1"/>
  <c r="C782" i="1"/>
  <c r="D782" i="1"/>
  <c r="E782" i="1"/>
  <c r="F782" i="1"/>
  <c r="G782" i="1"/>
  <c r="H782" i="1"/>
  <c r="I782" i="1"/>
  <c r="J782" i="1"/>
  <c r="B783" i="1"/>
  <c r="C783" i="1"/>
  <c r="D783" i="1"/>
  <c r="E783" i="1"/>
  <c r="F783" i="1"/>
  <c r="G783" i="1"/>
  <c r="H783" i="1"/>
  <c r="I783" i="1"/>
  <c r="J783" i="1"/>
  <c r="B784" i="1"/>
  <c r="C784" i="1"/>
  <c r="D784" i="1"/>
  <c r="E784" i="1"/>
  <c r="F784" i="1"/>
  <c r="G784" i="1"/>
  <c r="H784" i="1"/>
  <c r="I784" i="1"/>
  <c r="J784" i="1"/>
  <c r="B785" i="1"/>
  <c r="C785" i="1"/>
  <c r="D785" i="1"/>
  <c r="E785" i="1"/>
  <c r="F785" i="1"/>
  <c r="G785" i="1"/>
  <c r="H785" i="1"/>
  <c r="I785" i="1"/>
  <c r="J785" i="1"/>
  <c r="B786" i="1"/>
  <c r="C786" i="1"/>
  <c r="D786" i="1"/>
  <c r="E786" i="1"/>
  <c r="F786" i="1"/>
  <c r="G786" i="1"/>
  <c r="H786" i="1"/>
  <c r="I786" i="1"/>
  <c r="J786" i="1"/>
  <c r="B787" i="1"/>
  <c r="C787" i="1"/>
  <c r="D787" i="1"/>
  <c r="E787" i="1"/>
  <c r="F787" i="1"/>
  <c r="G787" i="1"/>
  <c r="H787" i="1"/>
  <c r="I787" i="1"/>
  <c r="J787" i="1"/>
  <c r="B788" i="1"/>
  <c r="C788" i="1"/>
  <c r="D788" i="1"/>
  <c r="E788" i="1"/>
  <c r="F788" i="1"/>
  <c r="G788" i="1"/>
  <c r="H788" i="1"/>
  <c r="I788" i="1"/>
  <c r="J788" i="1"/>
  <c r="B789" i="1"/>
  <c r="C789" i="1"/>
  <c r="D789" i="1"/>
  <c r="E789" i="1"/>
  <c r="F789" i="1"/>
  <c r="G789" i="1"/>
  <c r="H789" i="1"/>
  <c r="I789" i="1"/>
  <c r="J789" i="1"/>
  <c r="B790" i="1"/>
  <c r="C790" i="1"/>
  <c r="D790" i="1"/>
  <c r="E790" i="1"/>
  <c r="F790" i="1"/>
  <c r="G790" i="1"/>
  <c r="H790" i="1"/>
  <c r="I790" i="1"/>
  <c r="J790" i="1"/>
  <c r="B791" i="1"/>
  <c r="C791" i="1"/>
  <c r="D791" i="1"/>
  <c r="E791" i="1"/>
  <c r="F791" i="1"/>
  <c r="G791" i="1"/>
  <c r="H791" i="1"/>
  <c r="I791" i="1"/>
  <c r="J791" i="1"/>
  <c r="B792" i="1"/>
  <c r="C792" i="1"/>
  <c r="D792" i="1"/>
  <c r="E792" i="1"/>
  <c r="F792" i="1"/>
  <c r="G792" i="1"/>
  <c r="H792" i="1"/>
  <c r="I792" i="1"/>
  <c r="J792" i="1"/>
  <c r="B793" i="1"/>
  <c r="C793" i="1"/>
  <c r="D793" i="1"/>
  <c r="E793" i="1"/>
  <c r="F793" i="1"/>
  <c r="G793" i="1"/>
  <c r="H793" i="1"/>
  <c r="I793" i="1"/>
  <c r="J793" i="1"/>
  <c r="B794" i="1"/>
  <c r="C794" i="1"/>
  <c r="D794" i="1"/>
  <c r="E794" i="1"/>
  <c r="F794" i="1"/>
  <c r="G794" i="1"/>
  <c r="H794" i="1"/>
  <c r="I794" i="1"/>
  <c r="J794" i="1"/>
  <c r="B795" i="1"/>
  <c r="C795" i="1"/>
  <c r="D795" i="1"/>
  <c r="E795" i="1"/>
  <c r="F795" i="1"/>
  <c r="G795" i="1"/>
  <c r="H795" i="1"/>
  <c r="I795" i="1"/>
  <c r="J795" i="1"/>
  <c r="B796" i="1"/>
  <c r="C796" i="1"/>
  <c r="D796" i="1"/>
  <c r="E796" i="1"/>
  <c r="F796" i="1"/>
  <c r="G796" i="1"/>
  <c r="H796" i="1"/>
  <c r="I796" i="1"/>
  <c r="J796" i="1"/>
  <c r="B797" i="1"/>
  <c r="C797" i="1"/>
  <c r="D797" i="1"/>
  <c r="E797" i="1"/>
  <c r="F797" i="1"/>
  <c r="G797" i="1"/>
  <c r="H797" i="1"/>
  <c r="I797" i="1"/>
  <c r="J797" i="1"/>
  <c r="B798" i="1"/>
  <c r="C798" i="1"/>
  <c r="D798" i="1"/>
  <c r="E798" i="1"/>
  <c r="F798" i="1"/>
  <c r="G798" i="1"/>
  <c r="H798" i="1"/>
  <c r="I798" i="1"/>
  <c r="J798" i="1"/>
  <c r="B799" i="1"/>
  <c r="C799" i="1"/>
  <c r="D799" i="1"/>
  <c r="E799" i="1"/>
  <c r="F799" i="1"/>
  <c r="G799" i="1"/>
  <c r="H799" i="1"/>
  <c r="I799" i="1"/>
  <c r="J799" i="1"/>
  <c r="B800" i="1"/>
  <c r="C800" i="1"/>
  <c r="D800" i="1"/>
  <c r="E800" i="1"/>
  <c r="F800" i="1"/>
  <c r="G800" i="1"/>
  <c r="H800" i="1"/>
  <c r="I800" i="1"/>
  <c r="J800" i="1"/>
  <c r="B801" i="1"/>
  <c r="C801" i="1"/>
  <c r="D801" i="1"/>
  <c r="E801" i="1"/>
  <c r="F801" i="1"/>
  <c r="G801" i="1"/>
  <c r="H801" i="1"/>
  <c r="I801" i="1"/>
  <c r="J801" i="1"/>
  <c r="B802" i="1"/>
  <c r="C802" i="1"/>
  <c r="D802" i="1"/>
  <c r="E802" i="1"/>
  <c r="F802" i="1"/>
  <c r="G802" i="1"/>
  <c r="H802" i="1"/>
  <c r="I802" i="1"/>
  <c r="J802" i="1"/>
  <c r="B803" i="1"/>
  <c r="C803" i="1"/>
  <c r="D803" i="1"/>
  <c r="E803" i="1"/>
  <c r="F803" i="1"/>
  <c r="G803" i="1"/>
  <c r="H803" i="1"/>
  <c r="I803" i="1"/>
  <c r="J803" i="1"/>
  <c r="B804" i="1"/>
  <c r="C804" i="1"/>
  <c r="D804" i="1"/>
  <c r="E804" i="1"/>
  <c r="F804" i="1"/>
  <c r="G804" i="1"/>
  <c r="H804" i="1"/>
  <c r="I804" i="1"/>
  <c r="J804" i="1"/>
  <c r="B805" i="1"/>
  <c r="C805" i="1"/>
  <c r="D805" i="1"/>
  <c r="E805" i="1"/>
  <c r="F805" i="1"/>
  <c r="G805" i="1"/>
  <c r="H805" i="1"/>
  <c r="I805" i="1"/>
  <c r="J805" i="1"/>
  <c r="B806" i="1"/>
  <c r="C806" i="1"/>
  <c r="D806" i="1"/>
  <c r="E806" i="1"/>
  <c r="F806" i="1"/>
  <c r="G806" i="1"/>
  <c r="H806" i="1"/>
  <c r="I806" i="1"/>
  <c r="J806" i="1"/>
  <c r="B807" i="1"/>
  <c r="C807" i="1"/>
  <c r="D807" i="1"/>
  <c r="E807" i="1"/>
  <c r="F807" i="1"/>
  <c r="G807" i="1"/>
  <c r="H807" i="1"/>
  <c r="I807" i="1"/>
  <c r="J807" i="1"/>
  <c r="B808" i="1"/>
  <c r="C808" i="1"/>
  <c r="D808" i="1"/>
  <c r="E808" i="1"/>
  <c r="F808" i="1"/>
  <c r="G808" i="1"/>
  <c r="H808" i="1"/>
  <c r="I808" i="1"/>
  <c r="J808" i="1"/>
  <c r="B809" i="1"/>
  <c r="C809" i="1"/>
  <c r="D809" i="1"/>
  <c r="E809" i="1"/>
  <c r="F809" i="1"/>
  <c r="G809" i="1"/>
  <c r="H809" i="1"/>
  <c r="I809" i="1"/>
  <c r="J809" i="1"/>
  <c r="B810" i="1"/>
  <c r="C810" i="1"/>
  <c r="D810" i="1"/>
  <c r="E810" i="1"/>
  <c r="F810" i="1"/>
  <c r="G810" i="1"/>
  <c r="H810" i="1"/>
  <c r="I810" i="1"/>
  <c r="J810" i="1"/>
  <c r="B811" i="1"/>
  <c r="C811" i="1"/>
  <c r="D811" i="1"/>
  <c r="E811" i="1"/>
  <c r="F811" i="1"/>
  <c r="G811" i="1"/>
  <c r="H811" i="1"/>
  <c r="I811" i="1"/>
  <c r="J811" i="1"/>
  <c r="B812" i="1"/>
  <c r="C812" i="1"/>
  <c r="D812" i="1"/>
  <c r="E812" i="1"/>
  <c r="F812" i="1"/>
  <c r="G812" i="1"/>
  <c r="H812" i="1"/>
  <c r="I812" i="1"/>
  <c r="J812" i="1"/>
  <c r="B813" i="1"/>
  <c r="C813" i="1"/>
  <c r="D813" i="1"/>
  <c r="E813" i="1"/>
  <c r="F813" i="1"/>
  <c r="G813" i="1"/>
  <c r="H813" i="1"/>
  <c r="I813" i="1"/>
  <c r="J813" i="1"/>
  <c r="B814" i="1"/>
  <c r="C814" i="1"/>
  <c r="D814" i="1"/>
  <c r="E814" i="1"/>
  <c r="F814" i="1"/>
  <c r="G814" i="1"/>
  <c r="H814" i="1"/>
  <c r="I814" i="1"/>
  <c r="J814" i="1"/>
  <c r="B815" i="1"/>
  <c r="C815" i="1"/>
  <c r="D815" i="1"/>
  <c r="E815" i="1"/>
  <c r="F815" i="1"/>
  <c r="G815" i="1"/>
  <c r="H815" i="1"/>
  <c r="I815" i="1"/>
  <c r="J815" i="1"/>
  <c r="B816" i="1"/>
  <c r="C816" i="1"/>
  <c r="D816" i="1"/>
  <c r="E816" i="1"/>
  <c r="F816" i="1"/>
  <c r="G816" i="1"/>
  <c r="H816" i="1"/>
  <c r="I816" i="1"/>
  <c r="J816" i="1"/>
  <c r="B817" i="1"/>
  <c r="C817" i="1"/>
  <c r="D817" i="1"/>
  <c r="E817" i="1"/>
  <c r="F817" i="1"/>
  <c r="G817" i="1"/>
  <c r="H817" i="1"/>
  <c r="I817" i="1"/>
  <c r="J817" i="1"/>
  <c r="B818" i="1"/>
  <c r="C818" i="1"/>
  <c r="D818" i="1"/>
  <c r="E818" i="1"/>
  <c r="F818" i="1"/>
  <c r="G818" i="1"/>
  <c r="H818" i="1"/>
  <c r="I818" i="1"/>
  <c r="J818" i="1"/>
  <c r="B819" i="1"/>
  <c r="C819" i="1"/>
  <c r="D819" i="1"/>
  <c r="E819" i="1"/>
  <c r="F819" i="1"/>
  <c r="G819" i="1"/>
  <c r="H819" i="1"/>
  <c r="I819" i="1"/>
  <c r="J819" i="1"/>
  <c r="B820" i="1"/>
  <c r="C820" i="1"/>
  <c r="D820" i="1"/>
  <c r="E820" i="1"/>
  <c r="F820" i="1"/>
  <c r="G820" i="1"/>
  <c r="H820" i="1"/>
  <c r="I820" i="1"/>
  <c r="J820" i="1"/>
  <c r="B821" i="1"/>
  <c r="C821" i="1"/>
  <c r="D821" i="1"/>
  <c r="E821" i="1"/>
  <c r="F821" i="1"/>
  <c r="G821" i="1"/>
  <c r="H821" i="1"/>
  <c r="I821" i="1"/>
  <c r="J821" i="1"/>
  <c r="B822" i="1"/>
  <c r="C822" i="1"/>
  <c r="D822" i="1"/>
  <c r="E822" i="1"/>
  <c r="F822" i="1"/>
  <c r="G822" i="1"/>
  <c r="H822" i="1"/>
  <c r="I822" i="1"/>
  <c r="J822" i="1"/>
  <c r="B823" i="1"/>
  <c r="C823" i="1"/>
  <c r="D823" i="1"/>
  <c r="E823" i="1"/>
  <c r="F823" i="1"/>
  <c r="G823" i="1"/>
  <c r="H823" i="1"/>
  <c r="I823" i="1"/>
  <c r="J823" i="1"/>
  <c r="B824" i="1"/>
  <c r="C824" i="1"/>
  <c r="D824" i="1"/>
  <c r="E824" i="1"/>
  <c r="F824" i="1"/>
  <c r="G824" i="1"/>
  <c r="H824" i="1"/>
  <c r="I824" i="1"/>
  <c r="J824" i="1"/>
  <c r="B825" i="1"/>
  <c r="C825" i="1"/>
  <c r="D825" i="1"/>
  <c r="E825" i="1"/>
  <c r="F825" i="1"/>
  <c r="G825" i="1"/>
  <c r="H825" i="1"/>
  <c r="I825" i="1"/>
  <c r="J825" i="1"/>
  <c r="B826" i="1"/>
  <c r="C826" i="1"/>
  <c r="D826" i="1"/>
  <c r="E826" i="1"/>
  <c r="F826" i="1"/>
  <c r="G826" i="1"/>
  <c r="H826" i="1"/>
  <c r="I826" i="1"/>
  <c r="J826" i="1"/>
  <c r="B827" i="1"/>
  <c r="C827" i="1"/>
  <c r="D827" i="1"/>
  <c r="E827" i="1"/>
  <c r="F827" i="1"/>
  <c r="G827" i="1"/>
  <c r="H827" i="1"/>
  <c r="I827" i="1"/>
  <c r="J827" i="1"/>
  <c r="B828" i="1"/>
  <c r="C828" i="1"/>
  <c r="D828" i="1"/>
  <c r="E828" i="1"/>
  <c r="F828" i="1"/>
  <c r="G828" i="1"/>
  <c r="H828" i="1"/>
  <c r="I828" i="1"/>
  <c r="J828" i="1"/>
  <c r="B829" i="1"/>
  <c r="C829" i="1"/>
  <c r="D829" i="1"/>
  <c r="E829" i="1"/>
  <c r="F829" i="1"/>
  <c r="G829" i="1"/>
  <c r="H829" i="1"/>
  <c r="I829" i="1"/>
  <c r="J829" i="1"/>
  <c r="B830" i="1"/>
  <c r="C830" i="1"/>
  <c r="D830" i="1"/>
  <c r="E830" i="1"/>
  <c r="F830" i="1"/>
  <c r="G830" i="1"/>
  <c r="H830" i="1"/>
  <c r="I830" i="1"/>
  <c r="J830" i="1"/>
  <c r="B831" i="1"/>
  <c r="C831" i="1"/>
  <c r="D831" i="1"/>
  <c r="E831" i="1"/>
  <c r="F831" i="1"/>
  <c r="G831" i="1"/>
  <c r="H831" i="1"/>
  <c r="I831" i="1"/>
  <c r="J831" i="1"/>
  <c r="B832" i="1"/>
  <c r="C832" i="1"/>
  <c r="D832" i="1"/>
  <c r="E832" i="1"/>
  <c r="F832" i="1"/>
  <c r="G832" i="1"/>
  <c r="H832" i="1"/>
  <c r="I832" i="1"/>
  <c r="J832" i="1"/>
  <c r="B833" i="1"/>
  <c r="C833" i="1"/>
  <c r="D833" i="1"/>
  <c r="E833" i="1"/>
  <c r="F833" i="1"/>
  <c r="G833" i="1"/>
  <c r="H833" i="1"/>
  <c r="I833" i="1"/>
  <c r="J833" i="1"/>
  <c r="B834" i="1"/>
  <c r="C834" i="1"/>
  <c r="D834" i="1"/>
  <c r="E834" i="1"/>
  <c r="F834" i="1"/>
  <c r="G834" i="1"/>
  <c r="H834" i="1"/>
  <c r="I834" i="1"/>
  <c r="J834" i="1"/>
  <c r="B835" i="1"/>
  <c r="C835" i="1"/>
  <c r="D835" i="1"/>
  <c r="E835" i="1"/>
  <c r="F835" i="1"/>
  <c r="G835" i="1"/>
  <c r="H835" i="1"/>
  <c r="I835" i="1"/>
  <c r="J835" i="1"/>
  <c r="B836" i="1"/>
  <c r="C836" i="1"/>
  <c r="D836" i="1"/>
  <c r="E836" i="1"/>
  <c r="F836" i="1"/>
  <c r="G836" i="1"/>
  <c r="H836" i="1"/>
  <c r="I836" i="1"/>
  <c r="J836" i="1"/>
  <c r="B837" i="1"/>
  <c r="C837" i="1"/>
  <c r="D837" i="1"/>
  <c r="E837" i="1"/>
  <c r="F837" i="1"/>
  <c r="G837" i="1"/>
  <c r="H837" i="1"/>
  <c r="I837" i="1"/>
  <c r="J837" i="1"/>
  <c r="B838" i="1"/>
  <c r="C838" i="1"/>
  <c r="D838" i="1"/>
  <c r="E838" i="1"/>
  <c r="F838" i="1"/>
  <c r="G838" i="1"/>
  <c r="H838" i="1"/>
  <c r="I838" i="1"/>
  <c r="J838" i="1"/>
  <c r="B839" i="1"/>
  <c r="C839" i="1"/>
  <c r="D839" i="1"/>
  <c r="E839" i="1"/>
  <c r="F839" i="1"/>
  <c r="G839" i="1"/>
  <c r="H839" i="1"/>
  <c r="I839" i="1"/>
  <c r="J839" i="1"/>
  <c r="B840" i="1"/>
  <c r="C840" i="1"/>
  <c r="D840" i="1"/>
  <c r="E840" i="1"/>
  <c r="F840" i="1"/>
  <c r="G840" i="1"/>
  <c r="H840" i="1"/>
  <c r="I840" i="1"/>
  <c r="J840" i="1"/>
  <c r="B841" i="1"/>
  <c r="C841" i="1"/>
  <c r="D841" i="1"/>
  <c r="E841" i="1"/>
  <c r="F841" i="1"/>
  <c r="G841" i="1"/>
  <c r="H841" i="1"/>
  <c r="I841" i="1"/>
  <c r="J841" i="1"/>
  <c r="B842" i="1"/>
  <c r="C842" i="1"/>
  <c r="D842" i="1"/>
  <c r="E842" i="1"/>
  <c r="F842" i="1"/>
  <c r="G842" i="1"/>
  <c r="H842" i="1"/>
  <c r="I842" i="1"/>
  <c r="J842" i="1"/>
  <c r="B843" i="1"/>
  <c r="C843" i="1"/>
  <c r="D843" i="1"/>
  <c r="E843" i="1"/>
  <c r="F843" i="1"/>
  <c r="G843" i="1"/>
  <c r="H843" i="1"/>
  <c r="I843" i="1"/>
  <c r="J843" i="1"/>
  <c r="B844" i="1"/>
  <c r="C844" i="1"/>
  <c r="D844" i="1"/>
  <c r="E844" i="1"/>
  <c r="F844" i="1"/>
  <c r="G844" i="1"/>
  <c r="H844" i="1"/>
  <c r="I844" i="1"/>
  <c r="J844" i="1"/>
  <c r="B845" i="1"/>
  <c r="C845" i="1"/>
  <c r="D845" i="1"/>
  <c r="E845" i="1"/>
  <c r="F845" i="1"/>
  <c r="G845" i="1"/>
  <c r="H845" i="1"/>
  <c r="I845" i="1"/>
  <c r="J845" i="1"/>
  <c r="B846" i="1"/>
  <c r="C846" i="1"/>
  <c r="D846" i="1"/>
  <c r="E846" i="1"/>
  <c r="F846" i="1"/>
  <c r="G846" i="1"/>
  <c r="H846" i="1"/>
  <c r="I846" i="1"/>
  <c r="J846" i="1"/>
  <c r="B847" i="1"/>
  <c r="C847" i="1"/>
  <c r="D847" i="1"/>
  <c r="E847" i="1"/>
  <c r="F847" i="1"/>
  <c r="G847" i="1"/>
  <c r="H847" i="1"/>
  <c r="I847" i="1"/>
  <c r="J847" i="1"/>
  <c r="B848" i="1"/>
  <c r="C848" i="1"/>
  <c r="D848" i="1"/>
  <c r="E848" i="1"/>
  <c r="F848" i="1"/>
  <c r="G848" i="1"/>
  <c r="H848" i="1"/>
  <c r="I848" i="1"/>
  <c r="J848" i="1"/>
  <c r="B849" i="1"/>
  <c r="C849" i="1"/>
  <c r="D849" i="1"/>
  <c r="E849" i="1"/>
  <c r="F849" i="1"/>
  <c r="G849" i="1"/>
  <c r="H849" i="1"/>
  <c r="I849" i="1"/>
  <c r="J849" i="1"/>
  <c r="B850" i="1"/>
  <c r="C850" i="1"/>
  <c r="D850" i="1"/>
  <c r="E850" i="1"/>
  <c r="F850" i="1"/>
  <c r="G850" i="1"/>
  <c r="H850" i="1"/>
  <c r="I850" i="1"/>
  <c r="J850" i="1"/>
  <c r="B851" i="1"/>
  <c r="C851" i="1"/>
  <c r="D851" i="1"/>
  <c r="E851" i="1"/>
  <c r="F851" i="1"/>
  <c r="G851" i="1"/>
  <c r="H851" i="1"/>
  <c r="I851" i="1"/>
  <c r="J851" i="1"/>
  <c r="B852" i="1"/>
  <c r="C852" i="1"/>
  <c r="D852" i="1"/>
  <c r="E852" i="1"/>
  <c r="F852" i="1"/>
  <c r="G852" i="1"/>
  <c r="H852" i="1"/>
  <c r="I852" i="1"/>
  <c r="J852" i="1"/>
  <c r="B853" i="1"/>
  <c r="C853" i="1"/>
  <c r="D853" i="1"/>
  <c r="E853" i="1"/>
  <c r="F853" i="1"/>
  <c r="G853" i="1"/>
  <c r="H853" i="1"/>
  <c r="I853" i="1"/>
  <c r="J853" i="1"/>
  <c r="B854" i="1"/>
  <c r="C854" i="1"/>
  <c r="D854" i="1"/>
  <c r="E854" i="1"/>
  <c r="F854" i="1"/>
  <c r="G854" i="1"/>
  <c r="H854" i="1"/>
  <c r="I854" i="1"/>
  <c r="J854" i="1"/>
  <c r="B855" i="1"/>
  <c r="C855" i="1"/>
  <c r="D855" i="1"/>
  <c r="E855" i="1"/>
  <c r="F855" i="1"/>
  <c r="G855" i="1"/>
  <c r="H855" i="1"/>
  <c r="I855" i="1"/>
  <c r="J855" i="1"/>
  <c r="B856" i="1"/>
  <c r="C856" i="1"/>
  <c r="D856" i="1"/>
  <c r="E856" i="1"/>
  <c r="F856" i="1"/>
  <c r="G856" i="1"/>
  <c r="H856" i="1"/>
  <c r="I856" i="1"/>
  <c r="J856" i="1"/>
  <c r="B857" i="1"/>
  <c r="C857" i="1"/>
  <c r="D857" i="1"/>
  <c r="E857" i="1"/>
  <c r="F857" i="1"/>
  <c r="G857" i="1"/>
  <c r="H857" i="1"/>
  <c r="I857" i="1"/>
  <c r="J857" i="1"/>
  <c r="B858" i="1"/>
  <c r="C858" i="1"/>
  <c r="D858" i="1"/>
  <c r="E858" i="1"/>
  <c r="F858" i="1"/>
  <c r="G858" i="1"/>
  <c r="H858" i="1"/>
  <c r="I858" i="1"/>
  <c r="J858" i="1"/>
  <c r="B859" i="1"/>
  <c r="C859" i="1"/>
  <c r="D859" i="1"/>
  <c r="E859" i="1"/>
  <c r="F859" i="1"/>
  <c r="G859" i="1"/>
  <c r="H859" i="1"/>
  <c r="I859" i="1"/>
  <c r="J859" i="1"/>
  <c r="B860" i="1"/>
  <c r="C860" i="1"/>
  <c r="D860" i="1"/>
  <c r="E860" i="1"/>
  <c r="F860" i="1"/>
  <c r="G860" i="1"/>
  <c r="H860" i="1"/>
  <c r="I860" i="1"/>
  <c r="J860" i="1"/>
  <c r="B861" i="1"/>
  <c r="C861" i="1"/>
  <c r="D861" i="1"/>
  <c r="E861" i="1"/>
  <c r="F861" i="1"/>
  <c r="G861" i="1"/>
  <c r="H861" i="1"/>
  <c r="I861" i="1"/>
  <c r="J861" i="1"/>
  <c r="B862" i="1"/>
  <c r="C862" i="1"/>
  <c r="D862" i="1"/>
  <c r="E862" i="1"/>
  <c r="F862" i="1"/>
  <c r="G862" i="1"/>
  <c r="H862" i="1"/>
  <c r="I862" i="1"/>
  <c r="J862" i="1"/>
  <c r="B863" i="1"/>
  <c r="C863" i="1"/>
  <c r="D863" i="1"/>
  <c r="E863" i="1"/>
  <c r="F863" i="1"/>
  <c r="G863" i="1"/>
  <c r="H863" i="1"/>
  <c r="I863" i="1"/>
  <c r="J863" i="1"/>
  <c r="B864" i="1"/>
  <c r="C864" i="1"/>
  <c r="D864" i="1"/>
  <c r="E864" i="1"/>
  <c r="F864" i="1"/>
  <c r="G864" i="1"/>
  <c r="H864" i="1"/>
  <c r="I864" i="1"/>
  <c r="J864" i="1"/>
  <c r="B865" i="1"/>
  <c r="C865" i="1"/>
  <c r="D865" i="1"/>
  <c r="E865" i="1"/>
  <c r="F865" i="1"/>
  <c r="G865" i="1"/>
  <c r="H865" i="1"/>
  <c r="I865" i="1"/>
  <c r="J865" i="1"/>
  <c r="B866" i="1"/>
  <c r="C866" i="1"/>
  <c r="D866" i="1"/>
  <c r="E866" i="1"/>
  <c r="F866" i="1"/>
  <c r="G866" i="1"/>
  <c r="H866" i="1"/>
  <c r="I866" i="1"/>
  <c r="J866" i="1"/>
  <c r="B867" i="1"/>
  <c r="C867" i="1"/>
  <c r="D867" i="1"/>
  <c r="E867" i="1"/>
  <c r="F867" i="1"/>
  <c r="G867" i="1"/>
  <c r="H867" i="1"/>
  <c r="I867" i="1"/>
  <c r="J867" i="1"/>
  <c r="B868" i="1"/>
  <c r="C868" i="1"/>
  <c r="D868" i="1"/>
  <c r="E868" i="1"/>
  <c r="F868" i="1"/>
  <c r="G868" i="1"/>
  <c r="H868" i="1"/>
  <c r="I868" i="1"/>
  <c r="J868" i="1"/>
  <c r="B869" i="1"/>
  <c r="C869" i="1"/>
  <c r="D869" i="1"/>
  <c r="E869" i="1"/>
  <c r="F869" i="1"/>
  <c r="G869" i="1"/>
  <c r="H869" i="1"/>
  <c r="I869" i="1"/>
  <c r="J869" i="1"/>
  <c r="B870" i="1"/>
  <c r="C870" i="1"/>
  <c r="D870" i="1"/>
  <c r="E870" i="1"/>
  <c r="F870" i="1"/>
  <c r="G870" i="1"/>
  <c r="H870" i="1"/>
  <c r="I870" i="1"/>
  <c r="J870" i="1"/>
  <c r="B871" i="1"/>
  <c r="C871" i="1"/>
  <c r="D871" i="1"/>
  <c r="E871" i="1"/>
  <c r="F871" i="1"/>
  <c r="G871" i="1"/>
  <c r="H871" i="1"/>
  <c r="I871" i="1"/>
  <c r="J871" i="1"/>
  <c r="B872" i="1"/>
  <c r="C872" i="1"/>
  <c r="D872" i="1"/>
  <c r="E872" i="1"/>
  <c r="F872" i="1"/>
  <c r="G872" i="1"/>
  <c r="H872" i="1"/>
  <c r="I872" i="1"/>
  <c r="J872" i="1"/>
  <c r="B873" i="1"/>
  <c r="C873" i="1"/>
  <c r="D873" i="1"/>
  <c r="E873" i="1"/>
  <c r="F873" i="1"/>
  <c r="G873" i="1"/>
  <c r="H873" i="1"/>
  <c r="I873" i="1"/>
  <c r="J873" i="1"/>
  <c r="B874" i="1"/>
  <c r="C874" i="1"/>
  <c r="D874" i="1"/>
  <c r="E874" i="1"/>
  <c r="F874" i="1"/>
  <c r="G874" i="1"/>
  <c r="H874" i="1"/>
  <c r="I874" i="1"/>
  <c r="J874" i="1"/>
  <c r="B875" i="1"/>
  <c r="C875" i="1"/>
  <c r="D875" i="1"/>
  <c r="E875" i="1"/>
  <c r="F875" i="1"/>
  <c r="G875" i="1"/>
  <c r="H875" i="1"/>
  <c r="I875" i="1"/>
  <c r="J875" i="1"/>
  <c r="B876" i="1"/>
  <c r="C876" i="1"/>
  <c r="D876" i="1"/>
  <c r="E876" i="1"/>
  <c r="F876" i="1"/>
  <c r="G876" i="1"/>
  <c r="H876" i="1"/>
  <c r="I876" i="1"/>
  <c r="J876" i="1"/>
  <c r="B877" i="1"/>
  <c r="C877" i="1"/>
  <c r="D877" i="1"/>
  <c r="E877" i="1"/>
  <c r="F877" i="1"/>
  <c r="G877" i="1"/>
  <c r="H877" i="1"/>
  <c r="I877" i="1"/>
  <c r="J877" i="1"/>
  <c r="B878" i="1"/>
  <c r="C878" i="1"/>
  <c r="D878" i="1"/>
  <c r="E878" i="1"/>
  <c r="F878" i="1"/>
  <c r="G878" i="1"/>
  <c r="H878" i="1"/>
  <c r="I878" i="1"/>
  <c r="J878" i="1"/>
  <c r="B879" i="1"/>
  <c r="C879" i="1"/>
  <c r="D879" i="1"/>
  <c r="E879" i="1"/>
  <c r="F879" i="1"/>
  <c r="G879" i="1"/>
  <c r="H879" i="1"/>
  <c r="I879" i="1"/>
  <c r="J879" i="1"/>
  <c r="B880" i="1"/>
  <c r="C880" i="1"/>
  <c r="D880" i="1"/>
  <c r="E880" i="1"/>
  <c r="F880" i="1"/>
  <c r="G880" i="1"/>
  <c r="H880" i="1"/>
  <c r="I880" i="1"/>
  <c r="J880" i="1"/>
  <c r="B881" i="1"/>
  <c r="C881" i="1"/>
  <c r="D881" i="1"/>
  <c r="E881" i="1"/>
  <c r="F881" i="1"/>
  <c r="G881" i="1"/>
  <c r="H881" i="1"/>
  <c r="I881" i="1"/>
  <c r="J881" i="1"/>
  <c r="B882" i="1"/>
  <c r="C882" i="1"/>
  <c r="D882" i="1"/>
  <c r="E882" i="1"/>
  <c r="F882" i="1"/>
  <c r="G882" i="1"/>
  <c r="H882" i="1"/>
  <c r="I882" i="1"/>
  <c r="J882" i="1"/>
  <c r="B883" i="1"/>
  <c r="C883" i="1"/>
  <c r="D883" i="1"/>
  <c r="E883" i="1"/>
  <c r="F883" i="1"/>
  <c r="G883" i="1"/>
  <c r="H883" i="1"/>
  <c r="I883" i="1"/>
  <c r="J883" i="1"/>
  <c r="B884" i="1"/>
  <c r="C884" i="1"/>
  <c r="D884" i="1"/>
  <c r="E884" i="1"/>
  <c r="F884" i="1"/>
  <c r="G884" i="1"/>
  <c r="H884" i="1"/>
  <c r="I884" i="1"/>
  <c r="J884" i="1"/>
  <c r="B885" i="1"/>
  <c r="C885" i="1"/>
  <c r="D885" i="1"/>
  <c r="E885" i="1"/>
  <c r="F885" i="1"/>
  <c r="G885" i="1"/>
  <c r="H885" i="1"/>
  <c r="I885" i="1"/>
  <c r="J885" i="1"/>
  <c r="B886" i="1"/>
  <c r="C886" i="1"/>
  <c r="D886" i="1"/>
  <c r="E886" i="1"/>
  <c r="F886" i="1"/>
  <c r="G886" i="1"/>
  <c r="H886" i="1"/>
  <c r="I886" i="1"/>
  <c r="J886" i="1"/>
  <c r="B887" i="1"/>
  <c r="C887" i="1"/>
  <c r="D887" i="1"/>
  <c r="E887" i="1"/>
  <c r="F887" i="1"/>
  <c r="G887" i="1"/>
  <c r="H887" i="1"/>
  <c r="I887" i="1"/>
  <c r="J887" i="1"/>
  <c r="B888" i="1"/>
  <c r="C888" i="1"/>
  <c r="D888" i="1"/>
  <c r="E888" i="1"/>
  <c r="F888" i="1"/>
  <c r="G888" i="1"/>
  <c r="H888" i="1"/>
  <c r="I888" i="1"/>
  <c r="J888" i="1"/>
  <c r="B889" i="1"/>
  <c r="C889" i="1"/>
  <c r="D889" i="1"/>
  <c r="E889" i="1"/>
  <c r="F889" i="1"/>
  <c r="G889" i="1"/>
  <c r="H889" i="1"/>
  <c r="I889" i="1"/>
  <c r="J889" i="1"/>
  <c r="B890" i="1"/>
  <c r="C890" i="1"/>
  <c r="D890" i="1"/>
  <c r="E890" i="1"/>
  <c r="F890" i="1"/>
  <c r="G890" i="1"/>
  <c r="H890" i="1"/>
  <c r="I890" i="1"/>
  <c r="J890" i="1"/>
  <c r="B891" i="1"/>
  <c r="C891" i="1"/>
  <c r="D891" i="1"/>
  <c r="E891" i="1"/>
  <c r="F891" i="1"/>
  <c r="G891" i="1"/>
  <c r="H891" i="1"/>
  <c r="I891" i="1"/>
  <c r="J891" i="1"/>
  <c r="B892" i="1"/>
  <c r="C892" i="1"/>
  <c r="D892" i="1"/>
  <c r="E892" i="1"/>
  <c r="F892" i="1"/>
  <c r="G892" i="1"/>
  <c r="H892" i="1"/>
  <c r="I892" i="1"/>
  <c r="J892" i="1"/>
  <c r="B893" i="1"/>
  <c r="C893" i="1"/>
  <c r="D893" i="1"/>
  <c r="E893" i="1"/>
  <c r="F893" i="1"/>
  <c r="G893" i="1"/>
  <c r="H893" i="1"/>
  <c r="I893" i="1"/>
  <c r="J893" i="1"/>
  <c r="B894" i="1"/>
  <c r="C894" i="1"/>
  <c r="D894" i="1"/>
  <c r="E894" i="1"/>
  <c r="F894" i="1"/>
  <c r="G894" i="1"/>
  <c r="H894" i="1"/>
  <c r="I894" i="1"/>
  <c r="J894" i="1"/>
  <c r="B895" i="1"/>
  <c r="C895" i="1"/>
  <c r="D895" i="1"/>
  <c r="E895" i="1"/>
  <c r="F895" i="1"/>
  <c r="G895" i="1"/>
  <c r="H895" i="1"/>
  <c r="I895" i="1"/>
  <c r="J895" i="1"/>
  <c r="B896" i="1"/>
  <c r="C896" i="1"/>
  <c r="D896" i="1"/>
  <c r="E896" i="1"/>
  <c r="F896" i="1"/>
  <c r="G896" i="1"/>
  <c r="H896" i="1"/>
  <c r="I896" i="1"/>
  <c r="J896" i="1"/>
  <c r="B897" i="1"/>
  <c r="C897" i="1"/>
  <c r="D897" i="1"/>
  <c r="E897" i="1"/>
  <c r="F897" i="1"/>
  <c r="G897" i="1"/>
  <c r="H897" i="1"/>
  <c r="I897" i="1"/>
  <c r="J897" i="1"/>
  <c r="B898" i="1"/>
  <c r="C898" i="1"/>
  <c r="D898" i="1"/>
  <c r="E898" i="1"/>
  <c r="F898" i="1"/>
  <c r="G898" i="1"/>
  <c r="H898" i="1"/>
  <c r="I898" i="1"/>
  <c r="J898" i="1"/>
  <c r="B899" i="1"/>
  <c r="C899" i="1"/>
  <c r="D899" i="1"/>
  <c r="E899" i="1"/>
  <c r="F899" i="1"/>
  <c r="G899" i="1"/>
  <c r="H899" i="1"/>
  <c r="I899" i="1"/>
  <c r="J899" i="1"/>
  <c r="B900" i="1"/>
  <c r="C900" i="1"/>
  <c r="D900" i="1"/>
  <c r="E900" i="1"/>
  <c r="F900" i="1"/>
  <c r="G900" i="1"/>
  <c r="H900" i="1"/>
  <c r="I900" i="1"/>
  <c r="J900" i="1"/>
  <c r="B901" i="1"/>
  <c r="C901" i="1"/>
  <c r="D901" i="1"/>
  <c r="E901" i="1"/>
  <c r="F901" i="1"/>
  <c r="G901" i="1"/>
  <c r="H901" i="1"/>
  <c r="I901" i="1"/>
  <c r="J901" i="1"/>
  <c r="B902" i="1"/>
  <c r="C902" i="1"/>
  <c r="D902" i="1"/>
  <c r="E902" i="1"/>
  <c r="F902" i="1"/>
  <c r="G902" i="1"/>
  <c r="H902" i="1"/>
  <c r="I902" i="1"/>
  <c r="J902" i="1"/>
  <c r="B903" i="1"/>
  <c r="C903" i="1"/>
  <c r="D903" i="1"/>
  <c r="E903" i="1"/>
  <c r="F903" i="1"/>
  <c r="G903" i="1"/>
  <c r="H903" i="1"/>
  <c r="I903" i="1"/>
  <c r="J903" i="1"/>
  <c r="B904" i="1"/>
  <c r="C904" i="1"/>
  <c r="D904" i="1"/>
  <c r="E904" i="1"/>
  <c r="F904" i="1"/>
  <c r="G904" i="1"/>
  <c r="H904" i="1"/>
  <c r="I904" i="1"/>
  <c r="J904" i="1"/>
  <c r="B905" i="1"/>
  <c r="C905" i="1"/>
  <c r="D905" i="1"/>
  <c r="E905" i="1"/>
  <c r="F905" i="1"/>
  <c r="G905" i="1"/>
  <c r="H905" i="1"/>
  <c r="I905" i="1"/>
  <c r="J905" i="1"/>
  <c r="B906" i="1"/>
  <c r="C906" i="1"/>
  <c r="D906" i="1"/>
  <c r="E906" i="1"/>
  <c r="F906" i="1"/>
  <c r="G906" i="1"/>
  <c r="H906" i="1"/>
  <c r="I906" i="1"/>
  <c r="J906" i="1"/>
  <c r="B907" i="1"/>
  <c r="C907" i="1"/>
  <c r="D907" i="1"/>
  <c r="E907" i="1"/>
  <c r="F907" i="1"/>
  <c r="G907" i="1"/>
  <c r="H907" i="1"/>
  <c r="I907" i="1"/>
  <c r="J907" i="1"/>
  <c r="B908" i="1"/>
  <c r="C908" i="1"/>
  <c r="D908" i="1"/>
  <c r="E908" i="1"/>
  <c r="F908" i="1"/>
  <c r="G908" i="1"/>
  <c r="H908" i="1"/>
  <c r="I908" i="1"/>
  <c r="J908" i="1"/>
  <c r="B909" i="1"/>
  <c r="C909" i="1"/>
  <c r="D909" i="1"/>
  <c r="E909" i="1"/>
  <c r="F909" i="1"/>
  <c r="G909" i="1"/>
  <c r="H909" i="1"/>
  <c r="I909" i="1"/>
  <c r="J909" i="1"/>
  <c r="B910" i="1"/>
  <c r="C910" i="1"/>
  <c r="D910" i="1"/>
  <c r="E910" i="1"/>
  <c r="F910" i="1"/>
  <c r="G910" i="1"/>
  <c r="H910" i="1"/>
  <c r="I910" i="1"/>
  <c r="J910" i="1"/>
  <c r="B911" i="1"/>
  <c r="C911" i="1"/>
  <c r="D911" i="1"/>
  <c r="E911" i="1"/>
  <c r="F911" i="1"/>
  <c r="G911" i="1"/>
  <c r="H911" i="1"/>
  <c r="I911" i="1"/>
  <c r="J911" i="1"/>
  <c r="B912" i="1"/>
  <c r="C912" i="1"/>
  <c r="D912" i="1"/>
  <c r="E912" i="1"/>
  <c r="F912" i="1"/>
  <c r="G912" i="1"/>
  <c r="H912" i="1"/>
  <c r="I912" i="1"/>
  <c r="J912" i="1"/>
  <c r="B913" i="1"/>
  <c r="C913" i="1"/>
  <c r="D913" i="1"/>
  <c r="E913" i="1"/>
  <c r="F913" i="1"/>
  <c r="G913" i="1"/>
  <c r="H913" i="1"/>
  <c r="I913" i="1"/>
  <c r="J913" i="1"/>
  <c r="B914" i="1"/>
  <c r="C914" i="1"/>
  <c r="D914" i="1"/>
  <c r="E914" i="1"/>
  <c r="F914" i="1"/>
  <c r="G914" i="1"/>
  <c r="H914" i="1"/>
  <c r="I914" i="1"/>
  <c r="J914" i="1"/>
  <c r="B915" i="1"/>
  <c r="C915" i="1"/>
  <c r="D915" i="1"/>
  <c r="E915" i="1"/>
  <c r="F915" i="1"/>
  <c r="G915" i="1"/>
  <c r="H915" i="1"/>
  <c r="I915" i="1"/>
  <c r="J915" i="1"/>
  <c r="B916" i="1"/>
  <c r="C916" i="1"/>
  <c r="D916" i="1"/>
  <c r="E916" i="1"/>
  <c r="F916" i="1"/>
  <c r="G916" i="1"/>
  <c r="H916" i="1"/>
  <c r="I916" i="1"/>
  <c r="J916" i="1"/>
  <c r="B917" i="1"/>
  <c r="C917" i="1"/>
  <c r="D917" i="1"/>
  <c r="E917" i="1"/>
  <c r="F917" i="1"/>
  <c r="G917" i="1"/>
  <c r="H917" i="1"/>
  <c r="I917" i="1"/>
  <c r="J917" i="1"/>
  <c r="B918" i="1"/>
  <c r="C918" i="1"/>
  <c r="D918" i="1"/>
  <c r="E918" i="1"/>
  <c r="F918" i="1"/>
  <c r="G918" i="1"/>
  <c r="H918" i="1"/>
  <c r="I918" i="1"/>
  <c r="J918" i="1"/>
  <c r="B919" i="1"/>
  <c r="C919" i="1"/>
  <c r="D919" i="1"/>
  <c r="E919" i="1"/>
  <c r="F919" i="1"/>
  <c r="G919" i="1"/>
  <c r="H919" i="1"/>
  <c r="I919" i="1"/>
  <c r="J919" i="1"/>
  <c r="B920" i="1"/>
  <c r="C920" i="1"/>
  <c r="D920" i="1"/>
  <c r="E920" i="1"/>
  <c r="F920" i="1"/>
  <c r="G920" i="1"/>
  <c r="H920" i="1"/>
  <c r="I920" i="1"/>
  <c r="J920" i="1"/>
  <c r="B921" i="1"/>
  <c r="C921" i="1"/>
  <c r="D921" i="1"/>
  <c r="E921" i="1"/>
  <c r="F921" i="1"/>
  <c r="G921" i="1"/>
  <c r="H921" i="1"/>
  <c r="I921" i="1"/>
  <c r="J921" i="1"/>
  <c r="B922" i="1"/>
  <c r="C922" i="1"/>
  <c r="D922" i="1"/>
  <c r="E922" i="1"/>
  <c r="F922" i="1"/>
  <c r="G922" i="1"/>
  <c r="H922" i="1"/>
  <c r="I922" i="1"/>
  <c r="J922" i="1"/>
  <c r="B923" i="1"/>
  <c r="C923" i="1"/>
  <c r="D923" i="1"/>
  <c r="E923" i="1"/>
  <c r="F923" i="1"/>
  <c r="G923" i="1"/>
  <c r="H923" i="1"/>
  <c r="I923" i="1"/>
  <c r="J923" i="1"/>
  <c r="B924" i="1"/>
  <c r="C924" i="1"/>
  <c r="D924" i="1"/>
  <c r="E924" i="1"/>
  <c r="F924" i="1"/>
  <c r="G924" i="1"/>
  <c r="H924" i="1"/>
  <c r="I924" i="1"/>
  <c r="J924" i="1"/>
  <c r="B925" i="1"/>
  <c r="C925" i="1"/>
  <c r="D925" i="1"/>
  <c r="E925" i="1"/>
  <c r="F925" i="1"/>
  <c r="G925" i="1"/>
  <c r="H925" i="1"/>
  <c r="I925" i="1"/>
  <c r="J925" i="1"/>
  <c r="B926" i="1"/>
  <c r="C926" i="1"/>
  <c r="D926" i="1"/>
  <c r="E926" i="1"/>
  <c r="F926" i="1"/>
  <c r="G926" i="1"/>
  <c r="H926" i="1"/>
  <c r="I926" i="1"/>
  <c r="J926" i="1"/>
  <c r="B927" i="1"/>
  <c r="C927" i="1"/>
  <c r="D927" i="1"/>
  <c r="E927" i="1"/>
  <c r="F927" i="1"/>
  <c r="G927" i="1"/>
  <c r="H927" i="1"/>
  <c r="I927" i="1"/>
  <c r="J927" i="1"/>
  <c r="B928" i="1"/>
  <c r="C928" i="1"/>
  <c r="D928" i="1"/>
  <c r="E928" i="1"/>
  <c r="F928" i="1"/>
  <c r="G928" i="1"/>
  <c r="H928" i="1"/>
  <c r="I928" i="1"/>
  <c r="J928" i="1"/>
  <c r="B929" i="1"/>
  <c r="C929" i="1"/>
  <c r="D929" i="1"/>
  <c r="E929" i="1"/>
  <c r="F929" i="1"/>
  <c r="G929" i="1"/>
  <c r="H929" i="1"/>
  <c r="I929" i="1"/>
  <c r="J929" i="1"/>
  <c r="B930" i="1"/>
  <c r="C930" i="1"/>
  <c r="D930" i="1"/>
  <c r="E930" i="1"/>
  <c r="F930" i="1"/>
  <c r="G930" i="1"/>
  <c r="H930" i="1"/>
  <c r="I930" i="1"/>
  <c r="J930" i="1"/>
  <c r="B931" i="1"/>
  <c r="C931" i="1"/>
  <c r="D931" i="1"/>
  <c r="E931" i="1"/>
  <c r="F931" i="1"/>
  <c r="G931" i="1"/>
  <c r="H931" i="1"/>
  <c r="I931" i="1"/>
  <c r="J931" i="1"/>
  <c r="B932" i="1"/>
  <c r="C932" i="1"/>
  <c r="D932" i="1"/>
  <c r="E932" i="1"/>
  <c r="F932" i="1"/>
  <c r="G932" i="1"/>
  <c r="H932" i="1"/>
  <c r="I932" i="1"/>
  <c r="J932" i="1"/>
  <c r="B933" i="1"/>
  <c r="C933" i="1"/>
  <c r="D933" i="1"/>
  <c r="E933" i="1"/>
  <c r="F933" i="1"/>
  <c r="G933" i="1"/>
  <c r="H933" i="1"/>
  <c r="I933" i="1"/>
  <c r="J933" i="1"/>
  <c r="B934" i="1"/>
  <c r="C934" i="1"/>
  <c r="D934" i="1"/>
  <c r="E934" i="1"/>
  <c r="F934" i="1"/>
  <c r="G934" i="1"/>
  <c r="H934" i="1"/>
  <c r="I934" i="1"/>
  <c r="J934" i="1"/>
  <c r="B935" i="1"/>
  <c r="C935" i="1"/>
  <c r="D935" i="1"/>
  <c r="E935" i="1"/>
  <c r="F935" i="1"/>
  <c r="G935" i="1"/>
  <c r="H935" i="1"/>
  <c r="I935" i="1"/>
  <c r="J935" i="1"/>
  <c r="B936" i="1"/>
  <c r="C936" i="1"/>
  <c r="D936" i="1"/>
  <c r="E936" i="1"/>
  <c r="F936" i="1"/>
  <c r="G936" i="1"/>
  <c r="H936" i="1"/>
  <c r="I936" i="1"/>
  <c r="J936" i="1"/>
  <c r="B937" i="1"/>
  <c r="C937" i="1"/>
  <c r="D937" i="1"/>
  <c r="E937" i="1"/>
  <c r="F937" i="1"/>
  <c r="G937" i="1"/>
  <c r="H937" i="1"/>
  <c r="I937" i="1"/>
  <c r="J937" i="1"/>
  <c r="B938" i="1"/>
  <c r="C938" i="1"/>
  <c r="D938" i="1"/>
  <c r="E938" i="1"/>
  <c r="F938" i="1"/>
  <c r="G938" i="1"/>
  <c r="H938" i="1"/>
  <c r="I938" i="1"/>
  <c r="J938" i="1"/>
  <c r="B939" i="1"/>
  <c r="C939" i="1"/>
  <c r="D939" i="1"/>
  <c r="E939" i="1"/>
  <c r="F939" i="1"/>
  <c r="G939" i="1"/>
  <c r="H939" i="1"/>
  <c r="I939" i="1"/>
  <c r="J939" i="1"/>
  <c r="B940" i="1"/>
  <c r="C940" i="1"/>
  <c r="D940" i="1"/>
  <c r="E940" i="1"/>
  <c r="F940" i="1"/>
  <c r="G940" i="1"/>
  <c r="H940" i="1"/>
  <c r="I940" i="1"/>
  <c r="J940" i="1"/>
  <c r="B941" i="1"/>
  <c r="C941" i="1"/>
  <c r="D941" i="1"/>
  <c r="E941" i="1"/>
  <c r="F941" i="1"/>
  <c r="G941" i="1"/>
  <c r="H941" i="1"/>
  <c r="I941" i="1"/>
  <c r="J941" i="1"/>
  <c r="B942" i="1"/>
  <c r="C942" i="1"/>
  <c r="D942" i="1"/>
  <c r="E942" i="1"/>
  <c r="F942" i="1"/>
  <c r="G942" i="1"/>
  <c r="H942" i="1"/>
  <c r="I942" i="1"/>
  <c r="J942" i="1"/>
  <c r="B943" i="1"/>
  <c r="C943" i="1"/>
  <c r="D943" i="1"/>
  <c r="E943" i="1"/>
  <c r="F943" i="1"/>
  <c r="G943" i="1"/>
  <c r="H943" i="1"/>
  <c r="I943" i="1"/>
  <c r="J943" i="1"/>
  <c r="B944" i="1"/>
  <c r="C944" i="1"/>
  <c r="D944" i="1"/>
  <c r="E944" i="1"/>
  <c r="F944" i="1"/>
  <c r="G944" i="1"/>
  <c r="H944" i="1"/>
  <c r="I944" i="1"/>
  <c r="J944" i="1"/>
  <c r="B945" i="1"/>
  <c r="C945" i="1"/>
  <c r="D945" i="1"/>
  <c r="E945" i="1"/>
  <c r="F945" i="1"/>
  <c r="G945" i="1"/>
  <c r="H945" i="1"/>
  <c r="I945" i="1"/>
  <c r="J945" i="1"/>
  <c r="B946" i="1"/>
  <c r="C946" i="1"/>
  <c r="D946" i="1"/>
  <c r="E946" i="1"/>
  <c r="F946" i="1"/>
  <c r="G946" i="1"/>
  <c r="H946" i="1"/>
  <c r="I946" i="1"/>
  <c r="J946" i="1"/>
  <c r="B947" i="1"/>
  <c r="C947" i="1"/>
  <c r="D947" i="1"/>
  <c r="E947" i="1"/>
  <c r="F947" i="1"/>
  <c r="G947" i="1"/>
  <c r="H947" i="1"/>
  <c r="I947" i="1"/>
  <c r="J947" i="1"/>
  <c r="B948" i="1"/>
  <c r="C948" i="1"/>
  <c r="D948" i="1"/>
  <c r="E948" i="1"/>
  <c r="F948" i="1"/>
  <c r="G948" i="1"/>
  <c r="H948" i="1"/>
  <c r="I948" i="1"/>
  <c r="J948" i="1"/>
  <c r="B949" i="1"/>
  <c r="C949" i="1"/>
  <c r="D949" i="1"/>
  <c r="E949" i="1"/>
  <c r="F949" i="1"/>
  <c r="G949" i="1"/>
  <c r="H949" i="1"/>
  <c r="I949" i="1"/>
  <c r="J949" i="1"/>
  <c r="B950" i="1"/>
  <c r="C950" i="1"/>
  <c r="D950" i="1"/>
  <c r="E950" i="1"/>
  <c r="F950" i="1"/>
  <c r="G950" i="1"/>
  <c r="H950" i="1"/>
  <c r="I950" i="1"/>
  <c r="J950" i="1"/>
  <c r="B951" i="1"/>
  <c r="C951" i="1"/>
  <c r="D951" i="1"/>
  <c r="E951" i="1"/>
  <c r="F951" i="1"/>
  <c r="G951" i="1"/>
  <c r="H951" i="1"/>
  <c r="I951" i="1"/>
  <c r="J951" i="1"/>
  <c r="B952" i="1"/>
  <c r="C952" i="1"/>
  <c r="D952" i="1"/>
  <c r="E952" i="1"/>
  <c r="F952" i="1"/>
  <c r="G952" i="1"/>
  <c r="H952" i="1"/>
  <c r="I952" i="1"/>
  <c r="J952" i="1"/>
  <c r="B953" i="1"/>
  <c r="C953" i="1"/>
  <c r="D953" i="1"/>
  <c r="E953" i="1"/>
  <c r="F953" i="1"/>
  <c r="G953" i="1"/>
  <c r="H953" i="1"/>
  <c r="I953" i="1"/>
  <c r="J953" i="1"/>
  <c r="B954" i="1"/>
  <c r="C954" i="1"/>
  <c r="D954" i="1"/>
  <c r="E954" i="1"/>
  <c r="F954" i="1"/>
  <c r="G954" i="1"/>
  <c r="H954" i="1"/>
  <c r="I954" i="1"/>
  <c r="J954" i="1"/>
  <c r="B955" i="1"/>
  <c r="C955" i="1"/>
  <c r="D955" i="1"/>
  <c r="E955" i="1"/>
  <c r="F955" i="1"/>
  <c r="G955" i="1"/>
  <c r="H955" i="1"/>
  <c r="I955" i="1"/>
  <c r="J955" i="1"/>
  <c r="B956" i="1"/>
  <c r="C956" i="1"/>
  <c r="D956" i="1"/>
  <c r="E956" i="1"/>
  <c r="F956" i="1"/>
  <c r="G956" i="1"/>
  <c r="H956" i="1"/>
  <c r="I956" i="1"/>
  <c r="J956" i="1"/>
  <c r="B957" i="1"/>
  <c r="C957" i="1"/>
  <c r="D957" i="1"/>
  <c r="E957" i="1"/>
  <c r="F957" i="1"/>
  <c r="G957" i="1"/>
  <c r="H957" i="1"/>
  <c r="I957" i="1"/>
  <c r="J957" i="1"/>
  <c r="B958" i="1"/>
  <c r="C958" i="1"/>
  <c r="D958" i="1"/>
  <c r="E958" i="1"/>
  <c r="F958" i="1"/>
  <c r="G958" i="1"/>
  <c r="H958" i="1"/>
  <c r="I958" i="1"/>
  <c r="J958" i="1"/>
  <c r="B959" i="1"/>
  <c r="C959" i="1"/>
  <c r="D959" i="1"/>
  <c r="E959" i="1"/>
  <c r="F959" i="1"/>
  <c r="G959" i="1"/>
  <c r="H959" i="1"/>
  <c r="I959" i="1"/>
  <c r="J959" i="1"/>
  <c r="B960" i="1"/>
  <c r="C960" i="1"/>
  <c r="D960" i="1"/>
  <c r="E960" i="1"/>
  <c r="F960" i="1"/>
  <c r="G960" i="1"/>
  <c r="H960" i="1"/>
  <c r="I960" i="1"/>
  <c r="J960" i="1"/>
  <c r="B961" i="1"/>
  <c r="C961" i="1"/>
  <c r="D961" i="1"/>
  <c r="E961" i="1"/>
  <c r="F961" i="1"/>
  <c r="G961" i="1"/>
  <c r="H961" i="1"/>
  <c r="I961" i="1"/>
  <c r="J961" i="1"/>
  <c r="B962" i="1"/>
  <c r="C962" i="1"/>
  <c r="D962" i="1"/>
  <c r="E962" i="1"/>
  <c r="F962" i="1"/>
  <c r="G962" i="1"/>
  <c r="H962" i="1"/>
  <c r="I962" i="1"/>
  <c r="J962" i="1"/>
  <c r="B963" i="1"/>
  <c r="C963" i="1"/>
  <c r="D963" i="1"/>
  <c r="E963" i="1"/>
  <c r="F963" i="1"/>
  <c r="G963" i="1"/>
  <c r="H963" i="1"/>
  <c r="I963" i="1"/>
  <c r="J963" i="1"/>
  <c r="B964" i="1"/>
  <c r="C964" i="1"/>
  <c r="D964" i="1"/>
  <c r="E964" i="1"/>
  <c r="F964" i="1"/>
  <c r="G964" i="1"/>
  <c r="H964" i="1"/>
  <c r="I964" i="1"/>
  <c r="J964" i="1"/>
  <c r="B965" i="1"/>
  <c r="C965" i="1"/>
  <c r="D965" i="1"/>
  <c r="E965" i="1"/>
  <c r="F965" i="1"/>
  <c r="G965" i="1"/>
  <c r="H965" i="1"/>
  <c r="I965" i="1"/>
  <c r="J965" i="1"/>
  <c r="B966" i="1"/>
  <c r="C966" i="1"/>
  <c r="D966" i="1"/>
  <c r="E966" i="1"/>
  <c r="F966" i="1"/>
  <c r="G966" i="1"/>
  <c r="H966" i="1"/>
  <c r="I966" i="1"/>
  <c r="J966" i="1"/>
  <c r="B967" i="1"/>
  <c r="C967" i="1"/>
  <c r="D967" i="1"/>
  <c r="E967" i="1"/>
  <c r="F967" i="1"/>
  <c r="G967" i="1"/>
  <c r="H967" i="1"/>
  <c r="I967" i="1"/>
  <c r="J967" i="1"/>
  <c r="B968" i="1"/>
  <c r="C968" i="1"/>
  <c r="D968" i="1"/>
  <c r="E968" i="1"/>
  <c r="F968" i="1"/>
  <c r="G968" i="1"/>
  <c r="H968" i="1"/>
  <c r="I968" i="1"/>
  <c r="J968" i="1"/>
  <c r="B969" i="1"/>
  <c r="C969" i="1"/>
  <c r="D969" i="1"/>
  <c r="E969" i="1"/>
  <c r="F969" i="1"/>
  <c r="G969" i="1"/>
  <c r="H969" i="1"/>
  <c r="I969" i="1"/>
  <c r="J969" i="1"/>
  <c r="B970" i="1"/>
  <c r="C970" i="1"/>
  <c r="D970" i="1"/>
  <c r="E970" i="1"/>
  <c r="F970" i="1"/>
  <c r="G970" i="1"/>
  <c r="H970" i="1"/>
  <c r="I970" i="1"/>
  <c r="J970" i="1"/>
  <c r="B971" i="1"/>
  <c r="C971" i="1"/>
  <c r="D971" i="1"/>
  <c r="E971" i="1"/>
  <c r="F971" i="1"/>
  <c r="G971" i="1"/>
  <c r="H971" i="1"/>
  <c r="I971" i="1"/>
  <c r="J971" i="1"/>
  <c r="B972" i="1"/>
  <c r="C972" i="1"/>
  <c r="D972" i="1"/>
  <c r="E972" i="1"/>
  <c r="F972" i="1"/>
  <c r="G972" i="1"/>
  <c r="H972" i="1"/>
  <c r="I972" i="1"/>
  <c r="J972" i="1"/>
  <c r="B973" i="1"/>
  <c r="C973" i="1"/>
  <c r="D973" i="1"/>
  <c r="E973" i="1"/>
  <c r="F973" i="1"/>
  <c r="G973" i="1"/>
  <c r="H973" i="1"/>
  <c r="I973" i="1"/>
  <c r="J973" i="1"/>
  <c r="B974" i="1"/>
  <c r="C974" i="1"/>
  <c r="D974" i="1"/>
  <c r="E974" i="1"/>
  <c r="F974" i="1"/>
  <c r="G974" i="1"/>
  <c r="H974" i="1"/>
  <c r="I974" i="1"/>
  <c r="J974" i="1"/>
  <c r="B975" i="1"/>
  <c r="C975" i="1"/>
  <c r="D975" i="1"/>
  <c r="E975" i="1"/>
  <c r="F975" i="1"/>
  <c r="G975" i="1"/>
  <c r="H975" i="1"/>
  <c r="I975" i="1"/>
  <c r="J975" i="1"/>
  <c r="B976" i="1"/>
  <c r="C976" i="1"/>
  <c r="D976" i="1"/>
  <c r="E976" i="1"/>
  <c r="F976" i="1"/>
  <c r="G976" i="1"/>
  <c r="H976" i="1"/>
  <c r="I976" i="1"/>
  <c r="J976" i="1"/>
  <c r="B977" i="1"/>
  <c r="C977" i="1"/>
  <c r="D977" i="1"/>
  <c r="E977" i="1"/>
  <c r="F977" i="1"/>
  <c r="G977" i="1"/>
  <c r="H977" i="1"/>
  <c r="I977" i="1"/>
  <c r="J977" i="1"/>
  <c r="B978" i="1"/>
  <c r="C978" i="1"/>
  <c r="D978" i="1"/>
  <c r="E978" i="1"/>
  <c r="F978" i="1"/>
  <c r="G978" i="1"/>
  <c r="H978" i="1"/>
  <c r="I978" i="1"/>
  <c r="J978" i="1"/>
  <c r="B979" i="1"/>
  <c r="C979" i="1"/>
  <c r="D979" i="1"/>
  <c r="E979" i="1"/>
  <c r="F979" i="1"/>
  <c r="G979" i="1"/>
  <c r="H979" i="1"/>
  <c r="I979" i="1"/>
  <c r="J979" i="1"/>
  <c r="B980" i="1"/>
  <c r="C980" i="1"/>
  <c r="D980" i="1"/>
  <c r="E980" i="1"/>
  <c r="F980" i="1"/>
  <c r="G980" i="1"/>
  <c r="H980" i="1"/>
  <c r="I980" i="1"/>
  <c r="J980" i="1"/>
  <c r="B981" i="1"/>
  <c r="C981" i="1"/>
  <c r="D981" i="1"/>
  <c r="E981" i="1"/>
  <c r="F981" i="1"/>
  <c r="G981" i="1"/>
  <c r="H981" i="1"/>
  <c r="I981" i="1"/>
  <c r="J981" i="1"/>
  <c r="B982" i="1"/>
  <c r="C982" i="1"/>
  <c r="D982" i="1"/>
  <c r="E982" i="1"/>
  <c r="F982" i="1"/>
  <c r="G982" i="1"/>
  <c r="H982" i="1"/>
  <c r="I982" i="1"/>
  <c r="J982" i="1"/>
  <c r="B983" i="1"/>
  <c r="C983" i="1"/>
  <c r="D983" i="1"/>
  <c r="E983" i="1"/>
  <c r="F983" i="1"/>
  <c r="G983" i="1"/>
  <c r="H983" i="1"/>
  <c r="I983" i="1"/>
  <c r="J983" i="1"/>
  <c r="B984" i="1"/>
  <c r="C984" i="1"/>
  <c r="D984" i="1"/>
  <c r="E984" i="1"/>
  <c r="F984" i="1"/>
  <c r="G984" i="1"/>
  <c r="H984" i="1"/>
  <c r="I984" i="1"/>
  <c r="J984" i="1"/>
  <c r="B985" i="1"/>
  <c r="C985" i="1"/>
  <c r="D985" i="1"/>
  <c r="E985" i="1"/>
  <c r="F985" i="1"/>
  <c r="G985" i="1"/>
  <c r="H985" i="1"/>
  <c r="I985" i="1"/>
  <c r="J985" i="1"/>
  <c r="B986" i="1"/>
  <c r="C986" i="1"/>
  <c r="D986" i="1"/>
  <c r="E986" i="1"/>
  <c r="F986" i="1"/>
  <c r="G986" i="1"/>
  <c r="H986" i="1"/>
  <c r="I986" i="1"/>
  <c r="J986" i="1"/>
  <c r="B987" i="1"/>
  <c r="C987" i="1"/>
  <c r="D987" i="1"/>
  <c r="E987" i="1"/>
  <c r="F987" i="1"/>
  <c r="G987" i="1"/>
  <c r="H987" i="1"/>
  <c r="I987" i="1"/>
  <c r="J987" i="1"/>
  <c r="B988" i="1"/>
  <c r="C988" i="1"/>
  <c r="D988" i="1"/>
  <c r="E988" i="1"/>
  <c r="F988" i="1"/>
  <c r="G988" i="1"/>
  <c r="H988" i="1"/>
  <c r="I988" i="1"/>
  <c r="J988" i="1"/>
  <c r="B989" i="1"/>
  <c r="C989" i="1"/>
  <c r="D989" i="1"/>
  <c r="E989" i="1"/>
  <c r="F989" i="1"/>
  <c r="G989" i="1"/>
  <c r="H989" i="1"/>
  <c r="I989" i="1"/>
  <c r="J989" i="1"/>
  <c r="B990" i="1"/>
  <c r="C990" i="1"/>
  <c r="D990" i="1"/>
  <c r="E990" i="1"/>
  <c r="F990" i="1"/>
  <c r="G990" i="1"/>
  <c r="H990" i="1"/>
  <c r="I990" i="1"/>
  <c r="J990" i="1"/>
  <c r="B991" i="1"/>
  <c r="C991" i="1"/>
  <c r="D991" i="1"/>
  <c r="E991" i="1"/>
  <c r="F991" i="1"/>
  <c r="G991" i="1"/>
  <c r="H991" i="1"/>
  <c r="I991" i="1"/>
  <c r="J991" i="1"/>
  <c r="B992" i="1"/>
  <c r="C992" i="1"/>
  <c r="D992" i="1"/>
  <c r="E992" i="1"/>
  <c r="F992" i="1"/>
  <c r="G992" i="1"/>
  <c r="H992" i="1"/>
  <c r="I992" i="1"/>
  <c r="J992" i="1"/>
  <c r="B993" i="1"/>
  <c r="C993" i="1"/>
  <c r="D993" i="1"/>
  <c r="E993" i="1"/>
  <c r="F993" i="1"/>
  <c r="G993" i="1"/>
  <c r="H993" i="1"/>
  <c r="I993" i="1"/>
  <c r="J993" i="1"/>
  <c r="B994" i="1"/>
  <c r="C994" i="1"/>
  <c r="D994" i="1"/>
  <c r="E994" i="1"/>
  <c r="F994" i="1"/>
  <c r="G994" i="1"/>
  <c r="H994" i="1"/>
  <c r="I994" i="1"/>
  <c r="J994" i="1"/>
  <c r="B995" i="1"/>
  <c r="C995" i="1"/>
  <c r="D995" i="1"/>
  <c r="E995" i="1"/>
  <c r="F995" i="1"/>
  <c r="G995" i="1"/>
  <c r="H995" i="1"/>
  <c r="I995" i="1"/>
  <c r="J995" i="1"/>
  <c r="B996" i="1"/>
  <c r="C996" i="1"/>
  <c r="D996" i="1"/>
  <c r="E996" i="1"/>
  <c r="F996" i="1"/>
  <c r="G996" i="1"/>
  <c r="H996" i="1"/>
  <c r="I996" i="1"/>
  <c r="J996" i="1"/>
  <c r="B997" i="1"/>
  <c r="C997" i="1"/>
  <c r="D997" i="1"/>
  <c r="E997" i="1"/>
  <c r="F997" i="1"/>
  <c r="G997" i="1"/>
  <c r="H997" i="1"/>
  <c r="I997" i="1"/>
  <c r="J997" i="1"/>
  <c r="B998" i="1"/>
  <c r="C998" i="1"/>
  <c r="D998" i="1"/>
  <c r="E998" i="1"/>
  <c r="F998" i="1"/>
  <c r="G998" i="1"/>
  <c r="H998" i="1"/>
  <c r="I998" i="1"/>
  <c r="J998" i="1"/>
  <c r="B999" i="1"/>
  <c r="C999" i="1"/>
  <c r="D999" i="1"/>
  <c r="E999" i="1"/>
  <c r="F999" i="1"/>
  <c r="G999" i="1"/>
  <c r="H999" i="1"/>
  <c r="I999" i="1"/>
  <c r="J999" i="1"/>
  <c r="B1000" i="1"/>
  <c r="C1000" i="1"/>
  <c r="D1000" i="1"/>
  <c r="E1000" i="1"/>
  <c r="F1000" i="1"/>
  <c r="G1000" i="1"/>
  <c r="H1000" i="1"/>
  <c r="I1000" i="1"/>
  <c r="J1000" i="1"/>
  <c r="B1001" i="1"/>
  <c r="C1001" i="1"/>
  <c r="D1001" i="1"/>
  <c r="E1001" i="1"/>
  <c r="F1001" i="1"/>
  <c r="G1001" i="1"/>
  <c r="H1001" i="1"/>
  <c r="I1001" i="1"/>
  <c r="J1001" i="1"/>
  <c r="B1002" i="1"/>
  <c r="C1002" i="1"/>
  <c r="D1002" i="1"/>
  <c r="E1002" i="1"/>
  <c r="F1002" i="1"/>
  <c r="G1002" i="1"/>
  <c r="H1002" i="1"/>
  <c r="I1002" i="1"/>
  <c r="J1002" i="1"/>
  <c r="B1003" i="1"/>
  <c r="C1003" i="1"/>
  <c r="D1003" i="1"/>
  <c r="E1003" i="1"/>
  <c r="F1003" i="1"/>
  <c r="G1003" i="1"/>
  <c r="H1003" i="1"/>
  <c r="I1003" i="1"/>
  <c r="J1003" i="1"/>
  <c r="B1004" i="1"/>
  <c r="C1004" i="1"/>
  <c r="D1004" i="1"/>
  <c r="E1004" i="1"/>
  <c r="F1004" i="1"/>
  <c r="G1004" i="1"/>
  <c r="H1004" i="1"/>
  <c r="I1004" i="1"/>
  <c r="J1004" i="1"/>
  <c r="B1005" i="1"/>
  <c r="C1005" i="1"/>
  <c r="D1005" i="1"/>
  <c r="E1005" i="1"/>
  <c r="F1005" i="1"/>
  <c r="G1005" i="1"/>
  <c r="H1005" i="1"/>
  <c r="I1005" i="1"/>
  <c r="J1005" i="1"/>
  <c r="B1006" i="1"/>
  <c r="C1006" i="1"/>
  <c r="D1006" i="1"/>
  <c r="E1006" i="1"/>
  <c r="F1006" i="1"/>
  <c r="G1006" i="1"/>
  <c r="H1006" i="1"/>
  <c r="I1006" i="1"/>
  <c r="J1006" i="1"/>
  <c r="B1007" i="1"/>
  <c r="C1007" i="1"/>
  <c r="D1007" i="1"/>
  <c r="E1007" i="1"/>
  <c r="F1007" i="1"/>
  <c r="G1007" i="1"/>
  <c r="H1007" i="1"/>
  <c r="I1007" i="1"/>
  <c r="J1007" i="1"/>
  <c r="B1008" i="1"/>
  <c r="C1008" i="1"/>
  <c r="D1008" i="1"/>
  <c r="E1008" i="1"/>
  <c r="F1008" i="1"/>
  <c r="G1008" i="1"/>
  <c r="H1008" i="1"/>
  <c r="I1008" i="1"/>
  <c r="J1008" i="1"/>
  <c r="B1009" i="1"/>
  <c r="C1009" i="1"/>
  <c r="D1009" i="1"/>
  <c r="E1009" i="1"/>
  <c r="F1009" i="1"/>
  <c r="G1009" i="1"/>
  <c r="H1009" i="1"/>
  <c r="I1009" i="1"/>
  <c r="J1009" i="1"/>
  <c r="B1010" i="1"/>
  <c r="C1010" i="1"/>
  <c r="D1010" i="1"/>
  <c r="E1010" i="1"/>
  <c r="F1010" i="1"/>
  <c r="G1010" i="1"/>
  <c r="H1010" i="1"/>
  <c r="I1010" i="1"/>
  <c r="J1010" i="1"/>
  <c r="B1011" i="1"/>
  <c r="C1011" i="1"/>
  <c r="D1011" i="1"/>
  <c r="E1011" i="1"/>
  <c r="F1011" i="1"/>
  <c r="G1011" i="1"/>
  <c r="H1011" i="1"/>
  <c r="I1011" i="1"/>
  <c r="J1011" i="1"/>
  <c r="B1012" i="1"/>
  <c r="C1012" i="1"/>
  <c r="D1012" i="1"/>
  <c r="E1012" i="1"/>
  <c r="F1012" i="1"/>
  <c r="G1012" i="1"/>
  <c r="H1012" i="1"/>
  <c r="I1012" i="1"/>
  <c r="J1012" i="1"/>
  <c r="B1013" i="1"/>
  <c r="C1013" i="1"/>
  <c r="D1013" i="1"/>
  <c r="E1013" i="1"/>
  <c r="F1013" i="1"/>
  <c r="G1013" i="1"/>
  <c r="H1013" i="1"/>
  <c r="I1013" i="1"/>
  <c r="J1013" i="1"/>
  <c r="B1014" i="1"/>
  <c r="C1014" i="1"/>
  <c r="D1014" i="1"/>
  <c r="E1014" i="1"/>
  <c r="F1014" i="1"/>
  <c r="G1014" i="1"/>
  <c r="H1014" i="1"/>
  <c r="I1014" i="1"/>
  <c r="J1014" i="1"/>
  <c r="B1015" i="1"/>
  <c r="C1015" i="1"/>
  <c r="D1015" i="1"/>
  <c r="E1015" i="1"/>
  <c r="F1015" i="1"/>
  <c r="G1015" i="1"/>
  <c r="H1015" i="1"/>
  <c r="I1015" i="1"/>
  <c r="J1015" i="1"/>
  <c r="B1016" i="1"/>
  <c r="C1016" i="1"/>
  <c r="D1016" i="1"/>
  <c r="E1016" i="1"/>
  <c r="F1016" i="1"/>
  <c r="G1016" i="1"/>
  <c r="H1016" i="1"/>
  <c r="I1016" i="1"/>
  <c r="J1016" i="1"/>
  <c r="B1017" i="1"/>
  <c r="C1017" i="1"/>
  <c r="D1017" i="1"/>
  <c r="E1017" i="1"/>
  <c r="F1017" i="1"/>
  <c r="G1017" i="1"/>
  <c r="H1017" i="1"/>
  <c r="I1017" i="1"/>
  <c r="J1017" i="1"/>
  <c r="B1018" i="1"/>
  <c r="C1018" i="1"/>
  <c r="D1018" i="1"/>
  <c r="E1018" i="1"/>
  <c r="F1018" i="1"/>
  <c r="G1018" i="1"/>
  <c r="H1018" i="1"/>
  <c r="I1018" i="1"/>
  <c r="J1018" i="1"/>
  <c r="B1019" i="1"/>
  <c r="C1019" i="1"/>
  <c r="D1019" i="1"/>
  <c r="E1019" i="1"/>
  <c r="F1019" i="1"/>
  <c r="G1019" i="1"/>
  <c r="H1019" i="1"/>
  <c r="I1019" i="1"/>
  <c r="J1019" i="1"/>
  <c r="B1020" i="1"/>
  <c r="C1020" i="1"/>
  <c r="D1020" i="1"/>
  <c r="E1020" i="1"/>
  <c r="F1020" i="1"/>
  <c r="G1020" i="1"/>
  <c r="H1020" i="1"/>
  <c r="I1020" i="1"/>
  <c r="J1020" i="1"/>
  <c r="B1021" i="1"/>
  <c r="C1021" i="1"/>
  <c r="D1021" i="1"/>
  <c r="E1021" i="1"/>
  <c r="F1021" i="1"/>
  <c r="G1021" i="1"/>
  <c r="H1021" i="1"/>
  <c r="I1021" i="1"/>
  <c r="J1021" i="1"/>
  <c r="B1022" i="1"/>
  <c r="C1022" i="1"/>
  <c r="D1022" i="1"/>
  <c r="E1022" i="1"/>
  <c r="F1022" i="1"/>
  <c r="G1022" i="1"/>
  <c r="H1022" i="1"/>
  <c r="I1022" i="1"/>
  <c r="J1022" i="1"/>
  <c r="B1023" i="1"/>
  <c r="C1023" i="1"/>
  <c r="D1023" i="1"/>
  <c r="E1023" i="1"/>
  <c r="F1023" i="1"/>
  <c r="G1023" i="1"/>
  <c r="H1023" i="1"/>
  <c r="I1023" i="1"/>
  <c r="J1023" i="1"/>
  <c r="B1024" i="1"/>
  <c r="C1024" i="1"/>
  <c r="D1024" i="1"/>
  <c r="E1024" i="1"/>
  <c r="F1024" i="1"/>
  <c r="G1024" i="1"/>
  <c r="H1024" i="1"/>
  <c r="I1024" i="1"/>
  <c r="J1024" i="1"/>
  <c r="B1025" i="1"/>
  <c r="C1025" i="1"/>
  <c r="D1025" i="1"/>
  <c r="E1025" i="1"/>
  <c r="F1025" i="1"/>
  <c r="G1025" i="1"/>
  <c r="H1025" i="1"/>
  <c r="I1025" i="1"/>
  <c r="J1025" i="1"/>
  <c r="B1026" i="1"/>
  <c r="C1026" i="1"/>
  <c r="D1026" i="1"/>
  <c r="E1026" i="1"/>
  <c r="F1026" i="1"/>
  <c r="G1026" i="1"/>
  <c r="H1026" i="1"/>
  <c r="I1026" i="1"/>
  <c r="J1026" i="1"/>
  <c r="B1027" i="1"/>
  <c r="C1027" i="1"/>
  <c r="D1027" i="1"/>
  <c r="E1027" i="1"/>
  <c r="F1027" i="1"/>
  <c r="G1027" i="1"/>
  <c r="H1027" i="1"/>
  <c r="I1027" i="1"/>
  <c r="J1027" i="1"/>
  <c r="B1028" i="1"/>
  <c r="C1028" i="1"/>
  <c r="D1028" i="1"/>
  <c r="E1028" i="1"/>
  <c r="F1028" i="1"/>
  <c r="G1028" i="1"/>
  <c r="H1028" i="1"/>
  <c r="I1028" i="1"/>
  <c r="J1028" i="1"/>
  <c r="B1029" i="1"/>
  <c r="C1029" i="1"/>
  <c r="D1029" i="1"/>
  <c r="E1029" i="1"/>
  <c r="F1029" i="1"/>
  <c r="G1029" i="1"/>
  <c r="H1029" i="1"/>
  <c r="I1029" i="1"/>
  <c r="J1029" i="1"/>
  <c r="B1030" i="1"/>
  <c r="C1030" i="1"/>
  <c r="D1030" i="1"/>
  <c r="E1030" i="1"/>
  <c r="F1030" i="1"/>
  <c r="G1030" i="1"/>
  <c r="H1030" i="1"/>
  <c r="I1030" i="1"/>
  <c r="J1030" i="1"/>
  <c r="B1031" i="1"/>
  <c r="C1031" i="1"/>
  <c r="D1031" i="1"/>
  <c r="E1031" i="1"/>
  <c r="F1031" i="1"/>
  <c r="G1031" i="1"/>
  <c r="H1031" i="1"/>
  <c r="I1031" i="1"/>
  <c r="J1031" i="1"/>
  <c r="B1032" i="1"/>
  <c r="C1032" i="1"/>
  <c r="D1032" i="1"/>
  <c r="E1032" i="1"/>
  <c r="F1032" i="1"/>
  <c r="G1032" i="1"/>
  <c r="H1032" i="1"/>
  <c r="I1032" i="1"/>
  <c r="J1032" i="1"/>
  <c r="B1033" i="1"/>
  <c r="C1033" i="1"/>
  <c r="D1033" i="1"/>
  <c r="E1033" i="1"/>
  <c r="F1033" i="1"/>
  <c r="G1033" i="1"/>
  <c r="H1033" i="1"/>
  <c r="I1033" i="1"/>
  <c r="J1033" i="1"/>
  <c r="B1034" i="1"/>
  <c r="C1034" i="1"/>
  <c r="D1034" i="1"/>
  <c r="E1034" i="1"/>
  <c r="F1034" i="1"/>
  <c r="G1034" i="1"/>
  <c r="H1034" i="1"/>
  <c r="I1034" i="1"/>
  <c r="J1034" i="1"/>
  <c r="B1035" i="1"/>
  <c r="C1035" i="1"/>
  <c r="D1035" i="1"/>
  <c r="E1035" i="1"/>
  <c r="F1035" i="1"/>
  <c r="G1035" i="1"/>
  <c r="H1035" i="1"/>
  <c r="I1035" i="1"/>
  <c r="J1035" i="1"/>
  <c r="B1036" i="1"/>
  <c r="C1036" i="1"/>
  <c r="D1036" i="1"/>
  <c r="E1036" i="1"/>
  <c r="F1036" i="1"/>
  <c r="G1036" i="1"/>
  <c r="H1036" i="1"/>
  <c r="I1036" i="1"/>
  <c r="J1036" i="1"/>
  <c r="B1037" i="1"/>
  <c r="C1037" i="1"/>
  <c r="D1037" i="1"/>
  <c r="E1037" i="1"/>
  <c r="F1037" i="1"/>
  <c r="G1037" i="1"/>
  <c r="H1037" i="1"/>
  <c r="I1037" i="1"/>
  <c r="J1037" i="1"/>
  <c r="B1038" i="1"/>
  <c r="C1038" i="1"/>
  <c r="D1038" i="1"/>
  <c r="E1038" i="1"/>
  <c r="F1038" i="1"/>
  <c r="G1038" i="1"/>
  <c r="H1038" i="1"/>
  <c r="I1038" i="1"/>
  <c r="J1038" i="1"/>
  <c r="B1039" i="1"/>
  <c r="C1039" i="1"/>
  <c r="D1039" i="1"/>
  <c r="E1039" i="1"/>
  <c r="F1039" i="1"/>
  <c r="G1039" i="1"/>
  <c r="H1039" i="1"/>
  <c r="I1039" i="1"/>
  <c r="J1039" i="1"/>
  <c r="B1040" i="1"/>
  <c r="C1040" i="1"/>
  <c r="D1040" i="1"/>
  <c r="E1040" i="1"/>
  <c r="F1040" i="1"/>
  <c r="G1040" i="1"/>
  <c r="H1040" i="1"/>
  <c r="I1040" i="1"/>
  <c r="J1040" i="1"/>
  <c r="B1041" i="1"/>
  <c r="C1041" i="1"/>
  <c r="D1041" i="1"/>
  <c r="E1041" i="1"/>
  <c r="F1041" i="1"/>
  <c r="G1041" i="1"/>
  <c r="H1041" i="1"/>
  <c r="I1041" i="1"/>
  <c r="J1041" i="1"/>
  <c r="B1042" i="1"/>
  <c r="C1042" i="1"/>
  <c r="D1042" i="1"/>
  <c r="E1042" i="1"/>
  <c r="F1042" i="1"/>
  <c r="G1042" i="1"/>
  <c r="H1042" i="1"/>
  <c r="I1042" i="1"/>
  <c r="J1042" i="1"/>
  <c r="B1043" i="1"/>
  <c r="C1043" i="1"/>
  <c r="D1043" i="1"/>
  <c r="E1043" i="1"/>
  <c r="F1043" i="1"/>
  <c r="G1043" i="1"/>
  <c r="H1043" i="1"/>
  <c r="I1043" i="1"/>
  <c r="J1043" i="1"/>
  <c r="B1044" i="1"/>
  <c r="C1044" i="1"/>
  <c r="D1044" i="1"/>
  <c r="E1044" i="1"/>
  <c r="F1044" i="1"/>
  <c r="G1044" i="1"/>
  <c r="H1044" i="1"/>
  <c r="I1044" i="1"/>
  <c r="J1044" i="1"/>
  <c r="B1045" i="1"/>
  <c r="C1045" i="1"/>
  <c r="D1045" i="1"/>
  <c r="E1045" i="1"/>
  <c r="F1045" i="1"/>
  <c r="G1045" i="1"/>
  <c r="H1045" i="1"/>
  <c r="I1045" i="1"/>
  <c r="J1045" i="1"/>
  <c r="B1046" i="1"/>
  <c r="C1046" i="1"/>
  <c r="D1046" i="1"/>
  <c r="E1046" i="1"/>
  <c r="F1046" i="1"/>
  <c r="G1046" i="1"/>
  <c r="H1046" i="1"/>
  <c r="I1046" i="1"/>
  <c r="J1046" i="1"/>
  <c r="B1047" i="1"/>
  <c r="C1047" i="1"/>
  <c r="D1047" i="1"/>
  <c r="E1047" i="1"/>
  <c r="F1047" i="1"/>
  <c r="G1047" i="1"/>
  <c r="H1047" i="1"/>
  <c r="I1047" i="1"/>
  <c r="J1047" i="1"/>
  <c r="B1048" i="1"/>
  <c r="C1048" i="1"/>
  <c r="D1048" i="1"/>
  <c r="E1048" i="1"/>
  <c r="F1048" i="1"/>
  <c r="G1048" i="1"/>
  <c r="H1048" i="1"/>
  <c r="I1048" i="1"/>
  <c r="J1048" i="1"/>
  <c r="C1050" i="1"/>
  <c r="G1050" i="1"/>
  <c r="L1050" i="1"/>
  <c r="M1050" i="1"/>
  <c r="N1050" i="1"/>
  <c r="O1050" i="1"/>
  <c r="P1050" i="1"/>
  <c r="S1050" i="1"/>
  <c r="L1051" i="1"/>
  <c r="M1051" i="1"/>
  <c r="N1051" i="1"/>
  <c r="O1051" i="1"/>
  <c r="P1051" i="1"/>
  <c r="L1052" i="1"/>
  <c r="M1052" i="1"/>
  <c r="N1052" i="1"/>
  <c r="O1052" i="1"/>
  <c r="P1052" i="1"/>
  <c r="Q1052" i="1"/>
  <c r="L1053" i="1"/>
  <c r="M1053" i="1"/>
  <c r="N1053" i="1"/>
  <c r="O1053" i="1"/>
  <c r="P1053" i="1"/>
  <c r="Q1053" i="1"/>
  <c r="L1054" i="1"/>
  <c r="M1054" i="1"/>
  <c r="N1054" i="1"/>
  <c r="O1054" i="1"/>
  <c r="P1054" i="1"/>
  <c r="Q1054" i="1"/>
  <c r="L1055" i="1"/>
  <c r="M1055" i="1"/>
  <c r="N1055" i="1"/>
  <c r="O1055" i="1"/>
  <c r="P1055" i="1"/>
  <c r="Q1055" i="1"/>
  <c r="L1056" i="1"/>
  <c r="M1056" i="1"/>
  <c r="N1056" i="1"/>
  <c r="O1056" i="1"/>
  <c r="P1056" i="1"/>
  <c r="Q1056" i="1"/>
  <c r="L1057" i="1"/>
  <c r="M1057" i="1"/>
  <c r="N1057" i="1"/>
  <c r="O1057" i="1"/>
  <c r="P1057" i="1"/>
  <c r="Q1057" i="1"/>
  <c r="L1058" i="1"/>
  <c r="M1058" i="1"/>
  <c r="N1058" i="1"/>
  <c r="O1058" i="1"/>
  <c r="P1058" i="1"/>
  <c r="Q1058" i="1"/>
  <c r="L1059" i="1"/>
  <c r="M1059" i="1"/>
  <c r="N1059" i="1"/>
  <c r="O1059" i="1"/>
  <c r="P1059" i="1"/>
  <c r="Q1059" i="1"/>
  <c r="L1060" i="1"/>
  <c r="M1060" i="1"/>
  <c r="N1060" i="1"/>
  <c r="O1060" i="1"/>
  <c r="P1060" i="1"/>
  <c r="Q1060" i="1"/>
  <c r="L1061" i="1"/>
  <c r="M1061" i="1"/>
  <c r="N1061" i="1"/>
  <c r="O1061" i="1"/>
  <c r="P1061" i="1"/>
  <c r="Q1061" i="1"/>
  <c r="L1062" i="1"/>
  <c r="M1062" i="1"/>
  <c r="N1062" i="1"/>
  <c r="O1062" i="1"/>
  <c r="P1062" i="1"/>
  <c r="Q1062" i="1"/>
  <c r="L1063" i="1"/>
  <c r="M1063" i="1"/>
  <c r="N1063" i="1"/>
  <c r="O1063" i="1"/>
  <c r="P1063" i="1"/>
  <c r="Q1063" i="1"/>
  <c r="L1064" i="1"/>
  <c r="M1064" i="1"/>
  <c r="N1064" i="1"/>
  <c r="O1064" i="1"/>
  <c r="P1064" i="1"/>
  <c r="Q1064" i="1"/>
  <c r="L1065" i="1"/>
  <c r="M1065" i="1"/>
  <c r="N1065" i="1"/>
  <c r="O1065" i="1"/>
  <c r="P1065" i="1"/>
  <c r="Q1065" i="1"/>
  <c r="L1066" i="1"/>
  <c r="M1066" i="1"/>
  <c r="N1066" i="1"/>
  <c r="O1066" i="1"/>
  <c r="P1066" i="1"/>
  <c r="Q1066" i="1"/>
  <c r="L1067" i="1"/>
  <c r="M1067" i="1"/>
  <c r="N1067" i="1"/>
  <c r="O1067" i="1"/>
  <c r="P1067" i="1"/>
  <c r="Q1067" i="1"/>
  <c r="L1068" i="1"/>
  <c r="M1068" i="1"/>
  <c r="N1068" i="1"/>
  <c r="O1068" i="1"/>
  <c r="P1068" i="1"/>
  <c r="Q1068" i="1"/>
  <c r="L1069" i="1"/>
  <c r="M1069" i="1"/>
  <c r="N1069" i="1"/>
  <c r="O1069" i="1"/>
  <c r="P1069" i="1"/>
  <c r="Q1069" i="1"/>
  <c r="L1070" i="1"/>
  <c r="M1070" i="1"/>
  <c r="N1070" i="1"/>
  <c r="O1070" i="1"/>
  <c r="P1070" i="1"/>
  <c r="Q1070" i="1"/>
  <c r="F1071" i="1"/>
  <c r="L1071" i="1"/>
  <c r="M1071" i="1"/>
  <c r="N1071" i="1"/>
  <c r="O1071" i="1"/>
  <c r="P1071" i="1"/>
  <c r="Q1071" i="1"/>
  <c r="E1072" i="1"/>
  <c r="I1072" i="1"/>
  <c r="L1072" i="1"/>
  <c r="M1072" i="1"/>
  <c r="N1072" i="1"/>
  <c r="O1072" i="1"/>
  <c r="P1072" i="1"/>
  <c r="Q1072" i="1"/>
  <c r="A1073" i="1"/>
  <c r="C1073" i="1"/>
  <c r="L1073" i="1"/>
  <c r="M1073" i="1"/>
  <c r="N1073" i="1"/>
  <c r="O1073" i="1"/>
  <c r="P1073" i="1"/>
  <c r="Q1073" i="1"/>
  <c r="A1074" i="1"/>
  <c r="A1075" i="1" s="1"/>
  <c r="L1074" i="1"/>
  <c r="M1074" i="1"/>
  <c r="N1074" i="1"/>
  <c r="O1074" i="1"/>
  <c r="P1074" i="1"/>
  <c r="Q1074" i="1"/>
  <c r="G1075" i="1"/>
  <c r="L1075" i="1"/>
  <c r="M1075" i="1"/>
  <c r="N1075" i="1"/>
  <c r="O1075" i="1"/>
  <c r="P1075" i="1"/>
  <c r="Q1075" i="1"/>
  <c r="A1076" i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G1076" i="1"/>
  <c r="L1076" i="1"/>
  <c r="M1076" i="1"/>
  <c r="N1076" i="1"/>
  <c r="O1076" i="1"/>
  <c r="P1076" i="1"/>
  <c r="Q1076" i="1"/>
  <c r="C1077" i="1"/>
  <c r="L1077" i="1"/>
  <c r="M1077" i="1"/>
  <c r="N1077" i="1"/>
  <c r="O1077" i="1"/>
  <c r="P1077" i="1"/>
  <c r="Q1077" i="1"/>
  <c r="L1078" i="1"/>
  <c r="M1078" i="1"/>
  <c r="N1078" i="1"/>
  <c r="O1078" i="1"/>
  <c r="P1078" i="1"/>
  <c r="Q1078" i="1"/>
  <c r="H1079" i="1"/>
  <c r="L1079" i="1"/>
  <c r="M1079" i="1"/>
  <c r="N1079" i="1"/>
  <c r="O1079" i="1"/>
  <c r="P1079" i="1"/>
  <c r="Q1079" i="1"/>
  <c r="E1080" i="1"/>
  <c r="I1080" i="1"/>
  <c r="L1080" i="1"/>
  <c r="M1080" i="1"/>
  <c r="N1080" i="1"/>
  <c r="O1080" i="1"/>
  <c r="P1080" i="1"/>
  <c r="Q1080" i="1"/>
  <c r="D1081" i="1"/>
  <c r="G1081" i="1"/>
  <c r="L1081" i="1"/>
  <c r="M1081" i="1"/>
  <c r="N1081" i="1"/>
  <c r="O1081" i="1"/>
  <c r="P1081" i="1"/>
  <c r="Q1081" i="1"/>
  <c r="C1082" i="1"/>
  <c r="L1082" i="1"/>
  <c r="M1082" i="1"/>
  <c r="N1082" i="1"/>
  <c r="O1082" i="1"/>
  <c r="P1082" i="1"/>
  <c r="Q1082" i="1"/>
  <c r="C1083" i="1"/>
  <c r="L1083" i="1"/>
  <c r="M1083" i="1"/>
  <c r="N1083" i="1"/>
  <c r="O1083" i="1"/>
  <c r="P1083" i="1"/>
  <c r="Q1083" i="1"/>
  <c r="G1084" i="1"/>
  <c r="L1084" i="1"/>
  <c r="M1084" i="1"/>
  <c r="N1084" i="1"/>
  <c r="O1084" i="1"/>
  <c r="P1084" i="1"/>
  <c r="Q1084" i="1"/>
  <c r="C1085" i="1"/>
  <c r="G1085" i="1"/>
  <c r="I1085" i="1"/>
  <c r="L1085" i="1"/>
  <c r="M1085" i="1"/>
  <c r="N1085" i="1"/>
  <c r="O1085" i="1"/>
  <c r="P1085" i="1"/>
  <c r="Q1085" i="1"/>
  <c r="C1086" i="1"/>
  <c r="E1086" i="1"/>
  <c r="L1086" i="1"/>
  <c r="M1086" i="1"/>
  <c r="N1086" i="1"/>
  <c r="O1086" i="1"/>
  <c r="P1086" i="1"/>
  <c r="Q1086" i="1"/>
  <c r="C1087" i="1"/>
  <c r="L1087" i="1"/>
  <c r="M1087" i="1"/>
  <c r="N1087" i="1"/>
  <c r="O1087" i="1"/>
  <c r="P1087" i="1"/>
  <c r="Q1087" i="1"/>
  <c r="G1088" i="1"/>
  <c r="L1088" i="1"/>
  <c r="M1088" i="1"/>
  <c r="N1088" i="1"/>
  <c r="O1088" i="1"/>
  <c r="P1088" i="1"/>
  <c r="Q1088" i="1"/>
  <c r="C1089" i="1"/>
  <c r="G1089" i="1"/>
  <c r="L1089" i="1"/>
  <c r="M1089" i="1"/>
  <c r="N1089" i="1"/>
  <c r="O1089" i="1"/>
  <c r="P1089" i="1"/>
  <c r="Q1089" i="1"/>
  <c r="L1090" i="1"/>
  <c r="M1090" i="1"/>
  <c r="N1090" i="1"/>
  <c r="O1090" i="1"/>
  <c r="P1090" i="1"/>
  <c r="Q1090" i="1"/>
  <c r="L1091" i="1"/>
  <c r="M1091" i="1"/>
  <c r="N1091" i="1"/>
  <c r="O1091" i="1"/>
  <c r="P1091" i="1"/>
  <c r="Q1091" i="1"/>
  <c r="L1092" i="1"/>
  <c r="M1092" i="1"/>
  <c r="N1092" i="1"/>
  <c r="O1092" i="1"/>
  <c r="P1092" i="1"/>
  <c r="Q1092" i="1"/>
  <c r="L1093" i="1"/>
  <c r="M1093" i="1"/>
  <c r="N1093" i="1"/>
  <c r="O1093" i="1"/>
  <c r="P1093" i="1"/>
  <c r="Q1093" i="1"/>
  <c r="L1094" i="1"/>
  <c r="M1094" i="1"/>
  <c r="N1094" i="1"/>
  <c r="O1094" i="1"/>
  <c r="P1094" i="1"/>
  <c r="Q1094" i="1"/>
  <c r="L1095" i="1"/>
  <c r="M1095" i="1"/>
  <c r="N1095" i="1"/>
  <c r="O1095" i="1"/>
  <c r="P1095" i="1"/>
  <c r="Q1095" i="1"/>
  <c r="L1096" i="1"/>
  <c r="M1096" i="1"/>
  <c r="N1096" i="1"/>
  <c r="O1096" i="1"/>
  <c r="P1096" i="1"/>
  <c r="Q1096" i="1"/>
  <c r="H1094" i="1" l="1"/>
  <c r="I1093" i="1"/>
  <c r="C1093" i="1"/>
  <c r="D1092" i="1"/>
  <c r="F1092" i="1"/>
  <c r="G1092" i="1"/>
  <c r="H1091" i="1"/>
  <c r="E1091" i="1"/>
  <c r="H1051" i="1"/>
  <c r="C1096" i="3"/>
  <c r="C1088" i="3"/>
  <c r="C1074" i="3"/>
  <c r="C1070" i="3"/>
  <c r="C1062" i="3"/>
  <c r="C1054" i="3"/>
  <c r="K1135" i="4"/>
  <c r="K1115" i="4"/>
  <c r="E1101" i="4"/>
  <c r="I1064" i="4"/>
  <c r="G1052" i="4"/>
  <c r="B1095" i="3"/>
  <c r="B1094" i="3"/>
  <c r="B1086" i="3"/>
  <c r="B1085" i="3"/>
  <c r="B1077" i="3"/>
  <c r="B1072" i="3"/>
  <c r="B1065" i="3"/>
  <c r="B1064" i="3"/>
  <c r="B1055" i="3"/>
  <c r="B1052" i="3"/>
  <c r="F1133" i="4"/>
  <c r="F1127" i="4"/>
  <c r="F1123" i="4"/>
  <c r="E1091" i="3"/>
  <c r="E1083" i="3"/>
  <c r="E1075" i="3"/>
  <c r="G1096" i="1"/>
  <c r="C1095" i="1"/>
  <c r="E1095" i="1"/>
  <c r="I1094" i="1"/>
  <c r="C1094" i="1"/>
  <c r="C1090" i="1"/>
  <c r="H1089" i="1"/>
  <c r="I1089" i="1"/>
  <c r="E1087" i="1"/>
  <c r="F1086" i="1"/>
  <c r="E1082" i="1"/>
  <c r="I1081" i="1"/>
  <c r="C1078" i="1"/>
  <c r="D1077" i="1"/>
  <c r="G1077" i="1"/>
  <c r="I1076" i="1"/>
  <c r="D1073" i="1"/>
  <c r="G1073" i="1"/>
  <c r="B1069" i="1"/>
  <c r="C1069" i="1"/>
  <c r="E1068" i="1"/>
  <c r="I1068" i="1"/>
  <c r="J1068" i="1"/>
  <c r="H1067" i="1"/>
  <c r="D1067" i="1"/>
  <c r="I1066" i="1"/>
  <c r="B1065" i="1"/>
  <c r="D1064" i="1"/>
  <c r="E1064" i="1"/>
  <c r="H1064" i="1"/>
  <c r="J1063" i="1"/>
  <c r="B1063" i="1"/>
  <c r="F1063" i="1"/>
  <c r="G1062" i="1"/>
  <c r="J1061" i="1"/>
  <c r="D1060" i="1"/>
  <c r="C1060" i="1"/>
  <c r="J1059" i="1"/>
  <c r="F1059" i="1"/>
  <c r="G1059" i="1"/>
  <c r="E1058" i="1"/>
  <c r="I1058" i="1"/>
  <c r="G1057" i="1"/>
  <c r="C1056" i="1"/>
  <c r="H1055" i="1"/>
  <c r="B1055" i="1"/>
  <c r="E1055" i="1"/>
  <c r="F1054" i="1"/>
  <c r="G1054" i="1"/>
  <c r="J1053" i="1"/>
  <c r="E1053" i="1"/>
  <c r="B1050" i="1"/>
  <c r="D1096" i="3"/>
  <c r="D1088" i="3"/>
  <c r="D1080" i="3"/>
  <c r="D1072" i="3"/>
  <c r="D1070" i="3"/>
  <c r="D1068" i="3"/>
  <c r="D1066" i="3"/>
  <c r="D1064" i="3"/>
  <c r="D1062" i="3"/>
  <c r="D1060" i="3"/>
  <c r="B1097" i="1"/>
  <c r="J1097" i="1"/>
  <c r="E1097" i="1"/>
  <c r="O1097" i="1"/>
  <c r="L1097" i="1"/>
  <c r="F1097" i="1"/>
  <c r="A1098" i="1"/>
  <c r="M1097" i="1"/>
  <c r="N1097" i="1"/>
  <c r="P1097" i="1"/>
  <c r="Q1097" i="1"/>
  <c r="D1097" i="1"/>
  <c r="I1097" i="1"/>
  <c r="C1097" i="1"/>
  <c r="G1097" i="1"/>
  <c r="H1097" i="1"/>
  <c r="F1135" i="4"/>
  <c r="F1134" i="4"/>
  <c r="F1128" i="4"/>
  <c r="F1121" i="4"/>
  <c r="F1118" i="4"/>
  <c r="F1117" i="4"/>
  <c r="F1115" i="4"/>
  <c r="F1109" i="4"/>
  <c r="F1105" i="4"/>
  <c r="F1094" i="4"/>
  <c r="F1092" i="4"/>
  <c r="F1089" i="4"/>
  <c r="F1087" i="4"/>
  <c r="F1084" i="4"/>
  <c r="F1082" i="4"/>
  <c r="F1078" i="4"/>
  <c r="H1064" i="4"/>
  <c r="F1063" i="4"/>
  <c r="F1061" i="4"/>
  <c r="F1056" i="4"/>
  <c r="F1053" i="4"/>
  <c r="G1095" i="1"/>
  <c r="G1087" i="1"/>
  <c r="G1079" i="1"/>
  <c r="G1071" i="1"/>
  <c r="D1096" i="1"/>
  <c r="F1096" i="1"/>
  <c r="I1096" i="1"/>
  <c r="J1096" i="1"/>
  <c r="B1096" i="1"/>
  <c r="H1095" i="1"/>
  <c r="D1095" i="1"/>
  <c r="F1095" i="1"/>
  <c r="F1094" i="1"/>
  <c r="J1094" i="1"/>
  <c r="B1094" i="1"/>
  <c r="H1093" i="1"/>
  <c r="D1093" i="1"/>
  <c r="E1093" i="1"/>
  <c r="F1093" i="1"/>
  <c r="I1092" i="1"/>
  <c r="J1092" i="1"/>
  <c r="B1092" i="1"/>
  <c r="C1091" i="1"/>
  <c r="D1091" i="1"/>
  <c r="F1091" i="1"/>
  <c r="E1090" i="1"/>
  <c r="F1090" i="1"/>
  <c r="H1090" i="1"/>
  <c r="I1090" i="1"/>
  <c r="J1090" i="1"/>
  <c r="B1090" i="1"/>
  <c r="D1089" i="1"/>
  <c r="E1089" i="1"/>
  <c r="F1089" i="1"/>
  <c r="D1088" i="1"/>
  <c r="E1088" i="1"/>
  <c r="F1088" i="1"/>
  <c r="H1088" i="1"/>
  <c r="I1088" i="1"/>
  <c r="J1088" i="1"/>
  <c r="B1088" i="1"/>
  <c r="H1087" i="1"/>
  <c r="D1087" i="1"/>
  <c r="F1087" i="1"/>
  <c r="G1086" i="1"/>
  <c r="H1086" i="1"/>
  <c r="I1086" i="1"/>
  <c r="J1086" i="1"/>
  <c r="B1086" i="1"/>
  <c r="H1085" i="1"/>
  <c r="D1085" i="1"/>
  <c r="E1085" i="1"/>
  <c r="F1085" i="1"/>
  <c r="D1084" i="1"/>
  <c r="E1084" i="1"/>
  <c r="F1084" i="1"/>
  <c r="H1084" i="1"/>
  <c r="I1084" i="1"/>
  <c r="J1084" i="1"/>
  <c r="B1084" i="1"/>
  <c r="H1083" i="1"/>
  <c r="D1083" i="1"/>
  <c r="E1083" i="1"/>
  <c r="F1083" i="1"/>
  <c r="F1082" i="1"/>
  <c r="G1082" i="1"/>
  <c r="H1082" i="1"/>
  <c r="I1082" i="1"/>
  <c r="J1082" i="1"/>
  <c r="B1082" i="1"/>
  <c r="H1081" i="1"/>
  <c r="C1081" i="1"/>
  <c r="E1081" i="1"/>
  <c r="F1081" i="1"/>
  <c r="D1080" i="1"/>
  <c r="G1080" i="1"/>
  <c r="C1079" i="1"/>
  <c r="E1079" i="1"/>
  <c r="E1078" i="1"/>
  <c r="F1078" i="1"/>
  <c r="I1077" i="1"/>
  <c r="E1076" i="1"/>
  <c r="H1075" i="1"/>
  <c r="C1075" i="1"/>
  <c r="E1075" i="1"/>
  <c r="E1074" i="1"/>
  <c r="F1074" i="1"/>
  <c r="I1073" i="1"/>
  <c r="F1072" i="1"/>
  <c r="B1071" i="1"/>
  <c r="D1071" i="1"/>
  <c r="D1070" i="1"/>
  <c r="E1070" i="1"/>
  <c r="I1070" i="1"/>
  <c r="I1069" i="1"/>
  <c r="F1069" i="1"/>
  <c r="D1068" i="1"/>
  <c r="B1067" i="1"/>
  <c r="E1066" i="1"/>
  <c r="F1066" i="1"/>
  <c r="I1065" i="1"/>
  <c r="D1065" i="1"/>
  <c r="I1064" i="1"/>
  <c r="E1063" i="1"/>
  <c r="D1062" i="1"/>
  <c r="I1062" i="1"/>
  <c r="B1061" i="1"/>
  <c r="E1061" i="1"/>
  <c r="F1061" i="1"/>
  <c r="H1060" i="1"/>
  <c r="I1060" i="1"/>
  <c r="B1059" i="1"/>
  <c r="H1058" i="1"/>
  <c r="J1057" i="1"/>
  <c r="B1057" i="1"/>
  <c r="F1057" i="1"/>
  <c r="D1056" i="1"/>
  <c r="G1056" i="1"/>
  <c r="H1056" i="1"/>
  <c r="J1055" i="1"/>
  <c r="D1053" i="1"/>
  <c r="F1053" i="1"/>
  <c r="B1052" i="1"/>
  <c r="J1050" i="1"/>
  <c r="F1131" i="4"/>
  <c r="F1129" i="4"/>
  <c r="F1126" i="4"/>
  <c r="F1125" i="4"/>
  <c r="F1124" i="4"/>
  <c r="F1120" i="4"/>
  <c r="F1116" i="4"/>
  <c r="F1112" i="4"/>
  <c r="F1107" i="4"/>
  <c r="F1106" i="4"/>
  <c r="F1103" i="4"/>
  <c r="F1102" i="4"/>
  <c r="F1099" i="4"/>
  <c r="F1093" i="4"/>
  <c r="F1088" i="4"/>
  <c r="F1086" i="4"/>
  <c r="F1083" i="4"/>
  <c r="F1080" i="4"/>
  <c r="F1079" i="4"/>
  <c r="F1068" i="4"/>
  <c r="F1067" i="4"/>
  <c r="F1066" i="4"/>
  <c r="F1064" i="4"/>
  <c r="F1060" i="4"/>
  <c r="F1057" i="4"/>
  <c r="F1054" i="4"/>
  <c r="F1051" i="4"/>
  <c r="F1090" i="4"/>
  <c r="F1050" i="4"/>
  <c r="C1096" i="1"/>
  <c r="C1088" i="1"/>
  <c r="C1084" i="1"/>
  <c r="G1083" i="1"/>
  <c r="C1076" i="1"/>
  <c r="C1072" i="1"/>
  <c r="C1070" i="1"/>
  <c r="G1067" i="1"/>
  <c r="C1066" i="1"/>
  <c r="C1064" i="1"/>
  <c r="G1063" i="1"/>
  <c r="C1062" i="1"/>
  <c r="C1058" i="1"/>
  <c r="G1055" i="1"/>
  <c r="I1052" i="1"/>
  <c r="E1052" i="1"/>
  <c r="R1051" i="1"/>
  <c r="E1051" i="1"/>
  <c r="H1050" i="1"/>
  <c r="E1135" i="4"/>
  <c r="I1135" i="4"/>
  <c r="C1135" i="4"/>
  <c r="F1132" i="4"/>
  <c r="F1130" i="4"/>
  <c r="F1122" i="4"/>
  <c r="F1113" i="4"/>
  <c r="F1111" i="4"/>
  <c r="F1110" i="4"/>
  <c r="F1101" i="4"/>
  <c r="F1100" i="4"/>
  <c r="F1098" i="4"/>
  <c r="F1096" i="4"/>
  <c r="F1095" i="4"/>
  <c r="F1091" i="4"/>
  <c r="F1085" i="4"/>
  <c r="F1077" i="4"/>
  <c r="F1076" i="4"/>
  <c r="F1075" i="4"/>
  <c r="F1074" i="4"/>
  <c r="F1072" i="4"/>
  <c r="F1071" i="4"/>
  <c r="F1070" i="4"/>
  <c r="F1069" i="4"/>
  <c r="F1062" i="4"/>
  <c r="F1055" i="4"/>
  <c r="F1052" i="4"/>
  <c r="G1093" i="1"/>
  <c r="C1092" i="1"/>
  <c r="G1091" i="1"/>
  <c r="C1080" i="1"/>
  <c r="C1074" i="1"/>
  <c r="G1069" i="1"/>
  <c r="C1068" i="1"/>
  <c r="G1065" i="1"/>
  <c r="G1061" i="1"/>
  <c r="C1054" i="1"/>
  <c r="G1053" i="1"/>
  <c r="C1052" i="1"/>
  <c r="G1052" i="1"/>
  <c r="C1051" i="1"/>
  <c r="G1051" i="1"/>
  <c r="E1050" i="1"/>
  <c r="K1050" i="1"/>
  <c r="F1119" i="4"/>
  <c r="F1114" i="4"/>
  <c r="F1108" i="4"/>
  <c r="F1104" i="4"/>
  <c r="F1097" i="4"/>
  <c r="F1081" i="4"/>
  <c r="F1073" i="4"/>
  <c r="F1065" i="4"/>
  <c r="F1059" i="4"/>
  <c r="F1058" i="4"/>
  <c r="F1080" i="1"/>
  <c r="H1080" i="1"/>
  <c r="J1080" i="1"/>
  <c r="B1080" i="1"/>
  <c r="D1079" i="1"/>
  <c r="F1079" i="1"/>
  <c r="G1078" i="1"/>
  <c r="H1078" i="1"/>
  <c r="I1078" i="1"/>
  <c r="J1078" i="1"/>
  <c r="B1078" i="1"/>
  <c r="H1077" i="1"/>
  <c r="E1077" i="1"/>
  <c r="F1077" i="1"/>
  <c r="D1076" i="1"/>
  <c r="F1076" i="1"/>
  <c r="H1076" i="1"/>
  <c r="J1076" i="1"/>
  <c r="B1076" i="1"/>
  <c r="D1075" i="1"/>
  <c r="F1075" i="1"/>
  <c r="G1074" i="1"/>
  <c r="H1074" i="1"/>
  <c r="I1074" i="1"/>
  <c r="J1074" i="1"/>
  <c r="B1074" i="1"/>
  <c r="H1073" i="1"/>
  <c r="E1073" i="1"/>
  <c r="F1073" i="1"/>
  <c r="D1072" i="1"/>
  <c r="G1072" i="1"/>
  <c r="H1072" i="1"/>
  <c r="J1072" i="1"/>
  <c r="B1072" i="1"/>
  <c r="J1071" i="1"/>
  <c r="C1071" i="1"/>
  <c r="E1071" i="1"/>
  <c r="G1070" i="1"/>
  <c r="H1070" i="1"/>
  <c r="J1070" i="1"/>
  <c r="B1070" i="1"/>
  <c r="H1069" i="1"/>
  <c r="J1069" i="1"/>
  <c r="D1069" i="1"/>
  <c r="E1069" i="1"/>
  <c r="G1068" i="1"/>
  <c r="H1068" i="1"/>
  <c r="B1068" i="1"/>
  <c r="J1067" i="1"/>
  <c r="C1067" i="1"/>
  <c r="E1067" i="1"/>
  <c r="F1067" i="1"/>
  <c r="G1066" i="1"/>
  <c r="H1066" i="1"/>
  <c r="J1066" i="1"/>
  <c r="B1066" i="1"/>
  <c r="H1065" i="1"/>
  <c r="J1065" i="1"/>
  <c r="C1065" i="1"/>
  <c r="E1065" i="1"/>
  <c r="F1065" i="1"/>
  <c r="F1064" i="1"/>
  <c r="G1064" i="1"/>
  <c r="J1064" i="1"/>
  <c r="B1064" i="1"/>
  <c r="H1063" i="1"/>
  <c r="C1063" i="1"/>
  <c r="D1063" i="1"/>
  <c r="F1062" i="1"/>
  <c r="H1062" i="1"/>
  <c r="J1062" i="1"/>
  <c r="B1062" i="1"/>
  <c r="H1061" i="1"/>
  <c r="I1061" i="1"/>
  <c r="C1061" i="1"/>
  <c r="D1061" i="1"/>
  <c r="E1060" i="1"/>
  <c r="G1060" i="1"/>
  <c r="J1060" i="1"/>
  <c r="B1060" i="1"/>
  <c r="I1059" i="1"/>
  <c r="C1059" i="1"/>
  <c r="D1059" i="1"/>
  <c r="E1059" i="1"/>
  <c r="G1058" i="1"/>
  <c r="J1058" i="1"/>
  <c r="B1058" i="1"/>
  <c r="H1057" i="1"/>
  <c r="I1057" i="1"/>
  <c r="C1057" i="1"/>
  <c r="D1057" i="1"/>
  <c r="E1057" i="1"/>
  <c r="E1056" i="1"/>
  <c r="F1056" i="1"/>
  <c r="I1056" i="1"/>
  <c r="J1056" i="1"/>
  <c r="B1056" i="1"/>
  <c r="C1055" i="1"/>
  <c r="D1055" i="1"/>
  <c r="F1055" i="1"/>
  <c r="E1054" i="1"/>
  <c r="H1054" i="1"/>
  <c r="I1054" i="1"/>
  <c r="J1054" i="1"/>
  <c r="B1054" i="1"/>
  <c r="H1053" i="1"/>
  <c r="I1053" i="1"/>
  <c r="C1053" i="1"/>
  <c r="J1052" i="1"/>
  <c r="D1052" i="1"/>
  <c r="F1052" i="1"/>
  <c r="J1051" i="1"/>
  <c r="B1051" i="1"/>
  <c r="D1051" i="1"/>
  <c r="F1051" i="1"/>
  <c r="F1050" i="1"/>
  <c r="D1050" i="1"/>
  <c r="H1135" i="4"/>
  <c r="J1135" i="4"/>
  <c r="B1135" i="4"/>
  <c r="D1135" i="4"/>
  <c r="H1134" i="4"/>
  <c r="J1134" i="4"/>
  <c r="B1134" i="4"/>
  <c r="D1134" i="4"/>
  <c r="H1133" i="4"/>
  <c r="J1133" i="4"/>
  <c r="B1133" i="4"/>
  <c r="D1133" i="4"/>
  <c r="H1132" i="4"/>
  <c r="J1132" i="4"/>
  <c r="B1132" i="4"/>
  <c r="D1132" i="4"/>
  <c r="H1131" i="4"/>
  <c r="J1131" i="4"/>
  <c r="B1131" i="4"/>
  <c r="D1131" i="4"/>
  <c r="H1130" i="4"/>
  <c r="J1130" i="4"/>
  <c r="B1130" i="4"/>
  <c r="D1130" i="4"/>
  <c r="H1129" i="4"/>
  <c r="J1129" i="4"/>
  <c r="B1129" i="4"/>
  <c r="D1129" i="4"/>
  <c r="H1128" i="4"/>
  <c r="J1128" i="4"/>
  <c r="B1128" i="4"/>
  <c r="D1128" i="4"/>
  <c r="H1127" i="4"/>
  <c r="J1127" i="4"/>
  <c r="B1127" i="4"/>
  <c r="D1127" i="4"/>
  <c r="H1126" i="4"/>
  <c r="J1126" i="4"/>
  <c r="B1126" i="4"/>
  <c r="D1126" i="4"/>
  <c r="H1125" i="4"/>
  <c r="J1125" i="4"/>
  <c r="B1125" i="4"/>
  <c r="D1125" i="4"/>
  <c r="H1124" i="4"/>
  <c r="J1124" i="4"/>
  <c r="B1124" i="4"/>
  <c r="D1124" i="4"/>
  <c r="H1123" i="4"/>
  <c r="J1123" i="4"/>
  <c r="B1123" i="4"/>
  <c r="D1123" i="4"/>
  <c r="H1122" i="4"/>
  <c r="J1122" i="4"/>
  <c r="B1122" i="4"/>
  <c r="D1122" i="4"/>
  <c r="H1121" i="4"/>
  <c r="J1121" i="4"/>
  <c r="B1121" i="4"/>
  <c r="D1121" i="4"/>
  <c r="H1120" i="4"/>
  <c r="J1120" i="4"/>
  <c r="B1120" i="4"/>
  <c r="D1120" i="4"/>
  <c r="H1119" i="4"/>
  <c r="J1119" i="4"/>
  <c r="B1119" i="4"/>
  <c r="D1119" i="4"/>
  <c r="H1118" i="4"/>
  <c r="J1118" i="4"/>
  <c r="B1118" i="4"/>
  <c r="D1118" i="4"/>
  <c r="H1117" i="4"/>
  <c r="J1117" i="4"/>
  <c r="B1117" i="4"/>
  <c r="D1117" i="4"/>
  <c r="H1116" i="4"/>
  <c r="J1116" i="4"/>
  <c r="B1116" i="4"/>
  <c r="B1113" i="4"/>
  <c r="H1105" i="4"/>
  <c r="E1134" i="4"/>
  <c r="K1134" i="4"/>
  <c r="I1133" i="4"/>
  <c r="I1132" i="4"/>
  <c r="G1131" i="4"/>
  <c r="C1131" i="4"/>
  <c r="G1130" i="4"/>
  <c r="C1130" i="4"/>
  <c r="K1129" i="4"/>
  <c r="E1128" i="4"/>
  <c r="K1128" i="4"/>
  <c r="E1127" i="4"/>
  <c r="K1127" i="4"/>
  <c r="E1126" i="4"/>
  <c r="C1126" i="4"/>
  <c r="G1125" i="4"/>
  <c r="K1125" i="4"/>
  <c r="E1124" i="4"/>
  <c r="K1124" i="4"/>
  <c r="I1123" i="4"/>
  <c r="E1122" i="4"/>
  <c r="K1122" i="4"/>
  <c r="I1121" i="4"/>
  <c r="I1120" i="4"/>
  <c r="E1119" i="4"/>
  <c r="K1119" i="4"/>
  <c r="I1118" i="4"/>
  <c r="G1117" i="4"/>
  <c r="C1117" i="4"/>
  <c r="K1116" i="4"/>
  <c r="C1115" i="4"/>
  <c r="I1114" i="4"/>
  <c r="I1113" i="4"/>
  <c r="I1112" i="4"/>
  <c r="K1111" i="4"/>
  <c r="E1110" i="4"/>
  <c r="K1110" i="4"/>
  <c r="I1109" i="4"/>
  <c r="E1108" i="4"/>
  <c r="K1108" i="4"/>
  <c r="G1107" i="4"/>
  <c r="C1107" i="4"/>
  <c r="K1106" i="4"/>
  <c r="I1105" i="4"/>
  <c r="C1104" i="4"/>
  <c r="G1103" i="4"/>
  <c r="K1103" i="4"/>
  <c r="E1102" i="4"/>
  <c r="K1102" i="4"/>
  <c r="G1101" i="4"/>
  <c r="C1101" i="4"/>
  <c r="I1100" i="4"/>
  <c r="I1099" i="4"/>
  <c r="E1098" i="4"/>
  <c r="K1098" i="4"/>
  <c r="I1097" i="4"/>
  <c r="I1096" i="4"/>
  <c r="I1095" i="4"/>
  <c r="I1094" i="4"/>
  <c r="G1093" i="4"/>
  <c r="C1093" i="4"/>
  <c r="G1092" i="4"/>
  <c r="C1092" i="4"/>
  <c r="I1091" i="4"/>
  <c r="G1089" i="4"/>
  <c r="C1089" i="4"/>
  <c r="I1088" i="4"/>
  <c r="G1087" i="4"/>
  <c r="C1087" i="4"/>
  <c r="K1086" i="4"/>
  <c r="G1085" i="4"/>
  <c r="C1085" i="4"/>
  <c r="G1084" i="4"/>
  <c r="C1084" i="4"/>
  <c r="G1083" i="4"/>
  <c r="C1083" i="4"/>
  <c r="E1082" i="4"/>
  <c r="K1082" i="4"/>
  <c r="G1081" i="4"/>
  <c r="C1081" i="4"/>
  <c r="I1080" i="4"/>
  <c r="G1079" i="4"/>
  <c r="K1079" i="4"/>
  <c r="I1078" i="4"/>
  <c r="C1077" i="4"/>
  <c r="I1076" i="4"/>
  <c r="C1075" i="4"/>
  <c r="E1074" i="4"/>
  <c r="K1074" i="4"/>
  <c r="G1073" i="4"/>
  <c r="C1073" i="4"/>
  <c r="K1072" i="4"/>
  <c r="G1071" i="4"/>
  <c r="C1071" i="4"/>
  <c r="I1070" i="4"/>
  <c r="G1069" i="4"/>
  <c r="C1069" i="4"/>
  <c r="I1068" i="4"/>
  <c r="G1067" i="4"/>
  <c r="C1067" i="4"/>
  <c r="I1066" i="4"/>
  <c r="I1065" i="4"/>
  <c r="G1064" i="4"/>
  <c r="G1063" i="4"/>
  <c r="C1063" i="4"/>
  <c r="I1062" i="4"/>
  <c r="E1061" i="4"/>
  <c r="K1061" i="4"/>
  <c r="K1060" i="4"/>
  <c r="K1059" i="4"/>
  <c r="E1058" i="4"/>
  <c r="K1058" i="4"/>
  <c r="E1057" i="4"/>
  <c r="K1057" i="4"/>
  <c r="G1056" i="4"/>
  <c r="C1056" i="4"/>
  <c r="K1055" i="4"/>
  <c r="I1054" i="4"/>
  <c r="E1053" i="4"/>
  <c r="C1053" i="4"/>
  <c r="K1052" i="4"/>
  <c r="K1051" i="4"/>
  <c r="I1050" i="4"/>
  <c r="I1090" i="4"/>
  <c r="E1096" i="1"/>
  <c r="E1094" i="1"/>
  <c r="G1094" i="1"/>
  <c r="E1092" i="1"/>
  <c r="G1134" i="4"/>
  <c r="C1134" i="4"/>
  <c r="K1133" i="4"/>
  <c r="E1132" i="4"/>
  <c r="C1132" i="4"/>
  <c r="I1131" i="4"/>
  <c r="E1130" i="4"/>
  <c r="I1130" i="4"/>
  <c r="I1129" i="4"/>
  <c r="I1128" i="4"/>
  <c r="C1127" i="4"/>
  <c r="G1126" i="4"/>
  <c r="K1126" i="4"/>
  <c r="I1125" i="4"/>
  <c r="I1124" i="4"/>
  <c r="G1123" i="4"/>
  <c r="C1123" i="4"/>
  <c r="I1122" i="4"/>
  <c r="G1121" i="4"/>
  <c r="C1121" i="4"/>
  <c r="G1120" i="4"/>
  <c r="C1120" i="4"/>
  <c r="G1119" i="4"/>
  <c r="C1119" i="4"/>
  <c r="E1118" i="4"/>
  <c r="K1118" i="4"/>
  <c r="K1117" i="4"/>
  <c r="G1116" i="4"/>
  <c r="C1116" i="4"/>
  <c r="I1115" i="4"/>
  <c r="K1114" i="4"/>
  <c r="E1113" i="4"/>
  <c r="C1113" i="4"/>
  <c r="G1112" i="4"/>
  <c r="C1112" i="4"/>
  <c r="G1111" i="4"/>
  <c r="C1111" i="4"/>
  <c r="G1110" i="4"/>
  <c r="C1110" i="4"/>
  <c r="G1109" i="4"/>
  <c r="K1109" i="4"/>
  <c r="G1108" i="4"/>
  <c r="C1108" i="4"/>
  <c r="K1107" i="4"/>
  <c r="I1106" i="4"/>
  <c r="G1105" i="4"/>
  <c r="C1105" i="4"/>
  <c r="I1104" i="4"/>
  <c r="C1103" i="4"/>
  <c r="I1102" i="4"/>
  <c r="I1101" i="4"/>
  <c r="G1100" i="4"/>
  <c r="C1100" i="4"/>
  <c r="G1099" i="4"/>
  <c r="K1099" i="4"/>
  <c r="I1098" i="4"/>
  <c r="E1097" i="4"/>
  <c r="C1097" i="4"/>
  <c r="K1096" i="4"/>
  <c r="K1095" i="4"/>
  <c r="G1094" i="4"/>
  <c r="C1094" i="4"/>
  <c r="I1093" i="4"/>
  <c r="K1092" i="4"/>
  <c r="G1091" i="4"/>
  <c r="C1091" i="4"/>
  <c r="I1089" i="4"/>
  <c r="E1088" i="4"/>
  <c r="K1088" i="4"/>
  <c r="K1087" i="4"/>
  <c r="G1086" i="4"/>
  <c r="C1086" i="4"/>
  <c r="I1085" i="4"/>
  <c r="K1084" i="4"/>
  <c r="K1083" i="4"/>
  <c r="G1082" i="4"/>
  <c r="C1082" i="4"/>
  <c r="E1081" i="4"/>
  <c r="K1081" i="4"/>
  <c r="G1080" i="4"/>
  <c r="C1080" i="4"/>
  <c r="C1079" i="4"/>
  <c r="C1078" i="4"/>
  <c r="K1077" i="4"/>
  <c r="K1076" i="4"/>
  <c r="I1075" i="4"/>
  <c r="I1074" i="4"/>
  <c r="K1073" i="4"/>
  <c r="I1072" i="4"/>
  <c r="I1071" i="4"/>
  <c r="G1070" i="4"/>
  <c r="C1070" i="4"/>
  <c r="K1069" i="4"/>
  <c r="K1068" i="4"/>
  <c r="K1067" i="4"/>
  <c r="E1066" i="4"/>
  <c r="K1066" i="4"/>
  <c r="G1065" i="4"/>
  <c r="C1065" i="4"/>
  <c r="C1064" i="4"/>
  <c r="I1063" i="4"/>
  <c r="K1062" i="4"/>
  <c r="G1061" i="4"/>
  <c r="C1061" i="4"/>
  <c r="G1060" i="4"/>
  <c r="C1060" i="4"/>
  <c r="I1059" i="4"/>
  <c r="G1058" i="4"/>
  <c r="C1058" i="4"/>
  <c r="I1057" i="4"/>
  <c r="K1056" i="4"/>
  <c r="I1055" i="4"/>
  <c r="G1054" i="4"/>
  <c r="C1054" i="4"/>
  <c r="I1053" i="4"/>
  <c r="E1090" i="4"/>
  <c r="E1050" i="4"/>
  <c r="C1050" i="4"/>
  <c r="C1090" i="4"/>
  <c r="I1134" i="4"/>
  <c r="G1133" i="4"/>
  <c r="C1133" i="4"/>
  <c r="G1132" i="4"/>
  <c r="K1132" i="4"/>
  <c r="E1131" i="4"/>
  <c r="K1131" i="4"/>
  <c r="K1130" i="4"/>
  <c r="G1129" i="4"/>
  <c r="C1129" i="4"/>
  <c r="G1128" i="4"/>
  <c r="C1128" i="4"/>
  <c r="G1127" i="4"/>
  <c r="I1127" i="4"/>
  <c r="I1126" i="4"/>
  <c r="C1125" i="4"/>
  <c r="G1124" i="4"/>
  <c r="C1124" i="4"/>
  <c r="E1123" i="4"/>
  <c r="K1123" i="4"/>
  <c r="G1122" i="4"/>
  <c r="C1122" i="4"/>
  <c r="K1121" i="4"/>
  <c r="E1120" i="4"/>
  <c r="K1120" i="4"/>
  <c r="I1119" i="4"/>
  <c r="G1118" i="4"/>
  <c r="C1118" i="4"/>
  <c r="I1117" i="4"/>
  <c r="I1116" i="4"/>
  <c r="G1115" i="4"/>
  <c r="G1114" i="4"/>
  <c r="C1114" i="4"/>
  <c r="G1113" i="4"/>
  <c r="K1113" i="4"/>
  <c r="E1112" i="4"/>
  <c r="K1112" i="4"/>
  <c r="I1111" i="4"/>
  <c r="I1110" i="4"/>
  <c r="E1109" i="4"/>
  <c r="C1109" i="4"/>
  <c r="I1108" i="4"/>
  <c r="I1107" i="4"/>
  <c r="G1106" i="4"/>
  <c r="C1106" i="4"/>
  <c r="K1105" i="4"/>
  <c r="G1104" i="4"/>
  <c r="K1104" i="4"/>
  <c r="I1103" i="4"/>
  <c r="G1102" i="4"/>
  <c r="C1102" i="4"/>
  <c r="K1101" i="4"/>
  <c r="E1100" i="4"/>
  <c r="K1100" i="4"/>
  <c r="C1099" i="4"/>
  <c r="G1098" i="4"/>
  <c r="C1098" i="4"/>
  <c r="G1097" i="4"/>
  <c r="K1097" i="4"/>
  <c r="G1096" i="4"/>
  <c r="C1096" i="4"/>
  <c r="G1095" i="4"/>
  <c r="C1095" i="4"/>
  <c r="K1094" i="4"/>
  <c r="K1093" i="4"/>
  <c r="E1092" i="4"/>
  <c r="I1092" i="4"/>
  <c r="K1091" i="4"/>
  <c r="K1089" i="4"/>
  <c r="G1088" i="4"/>
  <c r="C1088" i="4"/>
  <c r="I1087" i="4"/>
  <c r="I1086" i="4"/>
  <c r="K1085" i="4"/>
  <c r="I1084" i="4"/>
  <c r="I1083" i="4"/>
  <c r="I1082" i="4"/>
  <c r="I1081" i="4"/>
  <c r="K1080" i="4"/>
  <c r="I1079" i="4"/>
  <c r="G1078" i="4"/>
  <c r="K1078" i="4"/>
  <c r="I1077" i="4"/>
  <c r="G1076" i="4"/>
  <c r="C1076" i="4"/>
  <c r="G1075" i="4"/>
  <c r="K1075" i="4"/>
  <c r="G1074" i="4"/>
  <c r="C1074" i="4"/>
  <c r="E1073" i="4"/>
  <c r="I1073" i="4"/>
  <c r="G1072" i="4"/>
  <c r="C1072" i="4"/>
  <c r="K1071" i="4"/>
  <c r="K1070" i="4"/>
  <c r="I1069" i="4"/>
  <c r="G1068" i="4"/>
  <c r="C1068" i="4"/>
  <c r="I1067" i="4"/>
  <c r="G1066" i="4"/>
  <c r="C1066" i="4"/>
  <c r="E1065" i="4"/>
  <c r="K1065" i="4"/>
  <c r="K1064" i="4"/>
  <c r="K1063" i="4"/>
  <c r="G1062" i="4"/>
  <c r="C1062" i="4"/>
  <c r="I1061" i="4"/>
  <c r="I1060" i="4"/>
  <c r="G1059" i="4"/>
  <c r="C1059" i="4"/>
  <c r="I1058" i="4"/>
  <c r="G1057" i="4"/>
  <c r="C1057" i="4"/>
  <c r="I1056" i="4"/>
  <c r="G1055" i="4"/>
  <c r="C1055" i="4"/>
  <c r="E1054" i="4"/>
  <c r="K1054" i="4"/>
  <c r="G1053" i="4"/>
  <c r="K1053" i="4"/>
  <c r="I1052" i="4"/>
  <c r="C1052" i="4"/>
  <c r="G1051" i="4"/>
  <c r="I1051" i="4"/>
  <c r="C1051" i="4"/>
  <c r="G1050" i="4"/>
  <c r="G1090" i="4"/>
  <c r="K1090" i="4"/>
  <c r="K1050" i="4"/>
  <c r="I1095" i="1"/>
  <c r="I1091" i="1"/>
  <c r="I1087" i="1"/>
  <c r="I1083" i="1"/>
  <c r="I1079" i="1"/>
  <c r="I1075" i="1"/>
  <c r="H1071" i="1"/>
  <c r="I1067" i="1"/>
  <c r="E1062" i="1"/>
  <c r="D1116" i="4"/>
  <c r="H1115" i="4"/>
  <c r="J1115" i="4"/>
  <c r="B1115" i="4"/>
  <c r="D1115" i="4"/>
  <c r="H1114" i="4"/>
  <c r="J1114" i="4"/>
  <c r="B1114" i="4"/>
  <c r="D1114" i="4"/>
  <c r="H1113" i="4"/>
  <c r="J1113" i="4"/>
  <c r="D1113" i="4"/>
  <c r="H1112" i="4"/>
  <c r="J1112" i="4"/>
  <c r="B1112" i="4"/>
  <c r="D1112" i="4"/>
  <c r="H1111" i="4"/>
  <c r="J1111" i="4"/>
  <c r="B1111" i="4"/>
  <c r="D1111" i="4"/>
  <c r="H1110" i="4"/>
  <c r="J1110" i="4"/>
  <c r="B1110" i="4"/>
  <c r="D1110" i="4"/>
  <c r="H1109" i="4"/>
  <c r="J1109" i="4"/>
  <c r="B1109" i="4"/>
  <c r="D1109" i="4"/>
  <c r="H1108" i="4"/>
  <c r="J1108" i="4"/>
  <c r="B1108" i="4"/>
  <c r="D1108" i="4"/>
  <c r="H1107" i="4"/>
  <c r="J1107" i="4"/>
  <c r="B1107" i="4"/>
  <c r="D1107" i="4"/>
  <c r="H1106" i="4"/>
  <c r="J1106" i="4"/>
  <c r="B1106" i="4"/>
  <c r="D1106" i="4"/>
  <c r="J1105" i="4"/>
  <c r="B1105" i="4"/>
  <c r="D1105" i="4"/>
  <c r="H1104" i="4"/>
  <c r="J1104" i="4"/>
  <c r="B1104" i="4"/>
  <c r="D1104" i="4"/>
  <c r="H1103" i="4"/>
  <c r="J1103" i="4"/>
  <c r="B1103" i="4"/>
  <c r="D1103" i="4"/>
  <c r="H1102" i="4"/>
  <c r="J1102" i="4"/>
  <c r="B1102" i="4"/>
  <c r="D1102" i="4"/>
  <c r="H1101" i="4"/>
  <c r="J1101" i="4"/>
  <c r="B1101" i="4"/>
  <c r="D1101" i="4"/>
  <c r="H1100" i="4"/>
  <c r="J1100" i="4"/>
  <c r="B1100" i="4"/>
  <c r="D1100" i="4"/>
  <c r="H1099" i="4"/>
  <c r="J1099" i="4"/>
  <c r="B1099" i="4"/>
  <c r="D1099" i="4"/>
  <c r="H1098" i="4"/>
  <c r="J1098" i="4"/>
  <c r="B1098" i="4"/>
  <c r="D1098" i="4"/>
  <c r="H1097" i="4"/>
  <c r="J1097" i="4"/>
  <c r="B1097" i="4"/>
  <c r="D1097" i="4"/>
  <c r="H1096" i="4"/>
  <c r="J1096" i="4"/>
  <c r="B1096" i="4"/>
  <c r="D1096" i="4"/>
  <c r="H1095" i="4"/>
  <c r="J1095" i="4"/>
  <c r="B1095" i="4"/>
  <c r="D1095" i="4"/>
  <c r="H1094" i="4"/>
  <c r="J1094" i="4"/>
  <c r="B1094" i="4"/>
  <c r="D1094" i="4"/>
  <c r="H1093" i="4"/>
  <c r="J1093" i="4"/>
  <c r="B1093" i="4"/>
  <c r="D1093" i="4"/>
  <c r="H1092" i="4"/>
  <c r="J1092" i="4"/>
  <c r="B1092" i="4"/>
  <c r="D1092" i="4"/>
  <c r="H1091" i="4"/>
  <c r="J1091" i="4"/>
  <c r="B1091" i="4"/>
  <c r="D1091" i="4"/>
  <c r="H1089" i="4"/>
  <c r="J1089" i="4"/>
  <c r="B1089" i="4"/>
  <c r="D1089" i="4"/>
  <c r="H1088" i="4"/>
  <c r="J1088" i="4"/>
  <c r="B1088" i="4"/>
  <c r="D1088" i="4"/>
  <c r="H1087" i="4"/>
  <c r="J1087" i="4"/>
  <c r="B1087" i="4"/>
  <c r="D1087" i="4"/>
  <c r="H1086" i="4"/>
  <c r="J1086" i="4"/>
  <c r="B1086" i="4"/>
  <c r="D1086" i="4"/>
  <c r="H1085" i="4"/>
  <c r="J1085" i="4"/>
  <c r="B1085" i="4"/>
  <c r="D1085" i="4"/>
  <c r="H1084" i="4"/>
  <c r="J1084" i="4"/>
  <c r="B1084" i="4"/>
  <c r="D1084" i="4"/>
  <c r="H1083" i="4"/>
  <c r="J1083" i="4"/>
  <c r="B1083" i="4"/>
  <c r="D1083" i="4"/>
  <c r="H1082" i="4"/>
  <c r="J1082" i="4"/>
  <c r="B1082" i="4"/>
  <c r="D1082" i="4"/>
  <c r="H1081" i="4"/>
  <c r="J1081" i="4"/>
  <c r="B1081" i="4"/>
  <c r="D1081" i="4"/>
  <c r="H1080" i="4"/>
  <c r="J1080" i="4"/>
  <c r="B1080" i="4"/>
  <c r="D1080" i="4"/>
  <c r="H1079" i="4"/>
  <c r="J1079" i="4"/>
  <c r="B1079" i="4"/>
  <c r="D1079" i="4"/>
  <c r="H1078" i="4"/>
  <c r="J1078" i="4"/>
  <c r="B1078" i="4"/>
  <c r="D1078" i="4"/>
  <c r="H1077" i="4"/>
  <c r="J1077" i="4"/>
  <c r="B1077" i="4"/>
  <c r="D1077" i="4"/>
  <c r="H1076" i="4"/>
  <c r="J1076" i="4"/>
  <c r="B1076" i="4"/>
  <c r="D1076" i="4"/>
  <c r="H1075" i="4"/>
  <c r="J1075" i="4"/>
  <c r="B1075" i="4"/>
  <c r="D1075" i="4"/>
  <c r="H1074" i="4"/>
  <c r="J1074" i="4"/>
  <c r="B1074" i="4"/>
  <c r="D1074" i="4"/>
  <c r="H1073" i="4"/>
  <c r="J1073" i="4"/>
  <c r="B1073" i="4"/>
  <c r="D1073" i="4"/>
  <c r="H1072" i="4"/>
  <c r="J1072" i="4"/>
  <c r="B1072" i="4"/>
  <c r="H1096" i="1"/>
  <c r="H1092" i="1"/>
  <c r="J1095" i="1"/>
  <c r="B1095" i="1"/>
  <c r="D1094" i="1"/>
  <c r="J1093" i="1"/>
  <c r="B1093" i="1"/>
  <c r="J1091" i="1"/>
  <c r="B1091" i="1"/>
  <c r="D1090" i="1"/>
  <c r="J1089" i="1"/>
  <c r="D1086" i="1"/>
  <c r="D1082" i="1"/>
  <c r="D1078" i="1"/>
  <c r="D1074" i="1"/>
  <c r="F1070" i="1"/>
  <c r="H1059" i="1"/>
  <c r="F1058" i="1"/>
  <c r="D1054" i="1"/>
  <c r="B1053" i="1"/>
  <c r="B1097" i="3"/>
  <c r="D1097" i="3"/>
  <c r="C1097" i="3"/>
  <c r="A1098" i="3"/>
  <c r="E1097" i="3"/>
  <c r="D1072" i="4"/>
  <c r="H1071" i="4"/>
  <c r="J1071" i="4"/>
  <c r="B1071" i="4"/>
  <c r="D1071" i="4"/>
  <c r="H1070" i="4"/>
  <c r="J1070" i="4"/>
  <c r="B1070" i="4"/>
  <c r="D1070" i="4"/>
  <c r="H1069" i="4"/>
  <c r="J1069" i="4"/>
  <c r="B1069" i="4"/>
  <c r="D1069" i="4"/>
  <c r="H1068" i="4"/>
  <c r="J1068" i="4"/>
  <c r="B1068" i="4"/>
  <c r="D1068" i="4"/>
  <c r="H1067" i="4"/>
  <c r="J1067" i="4"/>
  <c r="B1067" i="4"/>
  <c r="D1067" i="4"/>
  <c r="H1066" i="4"/>
  <c r="J1066" i="4"/>
  <c r="B1066" i="4"/>
  <c r="D1066" i="4"/>
  <c r="H1065" i="4"/>
  <c r="J1065" i="4"/>
  <c r="B1065" i="4"/>
  <c r="D1065" i="4"/>
  <c r="J1064" i="4"/>
  <c r="B1064" i="4"/>
  <c r="D1064" i="4"/>
  <c r="H1063" i="4"/>
  <c r="J1063" i="4"/>
  <c r="B1063" i="4"/>
  <c r="D1063" i="4"/>
  <c r="H1062" i="4"/>
  <c r="J1062" i="4"/>
  <c r="B1062" i="4"/>
  <c r="D1062" i="4"/>
  <c r="H1061" i="4"/>
  <c r="J1061" i="4"/>
  <c r="B1061" i="4"/>
  <c r="D1061" i="4"/>
  <c r="H1060" i="4"/>
  <c r="J1060" i="4"/>
  <c r="B1060" i="4"/>
  <c r="D1060" i="4"/>
  <c r="H1059" i="4"/>
  <c r="J1059" i="4"/>
  <c r="B1059" i="4"/>
  <c r="D1059" i="4"/>
  <c r="H1058" i="4"/>
  <c r="J1058" i="4"/>
  <c r="B1058" i="4"/>
  <c r="D1058" i="4"/>
  <c r="H1057" i="4"/>
  <c r="J1057" i="4"/>
  <c r="B1057" i="4"/>
  <c r="D1057" i="4"/>
  <c r="H1056" i="4"/>
  <c r="J1056" i="4"/>
  <c r="B1056" i="4"/>
  <c r="D1056" i="4"/>
  <c r="H1055" i="4"/>
  <c r="J1055" i="4"/>
  <c r="B1055" i="4"/>
  <c r="D1055" i="4"/>
  <c r="H1054" i="4"/>
  <c r="J1054" i="4"/>
  <c r="B1054" i="4"/>
  <c r="D1054" i="4"/>
  <c r="H1053" i="4"/>
  <c r="J1053" i="4"/>
  <c r="B1053" i="4"/>
  <c r="D1053" i="4"/>
  <c r="H1052" i="4"/>
  <c r="J1052" i="4"/>
  <c r="B1052" i="4"/>
  <c r="D1052" i="4"/>
  <c r="H1051" i="4"/>
  <c r="J1051" i="4"/>
  <c r="B1051" i="4"/>
  <c r="D1051" i="4"/>
  <c r="H1050" i="4"/>
  <c r="H1090" i="4"/>
  <c r="J1050" i="4"/>
  <c r="J1090" i="4"/>
  <c r="B1050" i="4"/>
  <c r="B1090" i="4"/>
  <c r="D1090" i="4"/>
  <c r="D1050" i="4"/>
  <c r="G1090" i="1"/>
  <c r="B1089" i="1"/>
  <c r="J1087" i="1"/>
  <c r="B1087" i="1"/>
  <c r="J1085" i="1"/>
  <c r="B1085" i="1"/>
  <c r="J1083" i="1"/>
  <c r="B1083" i="1"/>
  <c r="J1081" i="1"/>
  <c r="B1081" i="1"/>
  <c r="J1079" i="1"/>
  <c r="B1079" i="1"/>
  <c r="J1077" i="1"/>
  <c r="B1077" i="1"/>
  <c r="J1075" i="1"/>
  <c r="B1075" i="1"/>
  <c r="J1073" i="1"/>
  <c r="B1073" i="1"/>
  <c r="F1068" i="1"/>
  <c r="F1060" i="1"/>
  <c r="B1078" i="2"/>
  <c r="A1079" i="2"/>
  <c r="I1071" i="1"/>
  <c r="D1066" i="1"/>
  <c r="I1063" i="1"/>
  <c r="D1058" i="1"/>
  <c r="I1055" i="1"/>
  <c r="B1073" i="2"/>
  <c r="C1094" i="3"/>
  <c r="C1093" i="3"/>
  <c r="C1092" i="3"/>
  <c r="C1086" i="3"/>
  <c r="C1085" i="3"/>
  <c r="C1084" i="3"/>
  <c r="C1078" i="3"/>
  <c r="C1077" i="3"/>
  <c r="C1076" i="3"/>
  <c r="C1071" i="3"/>
  <c r="C1069" i="3"/>
  <c r="C1067" i="3"/>
  <c r="C1065" i="3"/>
  <c r="C1063" i="3"/>
  <c r="C1061" i="3"/>
  <c r="C1059" i="3"/>
  <c r="C1057" i="3"/>
  <c r="C1055" i="3"/>
  <c r="C1053" i="3"/>
  <c r="C1051" i="3"/>
  <c r="B1091" i="3"/>
  <c r="B1090" i="3"/>
  <c r="B1089" i="3"/>
  <c r="B1083" i="3"/>
  <c r="B1082" i="3"/>
  <c r="B1081" i="3"/>
  <c r="B1075" i="3"/>
  <c r="B1074" i="3"/>
  <c r="B1073" i="3"/>
  <c r="E1133" i="4"/>
  <c r="E1129" i="4"/>
  <c r="E1125" i="4"/>
  <c r="E1121" i="4"/>
  <c r="E1117" i="4"/>
  <c r="E1116" i="4"/>
  <c r="E1114" i="4"/>
  <c r="E1106" i="4"/>
  <c r="E1105" i="4"/>
  <c r="E1104" i="4"/>
  <c r="E1096" i="4"/>
  <c r="E1094" i="4"/>
  <c r="E1093" i="4"/>
  <c r="E1089" i="4"/>
  <c r="E1086" i="4"/>
  <c r="E1085" i="4"/>
  <c r="E1078" i="4"/>
  <c r="E1077" i="4"/>
  <c r="E1070" i="4"/>
  <c r="E1069" i="4"/>
  <c r="E1062" i="4"/>
  <c r="E1115" i="4"/>
  <c r="E1111" i="4"/>
  <c r="E1107" i="4"/>
  <c r="E1103" i="4"/>
  <c r="E1099" i="4"/>
  <c r="E1095" i="4"/>
  <c r="E1091" i="4"/>
  <c r="E1087" i="4"/>
  <c r="E1084" i="4"/>
  <c r="E1083" i="4"/>
  <c r="E1080" i="4"/>
  <c r="E1079" i="4"/>
  <c r="E1076" i="4"/>
  <c r="E1075" i="4"/>
  <c r="E1072" i="4"/>
  <c r="E1071" i="4"/>
  <c r="E1068" i="4"/>
  <c r="E1067" i="4"/>
  <c r="E1064" i="4"/>
  <c r="E1063" i="4"/>
  <c r="E1060" i="4"/>
  <c r="E1059" i="4"/>
  <c r="E1056" i="4"/>
  <c r="E1055" i="4"/>
  <c r="E1052" i="4"/>
  <c r="E1051" i="4"/>
  <c r="B1098" i="1" l="1"/>
  <c r="J1098" i="1"/>
  <c r="G1098" i="1"/>
  <c r="Q1098" i="1"/>
  <c r="D1098" i="1"/>
  <c r="N1098" i="1"/>
  <c r="O1098" i="1"/>
  <c r="H1098" i="1"/>
  <c r="M1098" i="1"/>
  <c r="P1098" i="1"/>
  <c r="A1099" i="1"/>
  <c r="E1098" i="1"/>
  <c r="I1098" i="1"/>
  <c r="L1098" i="1"/>
  <c r="C1098" i="1"/>
  <c r="F1098" i="1"/>
  <c r="B1079" i="2"/>
  <c r="A1080" i="2"/>
  <c r="E1098" i="3"/>
  <c r="B1098" i="3"/>
  <c r="A1099" i="3"/>
  <c r="C1098" i="3"/>
  <c r="D1098" i="3"/>
  <c r="A1081" i="2" l="1"/>
  <c r="B1080" i="2"/>
  <c r="B1099" i="3"/>
  <c r="E1099" i="3"/>
  <c r="A1100" i="3"/>
  <c r="C1099" i="3"/>
  <c r="D1099" i="3"/>
  <c r="B1099" i="1"/>
  <c r="J1099" i="1"/>
  <c r="I1099" i="1"/>
  <c r="F1099" i="1"/>
  <c r="P1099" i="1"/>
  <c r="L1099" i="1"/>
  <c r="D1099" i="1"/>
  <c r="Q1099" i="1"/>
  <c r="N1099" i="1"/>
  <c r="O1099" i="1"/>
  <c r="A1100" i="1"/>
  <c r="E1099" i="1"/>
  <c r="M1099" i="1"/>
  <c r="C1099" i="1"/>
  <c r="G1099" i="1"/>
  <c r="H1099" i="1"/>
  <c r="B1100" i="1" l="1"/>
  <c r="J1100" i="1"/>
  <c r="C1100" i="1"/>
  <c r="M1100" i="1"/>
  <c r="H1100" i="1"/>
  <c r="A1101" i="1"/>
  <c r="F1100" i="1"/>
  <c r="N1100" i="1"/>
  <c r="O1100" i="1"/>
  <c r="P1100" i="1"/>
  <c r="Q1100" i="1"/>
  <c r="E1100" i="1"/>
  <c r="I1100" i="1"/>
  <c r="D1100" i="1"/>
  <c r="G1100" i="1"/>
  <c r="L1100" i="1"/>
  <c r="A1082" i="2"/>
  <c r="B1081" i="2"/>
  <c r="C1100" i="3"/>
  <c r="E1100" i="3"/>
  <c r="B1100" i="3"/>
  <c r="A1101" i="3"/>
  <c r="D1100" i="3"/>
  <c r="B1082" i="2" l="1"/>
  <c r="A1083" i="2"/>
  <c r="A1102" i="3"/>
  <c r="C1101" i="3"/>
  <c r="D1101" i="3"/>
  <c r="B1101" i="3"/>
  <c r="E1101" i="3"/>
  <c r="B1101" i="1"/>
  <c r="J1101" i="1"/>
  <c r="E1101" i="1"/>
  <c r="O1101" i="1"/>
  <c r="L1101" i="1"/>
  <c r="C1101" i="1"/>
  <c r="P1101" i="1"/>
  <c r="H1101" i="1"/>
  <c r="N1101" i="1"/>
  <c r="Q1101" i="1"/>
  <c r="A1102" i="1"/>
  <c r="F1101" i="1"/>
  <c r="G1101" i="1"/>
  <c r="D1101" i="1"/>
  <c r="M1101" i="1"/>
  <c r="I1101" i="1"/>
  <c r="B1102" i="1" l="1"/>
  <c r="J1102" i="1"/>
  <c r="G1102" i="1"/>
  <c r="Q1102" i="1"/>
  <c r="D1102" i="1"/>
  <c r="N1102" i="1"/>
  <c r="L1102" i="1"/>
  <c r="E1102" i="1"/>
  <c r="A1103" i="1"/>
  <c r="O1102" i="1"/>
  <c r="P1102" i="1"/>
  <c r="F1102" i="1"/>
  <c r="I1102" i="1"/>
  <c r="M1102" i="1"/>
  <c r="C1102" i="1"/>
  <c r="H1102" i="1"/>
  <c r="B1083" i="2"/>
  <c r="A1084" i="2"/>
  <c r="C1102" i="3"/>
  <c r="A1103" i="3"/>
  <c r="D1102" i="3"/>
  <c r="E1102" i="3"/>
  <c r="B1102" i="3"/>
  <c r="B1084" i="2" l="1"/>
  <c r="A1085" i="2"/>
  <c r="B1103" i="1"/>
  <c r="J1103" i="1"/>
  <c r="I1103" i="1"/>
  <c r="F1103" i="1"/>
  <c r="P1103" i="1"/>
  <c r="G1103" i="1"/>
  <c r="N1103" i="1"/>
  <c r="O1103" i="1"/>
  <c r="C1103" i="1"/>
  <c r="Q1103" i="1"/>
  <c r="A1104" i="1"/>
  <c r="E1103" i="1"/>
  <c r="M1103" i="1"/>
  <c r="D1103" i="1"/>
  <c r="H1103" i="1"/>
  <c r="L1103" i="1"/>
  <c r="D1103" i="3"/>
  <c r="A1104" i="3"/>
  <c r="B1103" i="3"/>
  <c r="C1103" i="3"/>
  <c r="E1103" i="3"/>
  <c r="B1104" i="1" l="1"/>
  <c r="J1104" i="1"/>
  <c r="C1104" i="1"/>
  <c r="M1104" i="1"/>
  <c r="H1104" i="1"/>
  <c r="A1105" i="1"/>
  <c r="D1104" i="1"/>
  <c r="P1104" i="1"/>
  <c r="I1104" i="1"/>
  <c r="O1104" i="1"/>
  <c r="Q1104" i="1"/>
  <c r="F1104" i="1"/>
  <c r="L1104" i="1"/>
  <c r="N1104" i="1"/>
  <c r="E1104" i="1"/>
  <c r="G1104" i="1"/>
  <c r="D1104" i="3"/>
  <c r="A1105" i="3"/>
  <c r="B1104" i="3"/>
  <c r="E1104" i="3"/>
  <c r="C1104" i="3"/>
  <c r="A1086" i="2"/>
  <c r="B1085" i="2"/>
  <c r="B1105" i="3" l="1"/>
  <c r="D1105" i="3"/>
  <c r="A1106" i="3"/>
  <c r="C1105" i="3"/>
  <c r="E1105" i="3"/>
  <c r="A1087" i="2"/>
  <c r="B1086" i="2"/>
  <c r="B1105" i="1"/>
  <c r="J1105" i="1"/>
  <c r="E1105" i="1"/>
  <c r="O1105" i="1"/>
  <c r="L1105" i="1"/>
  <c r="M1105" i="1"/>
  <c r="F1105" i="1"/>
  <c r="A1106" i="1"/>
  <c r="P1105" i="1"/>
  <c r="Q1105" i="1"/>
  <c r="C1105" i="1"/>
  <c r="G1105" i="1"/>
  <c r="H1105" i="1"/>
  <c r="N1105" i="1"/>
  <c r="D1105" i="1"/>
  <c r="I1105" i="1"/>
  <c r="B1106" i="1" l="1"/>
  <c r="J1106" i="1"/>
  <c r="G1106" i="1"/>
  <c r="Q1106" i="1"/>
  <c r="D1106" i="1"/>
  <c r="N1106" i="1"/>
  <c r="H1106" i="1"/>
  <c r="O1106" i="1"/>
  <c r="P1106" i="1"/>
  <c r="C1106" i="1"/>
  <c r="A1107" i="1"/>
  <c r="F1106" i="1"/>
  <c r="L1106" i="1"/>
  <c r="M1106" i="1"/>
  <c r="I1106" i="1"/>
  <c r="E1106" i="1"/>
  <c r="B1087" i="2"/>
  <c r="A1088" i="2"/>
  <c r="E1106" i="3"/>
  <c r="B1106" i="3"/>
  <c r="D1106" i="3"/>
  <c r="C1106" i="3"/>
  <c r="A1107" i="3"/>
  <c r="A1089" i="2" l="1"/>
  <c r="B1088" i="2"/>
  <c r="B1107" i="3"/>
  <c r="E1107" i="3"/>
  <c r="D1107" i="3"/>
  <c r="A1108" i="3"/>
  <c r="C1107" i="3"/>
  <c r="B1107" i="1"/>
  <c r="J1107" i="1"/>
  <c r="I1107" i="1"/>
  <c r="F1107" i="1"/>
  <c r="P1107" i="1"/>
  <c r="D1107" i="1"/>
  <c r="Q1107" i="1"/>
  <c r="L1107" i="1"/>
  <c r="O1107" i="1"/>
  <c r="A1108" i="1"/>
  <c r="C1107" i="1"/>
  <c r="G1107" i="1"/>
  <c r="N1107" i="1"/>
  <c r="E1107" i="1"/>
  <c r="H1107" i="1"/>
  <c r="M1107" i="1"/>
  <c r="C1108" i="3" l="1"/>
  <c r="E1108" i="3"/>
  <c r="B1108" i="3"/>
  <c r="D1108" i="3"/>
  <c r="A1109" i="3"/>
  <c r="B1108" i="1"/>
  <c r="J1108" i="1"/>
  <c r="C1108" i="1"/>
  <c r="M1108" i="1"/>
  <c r="H1108" i="1"/>
  <c r="A1109" i="1"/>
  <c r="N1108" i="1"/>
  <c r="F1108" i="1"/>
  <c r="P1108" i="1"/>
  <c r="Q1108" i="1"/>
  <c r="D1108" i="1"/>
  <c r="G1108" i="1"/>
  <c r="L1108" i="1"/>
  <c r="E1108" i="1"/>
  <c r="O1108" i="1"/>
  <c r="I1108" i="1"/>
  <c r="A1090" i="2"/>
  <c r="B1089" i="2"/>
  <c r="B1090" i="2" l="1"/>
  <c r="A1091" i="2"/>
  <c r="A1110" i="3"/>
  <c r="C1109" i="3"/>
  <c r="B1109" i="3"/>
  <c r="D1109" i="3"/>
  <c r="E1109" i="3"/>
  <c r="B1109" i="1"/>
  <c r="J1109" i="1"/>
  <c r="E1109" i="1"/>
  <c r="O1109" i="1"/>
  <c r="L1109" i="1"/>
  <c r="H1109" i="1"/>
  <c r="C1109" i="1"/>
  <c r="P1109" i="1"/>
  <c r="Q1109" i="1"/>
  <c r="A1110" i="1"/>
  <c r="D1109" i="1"/>
  <c r="G1109" i="1"/>
  <c r="I1109" i="1"/>
  <c r="F1109" i="1"/>
  <c r="M1109" i="1"/>
  <c r="N1109" i="1"/>
  <c r="C1110" i="3" l="1"/>
  <c r="A1111" i="3"/>
  <c r="B1110" i="3"/>
  <c r="D1110" i="3"/>
  <c r="E1110" i="3"/>
  <c r="B1091" i="2"/>
  <c r="A1092" i="2"/>
  <c r="B1110" i="1"/>
  <c r="J1110" i="1"/>
  <c r="G1110" i="1"/>
  <c r="Q1110" i="1"/>
  <c r="D1110" i="1"/>
  <c r="N1110" i="1"/>
  <c r="E1110" i="1"/>
  <c r="A1111" i="1"/>
  <c r="L1110" i="1"/>
  <c r="P1110" i="1"/>
  <c r="C1110" i="1"/>
  <c r="H1110" i="1"/>
  <c r="M1110" i="1"/>
  <c r="O1110" i="1"/>
  <c r="F1110" i="1"/>
  <c r="I1110" i="1"/>
  <c r="B1111" i="1" l="1"/>
  <c r="J1111" i="1"/>
  <c r="I1111" i="1"/>
  <c r="F1111" i="1"/>
  <c r="P1111" i="1"/>
  <c r="N1111" i="1"/>
  <c r="G1111" i="1"/>
  <c r="Q1111" i="1"/>
  <c r="A1112" i="1"/>
  <c r="C1111" i="1"/>
  <c r="D1111" i="1"/>
  <c r="H1111" i="1"/>
  <c r="E1111" i="1"/>
  <c r="L1111" i="1"/>
  <c r="O1111" i="1"/>
  <c r="M1111" i="1"/>
  <c r="B1092" i="2"/>
  <c r="A1093" i="2"/>
  <c r="D1111" i="3"/>
  <c r="A1112" i="3"/>
  <c r="E1111" i="3"/>
  <c r="C1111" i="3"/>
  <c r="B1111" i="3"/>
  <c r="D1112" i="3" l="1"/>
  <c r="E1112" i="3"/>
  <c r="A1113" i="3"/>
  <c r="B1112" i="3"/>
  <c r="C1112" i="3"/>
  <c r="A1094" i="2"/>
  <c r="B1093" i="2"/>
  <c r="B1112" i="1"/>
  <c r="C1112" i="1"/>
  <c r="L1112" i="1"/>
  <c r="H1112" i="1"/>
  <c r="Q1112" i="1"/>
  <c r="I1112" i="1"/>
  <c r="D1112" i="1"/>
  <c r="O1112" i="1"/>
  <c r="P1112" i="1"/>
  <c r="A1113" i="1"/>
  <c r="E1112" i="1"/>
  <c r="G1112" i="1"/>
  <c r="M1112" i="1"/>
  <c r="N1112" i="1"/>
  <c r="J1112" i="1"/>
  <c r="F1112" i="1"/>
  <c r="B1094" i="2" l="1"/>
  <c r="A1095" i="2"/>
  <c r="B1113" i="3"/>
  <c r="D1113" i="3"/>
  <c r="C1113" i="3"/>
  <c r="E1113" i="3"/>
  <c r="A1114" i="3"/>
  <c r="C1113" i="1"/>
  <c r="L1113" i="1"/>
  <c r="H1113" i="1"/>
  <c r="Q1113" i="1"/>
  <c r="D1113" i="1"/>
  <c r="O1113" i="1"/>
  <c r="I1113" i="1"/>
  <c r="N1113" i="1"/>
  <c r="P1113" i="1"/>
  <c r="B1113" i="1"/>
  <c r="A1114" i="1"/>
  <c r="F1113" i="1"/>
  <c r="G1113" i="1"/>
  <c r="M1113" i="1"/>
  <c r="E1113" i="1"/>
  <c r="J1113" i="1"/>
  <c r="E1114" i="3" l="1"/>
  <c r="B1114" i="3"/>
  <c r="C1114" i="3"/>
  <c r="A1115" i="3"/>
  <c r="D1114" i="3"/>
  <c r="C1114" i="1"/>
  <c r="L1114" i="1"/>
  <c r="H1114" i="1"/>
  <c r="Q1114" i="1"/>
  <c r="I1114" i="1"/>
  <c r="D1114" i="1"/>
  <c r="O1114" i="1"/>
  <c r="M1114" i="1"/>
  <c r="N1114" i="1"/>
  <c r="P1114" i="1"/>
  <c r="E1114" i="1"/>
  <c r="G1114" i="1"/>
  <c r="J1114" i="1"/>
  <c r="F1114" i="1"/>
  <c r="B1114" i="1"/>
  <c r="A1115" i="1"/>
  <c r="B1095" i="2"/>
  <c r="A1096" i="2"/>
  <c r="C1115" i="1" l="1"/>
  <c r="L1115" i="1"/>
  <c r="H1115" i="1"/>
  <c r="Q1115" i="1"/>
  <c r="D1115" i="1"/>
  <c r="O1115" i="1"/>
  <c r="I1115" i="1"/>
  <c r="J1115" i="1"/>
  <c r="M1115" i="1"/>
  <c r="N1115" i="1"/>
  <c r="B1115" i="1"/>
  <c r="A1116" i="1"/>
  <c r="G1115" i="1"/>
  <c r="P1115" i="1"/>
  <c r="E1115" i="1"/>
  <c r="F1115" i="1"/>
  <c r="B1096" i="2"/>
  <c r="A1097" i="2"/>
  <c r="B1115" i="3"/>
  <c r="E1115" i="3"/>
  <c r="C1115" i="3"/>
  <c r="D1115" i="3"/>
  <c r="A1116" i="3"/>
  <c r="C1116" i="3" l="1"/>
  <c r="E1116" i="3"/>
  <c r="A1117" i="3"/>
  <c r="B1116" i="3"/>
  <c r="D1116" i="3"/>
  <c r="C1116" i="1"/>
  <c r="L1116" i="1"/>
  <c r="H1116" i="1"/>
  <c r="Q1116" i="1"/>
  <c r="I1116" i="1"/>
  <c r="D1116" i="1"/>
  <c r="O1116" i="1"/>
  <c r="G1116" i="1"/>
  <c r="J1116" i="1"/>
  <c r="M1116" i="1"/>
  <c r="P1116" i="1"/>
  <c r="E1116" i="1"/>
  <c r="F1116" i="1"/>
  <c r="A1117" i="1"/>
  <c r="N1116" i="1"/>
  <c r="B1116" i="1"/>
  <c r="F1097" i="2"/>
  <c r="C1097" i="2"/>
  <c r="A1098" i="2"/>
  <c r="G1097" i="2"/>
  <c r="H1097" i="2"/>
  <c r="I1097" i="2"/>
  <c r="B1097" i="2"/>
  <c r="D1097" i="2"/>
  <c r="J1097" i="2"/>
  <c r="E1097" i="2"/>
  <c r="D1098" i="2" l="1"/>
  <c r="I1098" i="2"/>
  <c r="G1098" i="2"/>
  <c r="H1098" i="2"/>
  <c r="J1098" i="2"/>
  <c r="C1098" i="2"/>
  <c r="A1099" i="2"/>
  <c r="B1098" i="2"/>
  <c r="E1098" i="2"/>
  <c r="F1098" i="2"/>
  <c r="C1117" i="1"/>
  <c r="L1117" i="1"/>
  <c r="H1117" i="1"/>
  <c r="Q1117" i="1"/>
  <c r="D1117" i="1"/>
  <c r="O1117" i="1"/>
  <c r="I1117" i="1"/>
  <c r="F1117" i="1"/>
  <c r="J1117" i="1"/>
  <c r="G1117" i="1"/>
  <c r="N1117" i="1"/>
  <c r="A1118" i="1"/>
  <c r="E1117" i="1"/>
  <c r="M1117" i="1"/>
  <c r="P1117" i="1"/>
  <c r="B1117" i="1"/>
  <c r="A1118" i="3"/>
  <c r="C1117" i="3"/>
  <c r="E1117" i="3"/>
  <c r="B1117" i="3"/>
  <c r="D1117" i="3"/>
  <c r="B1099" i="2" l="1"/>
  <c r="J1099" i="2"/>
  <c r="G1099" i="2"/>
  <c r="H1099" i="2"/>
  <c r="I1099" i="2"/>
  <c r="A1100" i="2"/>
  <c r="D1099" i="2"/>
  <c r="C1099" i="2"/>
  <c r="E1099" i="2"/>
  <c r="F1099" i="2"/>
  <c r="C1118" i="1"/>
  <c r="L1118" i="1"/>
  <c r="H1118" i="1"/>
  <c r="Q1118" i="1"/>
  <c r="I1118" i="1"/>
  <c r="D1118" i="1"/>
  <c r="O1118" i="1"/>
  <c r="E1118" i="1"/>
  <c r="F1118" i="1"/>
  <c r="G1118" i="1"/>
  <c r="M1118" i="1"/>
  <c r="B1118" i="1"/>
  <c r="A1119" i="1"/>
  <c r="J1118" i="1"/>
  <c r="N1118" i="1"/>
  <c r="P1118" i="1"/>
  <c r="C1118" i="3"/>
  <c r="A1119" i="3"/>
  <c r="D1118" i="3"/>
  <c r="B1118" i="3"/>
  <c r="E1118" i="3"/>
  <c r="C1119" i="1" l="1"/>
  <c r="L1119" i="1"/>
  <c r="H1119" i="1"/>
  <c r="Q1119" i="1"/>
  <c r="D1119" i="1"/>
  <c r="O1119" i="1"/>
  <c r="I1119" i="1"/>
  <c r="B1119" i="1"/>
  <c r="A1120" i="1"/>
  <c r="E1119" i="1"/>
  <c r="F1119" i="1"/>
  <c r="J1119" i="1"/>
  <c r="N1119" i="1"/>
  <c r="P1119" i="1"/>
  <c r="M1119" i="1"/>
  <c r="G1119" i="1"/>
  <c r="H1100" i="2"/>
  <c r="E1100" i="2"/>
  <c r="I1100" i="2"/>
  <c r="J1100" i="2"/>
  <c r="A1101" i="2"/>
  <c r="D1100" i="2"/>
  <c r="C1100" i="2"/>
  <c r="B1100" i="2"/>
  <c r="F1100" i="2"/>
  <c r="G1100" i="2"/>
  <c r="D1119" i="3"/>
  <c r="A1120" i="3"/>
  <c r="C1119" i="3"/>
  <c r="E1119" i="3"/>
  <c r="B1119" i="3"/>
  <c r="D1120" i="3" l="1"/>
  <c r="C1120" i="3"/>
  <c r="B1120" i="3"/>
  <c r="E1120" i="3"/>
  <c r="A1121" i="3"/>
  <c r="F1101" i="2"/>
  <c r="C1101" i="2"/>
  <c r="A1102" i="2"/>
  <c r="I1101" i="2"/>
  <c r="J1101" i="2"/>
  <c r="E1101" i="2"/>
  <c r="B1101" i="2"/>
  <c r="D1101" i="2"/>
  <c r="G1101" i="2"/>
  <c r="H1101" i="2"/>
  <c r="C1120" i="1"/>
  <c r="L1120" i="1"/>
  <c r="H1120" i="1"/>
  <c r="Q1120" i="1"/>
  <c r="I1120" i="1"/>
  <c r="D1120" i="1"/>
  <c r="O1120" i="1"/>
  <c r="P1120" i="1"/>
  <c r="A1121" i="1"/>
  <c r="B1120" i="1"/>
  <c r="E1120" i="1"/>
  <c r="G1120" i="1"/>
  <c r="N1120" i="1"/>
  <c r="J1120" i="1"/>
  <c r="F1120" i="1"/>
  <c r="M1120" i="1"/>
  <c r="D1102" i="2" l="1"/>
  <c r="I1102" i="2"/>
  <c r="J1102" i="2"/>
  <c r="A1103" i="2"/>
  <c r="B1102" i="2"/>
  <c r="F1102" i="2"/>
  <c r="E1102" i="2"/>
  <c r="G1102" i="2"/>
  <c r="C1102" i="2"/>
  <c r="H1102" i="2"/>
  <c r="B1121" i="3"/>
  <c r="D1121" i="3"/>
  <c r="A1122" i="3"/>
  <c r="E1121" i="3"/>
  <c r="C1121" i="3"/>
  <c r="C1121" i="1"/>
  <c r="L1121" i="1"/>
  <c r="H1121" i="1"/>
  <c r="Q1121" i="1"/>
  <c r="D1121" i="1"/>
  <c r="O1121" i="1"/>
  <c r="I1121" i="1"/>
  <c r="N1121" i="1"/>
  <c r="A1122" i="1"/>
  <c r="P1121" i="1"/>
  <c r="B1121" i="1"/>
  <c r="F1121" i="1"/>
  <c r="J1121" i="1"/>
  <c r="M1121" i="1"/>
  <c r="E1121" i="1"/>
  <c r="G1121" i="1"/>
  <c r="B1103" i="2" l="1"/>
  <c r="J1103" i="2"/>
  <c r="G1103" i="2"/>
  <c r="A1104" i="2"/>
  <c r="C1103" i="2"/>
  <c r="F1103" i="2"/>
  <c r="D1103" i="2"/>
  <c r="E1103" i="2"/>
  <c r="H1103" i="2"/>
  <c r="I1103" i="2"/>
  <c r="C1122" i="1"/>
  <c r="L1122" i="1"/>
  <c r="H1122" i="1"/>
  <c r="Q1122" i="1"/>
  <c r="I1122" i="1"/>
  <c r="D1122" i="1"/>
  <c r="O1122" i="1"/>
  <c r="M1122" i="1"/>
  <c r="N1122" i="1"/>
  <c r="P1122" i="1"/>
  <c r="E1122" i="1"/>
  <c r="J1122" i="1"/>
  <c r="B1122" i="1"/>
  <c r="F1122" i="1"/>
  <c r="A1123" i="1"/>
  <c r="G1122" i="1"/>
  <c r="E1122" i="3"/>
  <c r="B1122" i="3"/>
  <c r="A1123" i="3"/>
  <c r="C1122" i="3"/>
  <c r="D1122" i="3"/>
  <c r="B1123" i="3" l="1"/>
  <c r="E1123" i="3"/>
  <c r="C1123" i="3"/>
  <c r="D1123" i="3"/>
  <c r="A1124" i="3"/>
  <c r="H1104" i="2"/>
  <c r="E1104" i="2"/>
  <c r="A1105" i="2"/>
  <c r="B1104" i="2"/>
  <c r="C1104" i="2"/>
  <c r="G1104" i="2"/>
  <c r="F1104" i="2"/>
  <c r="D1104" i="2"/>
  <c r="J1104" i="2"/>
  <c r="I1104" i="2"/>
  <c r="C1123" i="1"/>
  <c r="L1123" i="1"/>
  <c r="H1123" i="1"/>
  <c r="Q1123" i="1"/>
  <c r="D1123" i="1"/>
  <c r="O1123" i="1"/>
  <c r="I1123" i="1"/>
  <c r="J1123" i="1"/>
  <c r="M1123" i="1"/>
  <c r="N1123" i="1"/>
  <c r="B1123" i="1"/>
  <c r="A1124" i="1"/>
  <c r="F1123" i="1"/>
  <c r="G1123" i="1"/>
  <c r="P1123" i="1"/>
  <c r="E1123" i="1"/>
  <c r="C1124" i="1" l="1"/>
  <c r="L1124" i="1"/>
  <c r="H1124" i="1"/>
  <c r="Q1124" i="1"/>
  <c r="I1124" i="1"/>
  <c r="D1124" i="1"/>
  <c r="O1124" i="1"/>
  <c r="G1124" i="1"/>
  <c r="J1124" i="1"/>
  <c r="M1124" i="1"/>
  <c r="P1124" i="1"/>
  <c r="B1124" i="1"/>
  <c r="N1124" i="1"/>
  <c r="F1124" i="1"/>
  <c r="A1125" i="1"/>
  <c r="E1124" i="1"/>
  <c r="F1105" i="2"/>
  <c r="C1105" i="2"/>
  <c r="A1106" i="2"/>
  <c r="B1105" i="2"/>
  <c r="D1105" i="2"/>
  <c r="H1105" i="2"/>
  <c r="E1105" i="2"/>
  <c r="G1105" i="2"/>
  <c r="I1105" i="2"/>
  <c r="J1105" i="2"/>
  <c r="C1124" i="3"/>
  <c r="E1124" i="3"/>
  <c r="D1124" i="3"/>
  <c r="A1125" i="3"/>
  <c r="B1124" i="3"/>
  <c r="A1126" i="3" l="1"/>
  <c r="C1125" i="3"/>
  <c r="D1125" i="3"/>
  <c r="B1125" i="3"/>
  <c r="E1125" i="3"/>
  <c r="C1125" i="1"/>
  <c r="L1125" i="1"/>
  <c r="H1125" i="1"/>
  <c r="Q1125" i="1"/>
  <c r="D1125" i="1"/>
  <c r="O1125" i="1"/>
  <c r="I1125" i="1"/>
  <c r="F1125" i="1"/>
  <c r="G1125" i="1"/>
  <c r="J1125" i="1"/>
  <c r="N1125" i="1"/>
  <c r="B1125" i="1"/>
  <c r="E1125" i="1"/>
  <c r="M1125" i="1"/>
  <c r="P1125" i="1"/>
  <c r="A1126" i="1"/>
  <c r="D1106" i="2"/>
  <c r="I1106" i="2"/>
  <c r="B1106" i="2"/>
  <c r="C1106" i="2"/>
  <c r="E1106" i="2"/>
  <c r="H1106" i="2"/>
  <c r="G1106" i="2"/>
  <c r="J1106" i="2"/>
  <c r="F1106" i="2"/>
  <c r="A1107" i="2"/>
  <c r="B1107" i="2" l="1"/>
  <c r="J1107" i="2"/>
  <c r="G1107" i="2"/>
  <c r="C1107" i="2"/>
  <c r="D1107" i="2"/>
  <c r="E1107" i="2"/>
  <c r="I1107" i="2"/>
  <c r="F1107" i="2"/>
  <c r="H1107" i="2"/>
  <c r="A1108" i="2"/>
  <c r="C1126" i="1"/>
  <c r="L1126" i="1"/>
  <c r="H1126" i="1"/>
  <c r="Q1126" i="1"/>
  <c r="I1126" i="1"/>
  <c r="D1126" i="1"/>
  <c r="O1126" i="1"/>
  <c r="E1126" i="1"/>
  <c r="F1126" i="1"/>
  <c r="G1126" i="1"/>
  <c r="M1126" i="1"/>
  <c r="P1126" i="1"/>
  <c r="A1127" i="1"/>
  <c r="N1126" i="1"/>
  <c r="B1126" i="1"/>
  <c r="J1126" i="1"/>
  <c r="C1126" i="3"/>
  <c r="A1127" i="3"/>
  <c r="D1126" i="3"/>
  <c r="E1126" i="3"/>
  <c r="B1126" i="3"/>
  <c r="D1127" i="3" l="1"/>
  <c r="A1128" i="3"/>
  <c r="B1127" i="3"/>
  <c r="C1127" i="3"/>
  <c r="E1127" i="3"/>
  <c r="C1127" i="1"/>
  <c r="L1127" i="1"/>
  <c r="H1127" i="1"/>
  <c r="Q1127" i="1"/>
  <c r="D1127" i="1"/>
  <c r="O1127" i="1"/>
  <c r="I1127" i="1"/>
  <c r="B1127" i="1"/>
  <c r="A1128" i="1"/>
  <c r="E1127" i="1"/>
  <c r="F1127" i="1"/>
  <c r="J1127" i="1"/>
  <c r="P1127" i="1"/>
  <c r="M1127" i="1"/>
  <c r="G1127" i="1"/>
  <c r="N1127" i="1"/>
  <c r="H1108" i="2"/>
  <c r="E1108" i="2"/>
  <c r="C1108" i="2"/>
  <c r="D1108" i="2"/>
  <c r="F1108" i="2"/>
  <c r="J1108" i="2"/>
  <c r="I1108" i="2"/>
  <c r="B1108" i="2"/>
  <c r="A1109" i="2"/>
  <c r="G1108" i="2"/>
  <c r="F1109" i="2" l="1"/>
  <c r="C1109" i="2"/>
  <c r="A1110" i="2"/>
  <c r="D1109" i="2"/>
  <c r="E1109" i="2"/>
  <c r="G1109" i="2"/>
  <c r="J1109" i="2"/>
  <c r="H1109" i="2"/>
  <c r="I1109" i="2"/>
  <c r="B1109" i="2"/>
  <c r="C1128" i="1"/>
  <c r="L1128" i="1"/>
  <c r="H1128" i="1"/>
  <c r="Q1128" i="1"/>
  <c r="I1128" i="1"/>
  <c r="D1128" i="1"/>
  <c r="O1128" i="1"/>
  <c r="P1128" i="1"/>
  <c r="A1129" i="1"/>
  <c r="B1128" i="1"/>
  <c r="E1128" i="1"/>
  <c r="G1128" i="1"/>
  <c r="M1128" i="1"/>
  <c r="N1128" i="1"/>
  <c r="F1128" i="1"/>
  <c r="J1128" i="1"/>
  <c r="D1128" i="3"/>
  <c r="B1128" i="3"/>
  <c r="E1128" i="3"/>
  <c r="A1129" i="3"/>
  <c r="C1128" i="3"/>
  <c r="B1129" i="3" l="1"/>
  <c r="D1129" i="3"/>
  <c r="E1129" i="3"/>
  <c r="A1130" i="3"/>
  <c r="C1129" i="3"/>
  <c r="C1129" i="1"/>
  <c r="L1129" i="1"/>
  <c r="H1129" i="1"/>
  <c r="Q1129" i="1"/>
  <c r="D1129" i="1"/>
  <c r="O1129" i="1"/>
  <c r="I1129" i="1"/>
  <c r="N1129" i="1"/>
  <c r="B1129" i="1"/>
  <c r="P1129" i="1"/>
  <c r="A1130" i="1"/>
  <c r="F1129" i="1"/>
  <c r="M1129" i="1"/>
  <c r="E1129" i="1"/>
  <c r="G1129" i="1"/>
  <c r="J1129" i="1"/>
  <c r="D1110" i="2"/>
  <c r="I1110" i="2"/>
  <c r="E1110" i="2"/>
  <c r="F1110" i="2"/>
  <c r="G1110" i="2"/>
  <c r="A1111" i="2"/>
  <c r="B1110" i="2"/>
  <c r="J1110" i="2"/>
  <c r="H1110" i="2"/>
  <c r="C1110" i="2"/>
  <c r="C1130" i="1" l="1"/>
  <c r="L1130" i="1"/>
  <c r="H1130" i="1"/>
  <c r="Q1130" i="1"/>
  <c r="I1130" i="1"/>
  <c r="D1130" i="1"/>
  <c r="O1130" i="1"/>
  <c r="M1130" i="1"/>
  <c r="N1130" i="1"/>
  <c r="P1130" i="1"/>
  <c r="E1130" i="1"/>
  <c r="G1130" i="1"/>
  <c r="J1130" i="1"/>
  <c r="A1131" i="1"/>
  <c r="B1130" i="1"/>
  <c r="F1130" i="1"/>
  <c r="E1130" i="3"/>
  <c r="B1130" i="3"/>
  <c r="D1130" i="3"/>
  <c r="C1130" i="3"/>
  <c r="A1131" i="3"/>
  <c r="B1111" i="2"/>
  <c r="J1111" i="2"/>
  <c r="G1111" i="2"/>
  <c r="E1111" i="2"/>
  <c r="F1111" i="2"/>
  <c r="H1111" i="2"/>
  <c r="I1111" i="2"/>
  <c r="A1112" i="2"/>
  <c r="C1111" i="2"/>
  <c r="D1111" i="2"/>
  <c r="C1131" i="1" l="1"/>
  <c r="L1131" i="1"/>
  <c r="H1131" i="1"/>
  <c r="Q1131" i="1"/>
  <c r="D1131" i="1"/>
  <c r="I1131" i="1"/>
  <c r="J1131" i="1"/>
  <c r="N1131" i="1"/>
  <c r="M1131" i="1"/>
  <c r="B1131" i="1"/>
  <c r="P1131" i="1"/>
  <c r="E1131" i="1"/>
  <c r="G1131" i="1"/>
  <c r="F1131" i="1"/>
  <c r="O1131" i="1"/>
  <c r="A1132" i="1"/>
  <c r="H1112" i="2"/>
  <c r="E1112" i="2"/>
  <c r="F1112" i="2"/>
  <c r="G1112" i="2"/>
  <c r="I1112" i="2"/>
  <c r="B1112" i="2"/>
  <c r="C1112" i="2"/>
  <c r="A1113" i="2"/>
  <c r="D1112" i="2"/>
  <c r="J1112" i="2"/>
  <c r="B1131" i="3"/>
  <c r="E1131" i="3"/>
  <c r="A1132" i="3"/>
  <c r="D1131" i="3"/>
  <c r="C1131" i="3"/>
  <c r="F1113" i="2" l="1"/>
  <c r="C1113" i="2"/>
  <c r="A1114" i="2"/>
  <c r="G1113" i="2"/>
  <c r="H1113" i="2"/>
  <c r="I1113" i="2"/>
  <c r="B1113" i="2"/>
  <c r="J1113" i="2"/>
  <c r="E1113" i="2"/>
  <c r="D1113" i="2"/>
  <c r="C1132" i="3"/>
  <c r="E1132" i="3"/>
  <c r="B1132" i="3"/>
  <c r="D1132" i="3"/>
  <c r="A1133" i="3"/>
  <c r="C1132" i="1"/>
  <c r="L1132" i="1"/>
  <c r="H1132" i="1"/>
  <c r="Q1132" i="1"/>
  <c r="D1132" i="1"/>
  <c r="O1132" i="1"/>
  <c r="F1132" i="1"/>
  <c r="G1132" i="1"/>
  <c r="I1132" i="1"/>
  <c r="M1132" i="1"/>
  <c r="B1132" i="1"/>
  <c r="E1132" i="1"/>
  <c r="A1133" i="1"/>
  <c r="J1132" i="1"/>
  <c r="N1132" i="1"/>
  <c r="P1132" i="1"/>
  <c r="D1114" i="2" l="1"/>
  <c r="I1114" i="2"/>
  <c r="G1114" i="2"/>
  <c r="H1114" i="2"/>
  <c r="J1114" i="2"/>
  <c r="C1114" i="2"/>
  <c r="B1114" i="2"/>
  <c r="E1114" i="2"/>
  <c r="A1115" i="2"/>
  <c r="F1114" i="2"/>
  <c r="A1134" i="3"/>
  <c r="C1133" i="3"/>
  <c r="B1133" i="3"/>
  <c r="D1133" i="3"/>
  <c r="E1133" i="3"/>
  <c r="C1133" i="1"/>
  <c r="L1133" i="1"/>
  <c r="H1133" i="1"/>
  <c r="Q1133" i="1"/>
  <c r="I1133" i="1"/>
  <c r="B1133" i="1"/>
  <c r="O1133" i="1"/>
  <c r="D1133" i="1"/>
  <c r="A1134" i="1"/>
  <c r="P1133" i="1"/>
  <c r="E1133" i="1"/>
  <c r="G1133" i="1"/>
  <c r="M1133" i="1"/>
  <c r="N1133" i="1"/>
  <c r="F1133" i="1"/>
  <c r="J1133" i="1"/>
  <c r="C1134" i="1" l="1"/>
  <c r="L1134" i="1"/>
  <c r="H1134" i="1"/>
  <c r="Q1134" i="1"/>
  <c r="D1134" i="1"/>
  <c r="O1134" i="1"/>
  <c r="J1134" i="1"/>
  <c r="M1134" i="1"/>
  <c r="N1134" i="1"/>
  <c r="E1134" i="1"/>
  <c r="A1135" i="1"/>
  <c r="P1134" i="1"/>
  <c r="F1134" i="1"/>
  <c r="I1134" i="1"/>
  <c r="B1134" i="1"/>
  <c r="G1134" i="1"/>
  <c r="C1134" i="3"/>
  <c r="A1135" i="3"/>
  <c r="E1134" i="3"/>
  <c r="B1134" i="3"/>
  <c r="D1134" i="3"/>
  <c r="B1115" i="2"/>
  <c r="J1115" i="2"/>
  <c r="G1115" i="2"/>
  <c r="H1115" i="2"/>
  <c r="I1115" i="2"/>
  <c r="A1116" i="2"/>
  <c r="D1115" i="2"/>
  <c r="C1115" i="2"/>
  <c r="E1115" i="2"/>
  <c r="F1115" i="2"/>
  <c r="H1116" i="2" l="1"/>
  <c r="E1116" i="2"/>
  <c r="I1116" i="2"/>
  <c r="J1116" i="2"/>
  <c r="A1117" i="2"/>
  <c r="D1116" i="2"/>
  <c r="B1116" i="2"/>
  <c r="C1116" i="2"/>
  <c r="F1116" i="2"/>
  <c r="G1116" i="2"/>
  <c r="C1135" i="1"/>
  <c r="L1135" i="1"/>
  <c r="H1135" i="1"/>
  <c r="Q1135" i="1"/>
  <c r="I1135" i="1"/>
  <c r="F1135" i="1"/>
  <c r="G1135" i="1"/>
  <c r="J1135" i="1"/>
  <c r="N1135" i="1"/>
  <c r="D1135" i="1"/>
  <c r="B1135" i="1"/>
  <c r="E1135" i="1"/>
  <c r="M1135" i="1"/>
  <c r="O1135" i="1"/>
  <c r="P1135" i="1"/>
  <c r="D1135" i="3"/>
  <c r="C1135" i="3"/>
  <c r="E1135" i="3"/>
  <c r="B1135" i="3"/>
  <c r="F1117" i="2" l="1"/>
  <c r="C1117" i="2"/>
  <c r="A1118" i="2"/>
  <c r="I1117" i="2"/>
  <c r="J1117" i="2"/>
  <c r="E1117" i="2"/>
  <c r="D1117" i="2"/>
  <c r="B1117" i="2"/>
  <c r="G1117" i="2"/>
  <c r="H1117" i="2"/>
  <c r="D1118" i="2" l="1"/>
  <c r="I1118" i="2"/>
  <c r="J1118" i="2"/>
  <c r="A1119" i="2"/>
  <c r="B1118" i="2"/>
  <c r="F1118" i="2"/>
  <c r="C1118" i="2"/>
  <c r="E1118" i="2"/>
  <c r="G1118" i="2"/>
  <c r="H1118" i="2"/>
  <c r="B1119" i="2" l="1"/>
  <c r="J1119" i="2"/>
  <c r="G1119" i="2"/>
  <c r="A1120" i="2"/>
  <c r="C1119" i="2"/>
  <c r="F1119" i="2"/>
  <c r="E1119" i="2"/>
  <c r="H1119" i="2"/>
  <c r="D1119" i="2"/>
  <c r="I1119" i="2"/>
  <c r="H1120" i="2" l="1"/>
  <c r="E1120" i="2"/>
  <c r="A1121" i="2"/>
  <c r="B1120" i="2"/>
  <c r="C1120" i="2"/>
  <c r="G1120" i="2"/>
  <c r="D1120" i="2"/>
  <c r="F1120" i="2"/>
  <c r="I1120" i="2"/>
  <c r="J1120" i="2"/>
  <c r="F1121" i="2" l="1"/>
  <c r="C1121" i="2"/>
  <c r="A1122" i="2"/>
  <c r="B1121" i="2"/>
  <c r="D1121" i="2"/>
  <c r="H1121" i="2"/>
  <c r="G1121" i="2"/>
  <c r="E1121" i="2"/>
  <c r="J1121" i="2"/>
  <c r="I1121" i="2"/>
  <c r="D1122" i="2" l="1"/>
  <c r="I1122" i="2"/>
  <c r="B1122" i="2"/>
  <c r="C1122" i="2"/>
  <c r="E1122" i="2"/>
  <c r="H1122" i="2"/>
  <c r="F1122" i="2"/>
  <c r="G1122" i="2"/>
  <c r="J1122" i="2"/>
  <c r="A1123" i="2"/>
  <c r="G1123" i="2" l="1"/>
  <c r="B1123" i="2"/>
  <c r="A1124" i="2"/>
  <c r="C1123" i="2"/>
  <c r="D1123" i="2"/>
  <c r="H1123" i="2"/>
  <c r="F1123" i="2"/>
  <c r="I1123" i="2"/>
  <c r="J1123" i="2"/>
  <c r="E1123" i="2"/>
  <c r="E1124" i="2" l="1"/>
  <c r="J1124" i="2"/>
  <c r="B1124" i="2"/>
  <c r="A1125" i="2"/>
  <c r="C1124" i="2"/>
  <c r="G1124" i="2"/>
  <c r="D1124" i="2"/>
  <c r="F1124" i="2"/>
  <c r="H1124" i="2"/>
  <c r="I1124" i="2"/>
  <c r="C1125" i="2" l="1"/>
  <c r="A1126" i="2"/>
  <c r="I1125" i="2"/>
  <c r="J1125" i="2"/>
  <c r="B1125" i="2"/>
  <c r="F1125" i="2"/>
  <c r="E1125" i="2"/>
  <c r="H1125" i="2"/>
  <c r="D1125" i="2"/>
  <c r="G1125" i="2"/>
  <c r="I1126" i="2" l="1"/>
  <c r="H1126" i="2"/>
  <c r="J1126" i="2"/>
  <c r="B1126" i="2"/>
  <c r="A1127" i="2"/>
  <c r="E1126" i="2"/>
  <c r="C1126" i="2"/>
  <c r="D1126" i="2"/>
  <c r="F1126" i="2"/>
  <c r="G1126" i="2"/>
  <c r="G1127" i="2" l="1"/>
  <c r="H1127" i="2"/>
  <c r="I1127" i="2"/>
  <c r="J1127" i="2"/>
  <c r="D1127" i="2"/>
  <c r="A1128" i="2"/>
  <c r="C1127" i="2"/>
  <c r="E1127" i="2"/>
  <c r="B1127" i="2"/>
  <c r="F1127" i="2"/>
  <c r="E1128" i="2" l="1"/>
  <c r="G1128" i="2"/>
  <c r="H1128" i="2"/>
  <c r="I1128" i="2"/>
  <c r="C1128" i="2"/>
  <c r="B1128" i="2"/>
  <c r="D1128" i="2"/>
  <c r="A1129" i="2"/>
  <c r="F1128" i="2"/>
  <c r="J1128" i="2"/>
  <c r="C1129" i="2" l="1"/>
  <c r="A1130" i="2"/>
  <c r="F1129" i="2"/>
  <c r="G1129" i="2"/>
  <c r="H1129" i="2"/>
  <c r="B1129" i="2"/>
  <c r="I1129" i="2"/>
  <c r="J1129" i="2"/>
  <c r="D1129" i="2"/>
  <c r="E1129" i="2"/>
  <c r="I1130" i="2" l="1"/>
  <c r="E1130" i="2"/>
  <c r="F1130" i="2"/>
  <c r="G1130" i="2"/>
  <c r="B1130" i="2"/>
  <c r="A1131" i="2"/>
  <c r="C1130" i="2"/>
  <c r="J1130" i="2"/>
  <c r="H1130" i="2"/>
  <c r="D1130" i="2"/>
  <c r="G1131" i="2" l="1"/>
  <c r="D1131" i="2"/>
  <c r="E1131" i="2"/>
  <c r="F1131" i="2"/>
  <c r="J1131" i="2"/>
  <c r="H1131" i="2"/>
  <c r="I1131" i="2"/>
  <c r="A1132" i="2"/>
  <c r="C1131" i="2"/>
  <c r="B1131" i="2"/>
  <c r="E1132" i="2" l="1"/>
  <c r="C1132" i="2"/>
  <c r="D1132" i="2"/>
  <c r="F1132" i="2"/>
  <c r="I1132" i="2"/>
  <c r="H1132" i="2"/>
  <c r="B1132" i="2"/>
  <c r="A1133" i="2"/>
  <c r="G1132" i="2"/>
  <c r="J1132" i="2"/>
  <c r="C1133" i="2" l="1"/>
  <c r="A1134" i="2"/>
  <c r="B1133" i="2"/>
  <c r="D1133" i="2"/>
  <c r="E1133" i="2"/>
  <c r="H1133" i="2"/>
  <c r="F1133" i="2"/>
  <c r="G1133" i="2"/>
  <c r="I1133" i="2"/>
  <c r="J1133" i="2"/>
  <c r="I1134" i="2" l="1"/>
  <c r="B1134" i="2"/>
  <c r="A1135" i="2"/>
  <c r="C1134" i="2"/>
  <c r="D1134" i="2"/>
  <c r="G1134" i="2"/>
  <c r="F1134" i="2"/>
  <c r="H1134" i="2"/>
  <c r="E1134" i="2"/>
  <c r="J1134" i="2"/>
  <c r="G1135" i="2" l="1"/>
  <c r="J1135" i="2"/>
  <c r="B1135" i="2"/>
  <c r="C1135" i="2"/>
  <c r="F1135" i="2"/>
  <c r="D1135" i="2"/>
  <c r="E1135" i="2"/>
  <c r="H1135" i="2"/>
  <c r="I1135" i="2"/>
</calcChain>
</file>

<file path=xl/sharedStrings.xml><?xml version="1.0" encoding="utf-8"?>
<sst xmlns="http://schemas.openxmlformats.org/spreadsheetml/2006/main" count="161" uniqueCount="74">
  <si>
    <t>MM$</t>
  </si>
  <si>
    <t>$/MMBTU</t>
  </si>
  <si>
    <t>MONTH</t>
  </si>
  <si>
    <t>UPS REPLACEMENT SUNK DEMAND CHARGE</t>
  </si>
  <si>
    <t>BAY GAS STORAGE DEMAND CHARGE</t>
  </si>
  <si>
    <t>SABAL TRAIL &amp; FSC</t>
  </si>
  <si>
    <t>GULF SOUTH</t>
  </si>
  <si>
    <t>TRANSCO 4A</t>
  </si>
  <si>
    <t>SESH</t>
  </si>
  <si>
    <t>GULFSTREAM</t>
  </si>
  <si>
    <t>FGT</t>
  </si>
  <si>
    <t>UPS REPLACEMENT DISPATCH PRICE</t>
  </si>
  <si>
    <t>HENRY HUB</t>
  </si>
  <si>
    <r>
      <t xml:space="preserve">FSC FIRM     FROM                          </t>
    </r>
    <r>
      <rPr>
        <b/>
        <sz val="12"/>
        <color theme="5" tint="-0.249977111117893"/>
        <rFont val="Arial"/>
        <family val="2"/>
      </rPr>
      <t>SABAL TRAIL</t>
    </r>
  </si>
  <si>
    <t>GULFSTREAM NON-FIRM</t>
  </si>
  <si>
    <t>WEIGHTED AVERAGE GULFSTREAM FIRM</t>
  </si>
  <si>
    <t>FGT NON-FIRM</t>
  </si>
  <si>
    <t>WEIGHTED AVERAGE FGT FIRM</t>
  </si>
  <si>
    <t>WEIGHTED AVERAGE Z3 FGT FIRM</t>
  </si>
  <si>
    <t>ZONE 2 FGT FIRM</t>
  </si>
  <si>
    <t>ZONE 1 FGT FIRM</t>
  </si>
  <si>
    <t>FIRM TRANSPORT AND STORAGE CONTRACTS THROUGH FGT PHASE VIII</t>
  </si>
  <si>
    <t>SUNK DEMAND CHARGE FOR ALL CURRENT</t>
  </si>
  <si>
    <t>HIGH</t>
  </si>
  <si>
    <t>LOW</t>
  </si>
  <si>
    <t>April 06, 2015 - LYSTRA LOUTAN</t>
  </si>
  <si>
    <t>LONG-TERM FORECAST METHODOLOGY - GAS PRICE</t>
  </si>
  <si>
    <t>MMCF/DAY</t>
  </si>
  <si>
    <t>DAYS</t>
  </si>
  <si>
    <t>GULFSTREAM NON-FIRM &amp; NON-FIRM BACKHAUL</t>
  </si>
  <si>
    <t>TOTAL GULFSTREAM FIRM</t>
  </si>
  <si>
    <t>SABAL TRAIL PIPELINE</t>
  </si>
  <si>
    <t>TOTAL FGT FIRM</t>
  </si>
  <si>
    <t>ZONE 3 FGT FIRM</t>
  </si>
  <si>
    <t>FGT FIRM BY ZONE</t>
  </si>
  <si>
    <t>LONG-TERM FORECAST METHODOLOGY - CAPACITY</t>
  </si>
  <si>
    <t>$/BBL.</t>
  </si>
  <si>
    <t>WTI</t>
  </si>
  <si>
    <t>ALL PLANTS DISTILLATE</t>
  </si>
  <si>
    <t>MANATEE / TURKEY POINT RESIDUAL</t>
  </si>
  <si>
    <t>MARTIN RESIDUAL</t>
  </si>
  <si>
    <t>DISTILLATE</t>
  </si>
  <si>
    <t>RESIDUAL</t>
  </si>
  <si>
    <t>LONG-TERM FORECAST METHODOLOGY - OIL PRICE</t>
  </si>
  <si>
    <t>DISPATCH PRICE WITH SO2 &amp; NOx</t>
  </si>
  <si>
    <t>DISPATCH PRICE WITHOUT SO2 &amp; NOx</t>
  </si>
  <si>
    <t>WEIGHTED AVERAGE WITHOUT SO2 &amp; NOx</t>
  </si>
  <si>
    <t>CEDAR BAY</t>
  </si>
  <si>
    <t>ICL</t>
  </si>
  <si>
    <t>ST. JOHNS RIVER POWER PARK</t>
  </si>
  <si>
    <t>PLANT SCHERER UNIT 4</t>
  </si>
  <si>
    <t xml:space="preserve"> </t>
  </si>
  <si>
    <t>WITHOUT NOx</t>
  </si>
  <si>
    <t>WITH NOx</t>
  </si>
  <si>
    <t>Selection</t>
  </si>
  <si>
    <t>Natural Gas</t>
  </si>
  <si>
    <t>WITHOUT SO2 &amp; NOx</t>
  </si>
  <si>
    <t>WITH SO2 &amp; NOx</t>
  </si>
  <si>
    <t>Oil SO2</t>
  </si>
  <si>
    <t>HIGH PRICES</t>
  </si>
  <si>
    <t>MEDIUM PRICES</t>
  </si>
  <si>
    <t>LOW PRICES</t>
  </si>
  <si>
    <t>Coal</t>
  </si>
  <si>
    <t>Heavy &amp; Light Oil</t>
  </si>
  <si>
    <t>Florida Power &amp; Light Company</t>
  </si>
  <si>
    <t>Docket No. 160154-EI</t>
  </si>
  <si>
    <t>Staff's First Set of Interrogatories</t>
  </si>
  <si>
    <t>Interrogatory No. 2</t>
  </si>
  <si>
    <t>Tab 1 of 5</t>
  </si>
  <si>
    <t>Attachment No. 39</t>
  </si>
  <si>
    <t>Tab 2 of 5</t>
  </si>
  <si>
    <t>Tab 3 of 5</t>
  </si>
  <si>
    <t>Tab 4 of 5</t>
  </si>
  <si>
    <t>Tab 5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</si>
</sst>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_)"/>
    <numFmt numFmtId="166" formatCode="&quot;$&quot;#,##0.00"/>
    <numFmt numFmtId="167" formatCode="&quot;$&quot;#,##0.0"/>
    <numFmt numFmtId="168" formatCode="&quot;$&quot;#,##0.0_);[Red]\(&quot;$&quot;#,##0.0\)"/>
    <numFmt numFmtId="169" formatCode="[$-409]mmm\-yy;@"/>
    <numFmt numFmtId="170" formatCode="0.0000"/>
    <numFmt numFmtId="171" formatCode="0.0"/>
    <numFmt numFmtId="172" formatCode="_(* #,##0_);_(* \(#,##0\);_(* &quot;-&quot;??_);_(@_)"/>
  </numFmts>
  <fonts count="20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00B0F0"/>
      <name val="Arial"/>
      <family val="2"/>
    </font>
    <font>
      <b/>
      <u/>
      <sz val="16"/>
      <name val="Arial"/>
      <family val="2"/>
    </font>
    <font>
      <sz val="9"/>
      <name val="Geneva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7"/>
      <name val="Arial"/>
      <family val="2"/>
    </font>
    <font>
      <b/>
      <u val="singleAccounting"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indexed="12"/>
      <name val="Helv"/>
    </font>
    <font>
      <b/>
      <sz val="12"/>
      <name val="Helv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164" fontId="0" fillId="0" borderId="0">
      <alignment horizontal="left" wrapText="1"/>
    </xf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>
      <alignment wrapText="1"/>
    </xf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</cellStyleXfs>
  <cellXfs count="96">
    <xf numFmtId="164" fontId="0" fillId="0" borderId="0" xfId="0">
      <alignment horizontal="left" wrapText="1"/>
    </xf>
    <xf numFmtId="0" fontId="3" fillId="0" borderId="0" xfId="4" applyFont="1"/>
    <xf numFmtId="0" fontId="3" fillId="0" borderId="0" xfId="4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4" applyNumberFormat="1" applyFont="1" applyAlignment="1">
      <alignment horizontal="center"/>
    </xf>
    <xf numFmtId="167" fontId="3" fillId="0" borderId="0" xfId="4" applyNumberFormat="1" applyFont="1" applyAlignment="1">
      <alignment horizontal="center"/>
    </xf>
    <xf numFmtId="167" fontId="3" fillId="0" borderId="0" xfId="4" applyNumberFormat="1" applyFont="1"/>
    <xf numFmtId="166" fontId="3" fillId="0" borderId="0" xfId="4" applyNumberFormat="1" applyFont="1"/>
    <xf numFmtId="166" fontId="3" fillId="2" borderId="0" xfId="4" applyNumberFormat="1" applyFont="1" applyFill="1" applyAlignment="1">
      <alignment horizontal="center"/>
    </xf>
    <xf numFmtId="168" fontId="3" fillId="0" borderId="0" xfId="4" applyNumberFormat="1" applyFont="1" applyAlignment="1">
      <alignment horizontal="center"/>
    </xf>
    <xf numFmtId="165" fontId="3" fillId="0" borderId="0" xfId="0" applyNumberFormat="1" applyFont="1" applyAlignment="1"/>
    <xf numFmtId="167" fontId="5" fillId="0" borderId="0" xfId="4" applyNumberFormat="1" applyFont="1" applyAlignment="1">
      <alignment horizontal="center"/>
    </xf>
    <xf numFmtId="166" fontId="6" fillId="2" borderId="0" xfId="4" applyNumberFormat="1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7" fontId="5" fillId="3" borderId="0" xfId="4" applyNumberFormat="1" applyFont="1" applyFill="1" applyAlignment="1">
      <alignment horizontal="center"/>
    </xf>
    <xf numFmtId="167" fontId="5" fillId="4" borderId="0" xfId="4" applyNumberFormat="1" applyFont="1" applyFill="1" applyAlignment="1">
      <alignment horizontal="center"/>
    </xf>
    <xf numFmtId="167" fontId="5" fillId="5" borderId="0" xfId="4" applyNumberFormat="1" applyFont="1" applyFill="1" applyAlignment="1">
      <alignment horizontal="center"/>
    </xf>
    <xf numFmtId="0" fontId="3" fillId="0" borderId="0" xfId="4" applyFont="1" applyAlignment="1">
      <alignment horizontal="center" wrapText="1"/>
    </xf>
    <xf numFmtId="0" fontId="6" fillId="6" borderId="0" xfId="4" applyFont="1" applyFill="1" applyAlignment="1">
      <alignment horizontal="center" wrapText="1"/>
    </xf>
    <xf numFmtId="0" fontId="6" fillId="0" borderId="0" xfId="4" applyFont="1" applyAlignment="1">
      <alignment horizontal="center" wrapText="1"/>
    </xf>
    <xf numFmtId="0" fontId="6" fillId="2" borderId="0" xfId="4" applyFont="1" applyFill="1" applyAlignment="1">
      <alignment horizontal="center" wrapText="1"/>
    </xf>
    <xf numFmtId="0" fontId="6" fillId="6" borderId="0" xfId="4" quotePrefix="1" applyFont="1" applyFill="1" applyAlignment="1">
      <alignment horizontal="center" wrapText="1"/>
    </xf>
    <xf numFmtId="0" fontId="6" fillId="0" borderId="0" xfId="4" quotePrefix="1" applyFont="1" applyAlignment="1">
      <alignment horizontal="center" wrapText="1"/>
    </xf>
    <xf numFmtId="0" fontId="6" fillId="0" borderId="0" xfId="4" applyFont="1" applyAlignment="1">
      <alignment horizontal="center"/>
    </xf>
    <xf numFmtId="0" fontId="6" fillId="0" borderId="0" xfId="4" applyFont="1" applyAlignment="1"/>
    <xf numFmtId="10" fontId="8" fillId="7" borderId="0" xfId="4" applyNumberFormat="1" applyFont="1" applyFill="1" applyAlignment="1">
      <alignment horizontal="center"/>
    </xf>
    <xf numFmtId="0" fontId="6" fillId="7" borderId="0" xfId="4" applyFont="1" applyFill="1" applyAlignment="1">
      <alignment horizontal="center"/>
    </xf>
    <xf numFmtId="170" fontId="3" fillId="0" borderId="0" xfId="4" applyNumberFormat="1" applyFont="1"/>
    <xf numFmtId="1" fontId="3" fillId="0" borderId="0" xfId="4" applyNumberFormat="1" applyFont="1"/>
    <xf numFmtId="15" fontId="6" fillId="0" borderId="0" xfId="4" applyNumberFormat="1" applyFont="1" applyAlignment="1">
      <alignment horizontal="left"/>
    </xf>
    <xf numFmtId="165" fontId="9" fillId="0" borderId="0" xfId="0" quotePrefix="1" applyNumberFormat="1" applyFont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4"/>
    <xf numFmtId="1" fontId="3" fillId="0" borderId="0" xfId="4" applyNumberFormat="1" applyFont="1" applyAlignment="1">
      <alignment horizontal="center"/>
    </xf>
    <xf numFmtId="1" fontId="2" fillId="0" borderId="0" xfId="4" applyNumberFormat="1" applyFont="1" applyAlignment="1">
      <alignment horizontal="center"/>
    </xf>
    <xf numFmtId="1" fontId="3" fillId="8" borderId="0" xfId="4" applyNumberFormat="1" applyFont="1" applyFill="1" applyAlignment="1">
      <alignment horizontal="center"/>
    </xf>
    <xf numFmtId="3" fontId="3" fillId="0" borderId="0" xfId="4" applyNumberFormat="1" applyFont="1" applyAlignment="1">
      <alignment horizontal="center"/>
    </xf>
    <xf numFmtId="3" fontId="3" fillId="8" borderId="0" xfId="4" applyNumberFormat="1" applyFont="1" applyFill="1" applyAlignment="1">
      <alignment horizontal="center"/>
    </xf>
    <xf numFmtId="171" fontId="6" fillId="9" borderId="0" xfId="4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/>
    <xf numFmtId="1" fontId="6" fillId="0" borderId="0" xfId="4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72" fontId="3" fillId="0" borderId="0" xfId="0" applyNumberFormat="1" applyFont="1" applyAlignment="1"/>
    <xf numFmtId="0" fontId="6" fillId="0" borderId="0" xfId="4" applyFont="1" applyFill="1" applyAlignment="1">
      <alignment horizontal="center" wrapText="1"/>
    </xf>
    <xf numFmtId="0" fontId="6" fillId="9" borderId="0" xfId="4" applyFont="1" applyFill="1" applyAlignment="1">
      <alignment horizontal="center" wrapText="1"/>
    </xf>
    <xf numFmtId="0" fontId="6" fillId="2" borderId="0" xfId="4" quotePrefix="1" applyFont="1" applyFill="1" applyAlignment="1">
      <alignment horizontal="center" wrapText="1"/>
    </xf>
    <xf numFmtId="0" fontId="6" fillId="0" borderId="0" xfId="4" quotePrefix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4" applyFont="1" applyFill="1" applyAlignment="1"/>
    <xf numFmtId="0" fontId="6" fillId="10" borderId="0" xfId="4" applyFont="1" applyFill="1" applyAlignment="1">
      <alignment horizontal="center"/>
    </xf>
    <xf numFmtId="0" fontId="6" fillId="0" borderId="0" xfId="4" applyFont="1"/>
    <xf numFmtId="0" fontId="2" fillId="0" borderId="0" xfId="4" applyFont="1" applyAlignment="1">
      <alignment horizontal="center" wrapText="1"/>
    </xf>
    <xf numFmtId="0" fontId="6" fillId="0" borderId="0" xfId="4" quotePrefix="1" applyFont="1" applyFill="1" applyAlignment="1">
      <alignment horizontal="center" wrapText="1"/>
    </xf>
    <xf numFmtId="0" fontId="6" fillId="8" borderId="0" xfId="4" applyFont="1" applyFill="1" applyAlignment="1"/>
    <xf numFmtId="15" fontId="6" fillId="0" borderId="0" xfId="4" applyNumberFormat="1" applyFont="1" applyFill="1" applyAlignment="1">
      <alignment horizontal="left"/>
    </xf>
    <xf numFmtId="9" fontId="11" fillId="13" borderId="0" xfId="3" applyFont="1" applyFill="1" applyAlignment="1">
      <alignment horizontal="center"/>
    </xf>
    <xf numFmtId="0" fontId="12" fillId="13" borderId="0" xfId="4" applyFont="1" applyFill="1" applyAlignment="1">
      <alignment horizontal="center"/>
    </xf>
    <xf numFmtId="0" fontId="2" fillId="0" borderId="0" xfId="4" applyFont="1" applyFill="1"/>
    <xf numFmtId="0" fontId="13" fillId="0" borderId="0" xfId="4" applyFont="1" applyFill="1"/>
    <xf numFmtId="0" fontId="14" fillId="0" borderId="0" xfId="4" quotePrefix="1" applyFont="1" applyFill="1" applyAlignment="1">
      <alignment horizontal="left"/>
    </xf>
    <xf numFmtId="166" fontId="3" fillId="0" borderId="0" xfId="0" applyNumberFormat="1" applyFont="1" applyAlignment="1">
      <alignment horizontal="center"/>
    </xf>
    <xf numFmtId="166" fontId="3" fillId="0" borderId="0" xfId="2" applyNumberFormat="1" applyFont="1" applyAlignment="1">
      <alignment horizontal="center"/>
    </xf>
    <xf numFmtId="44" fontId="15" fillId="0" borderId="0" xfId="2" applyFont="1" applyAlignment="1">
      <alignment horizontal="center"/>
    </xf>
    <xf numFmtId="44" fontId="6" fillId="0" borderId="0" xfId="2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14" borderId="0" xfId="0" quotePrefix="1" applyNumberFormat="1" applyFont="1" applyFill="1" applyAlignment="1">
      <alignment horizontal="center" vertical="center" wrapText="1"/>
    </xf>
    <xf numFmtId="165" fontId="6" fillId="2" borderId="0" xfId="0" quotePrefix="1" applyNumberFormat="1" applyFont="1" applyFill="1" applyAlignment="1">
      <alignment horizontal="center" vertical="center" wrapText="1"/>
    </xf>
    <xf numFmtId="165" fontId="6" fillId="10" borderId="0" xfId="0" quotePrefix="1" applyNumberFormat="1" applyFont="1" applyFill="1" applyAlignment="1">
      <alignment horizontal="center" vertical="center" wrapText="1"/>
    </xf>
    <xf numFmtId="0" fontId="16" fillId="0" borderId="0" xfId="4" applyFont="1"/>
    <xf numFmtId="10" fontId="8" fillId="7" borderId="0" xfId="4" quotePrefix="1" applyNumberFormat="1" applyFont="1" applyFill="1" applyAlignment="1">
      <alignment horizontal="center"/>
    </xf>
    <xf numFmtId="15" fontId="6" fillId="7" borderId="0" xfId="4" applyNumberFormat="1" applyFont="1" applyFill="1" applyAlignment="1">
      <alignment horizontal="left"/>
    </xf>
    <xf numFmtId="15" fontId="6" fillId="0" borderId="0" xfId="4" quotePrefix="1" applyNumberFormat="1" applyFont="1" applyAlignment="1">
      <alignment horizontal="left"/>
    </xf>
    <xf numFmtId="0" fontId="17" fillId="0" borderId="0" xfId="4" applyFont="1"/>
    <xf numFmtId="165" fontId="0" fillId="0" borderId="0" xfId="0" applyNumberFormat="1" applyAlignment="1"/>
    <xf numFmtId="43" fontId="0" fillId="0" borderId="0" xfId="1" applyFont="1" applyAlignment="1"/>
    <xf numFmtId="165" fontId="0" fillId="0" borderId="0" xfId="0" quotePrefix="1" applyNumberFormat="1" applyAlignment="1"/>
    <xf numFmtId="165" fontId="18" fillId="0" borderId="1" xfId="0" quotePrefix="1" applyNumberFormat="1" applyFont="1" applyBorder="1" applyAlignment="1">
      <alignment horizontal="left"/>
    </xf>
    <xf numFmtId="165" fontId="18" fillId="0" borderId="3" xfId="0" quotePrefix="1" applyNumberFormat="1" applyFont="1" applyBorder="1" applyAlignment="1">
      <alignment horizontal="left"/>
    </xf>
    <xf numFmtId="165" fontId="19" fillId="0" borderId="4" xfId="0" applyNumberFormat="1" applyFont="1" applyBorder="1" applyAlignment="1"/>
    <xf numFmtId="165" fontId="18" fillId="0" borderId="1" xfId="0" applyNumberFormat="1" applyFont="1" applyBorder="1" applyAlignment="1"/>
    <xf numFmtId="165" fontId="18" fillId="0" borderId="3" xfId="0" applyNumberFormat="1" applyFont="1" applyBorder="1" applyAlignment="1"/>
    <xf numFmtId="165" fontId="19" fillId="0" borderId="0" xfId="0" applyNumberFormat="1" applyFont="1" applyAlignment="1">
      <alignment horizontal="left"/>
    </xf>
    <xf numFmtId="0" fontId="6" fillId="6" borderId="0" xfId="4" quotePrefix="1" applyFont="1" applyFill="1" applyAlignment="1">
      <alignment horizontal="center"/>
    </xf>
    <xf numFmtId="0" fontId="6" fillId="11" borderId="0" xfId="4" quotePrefix="1" applyFont="1" applyFill="1" applyAlignment="1">
      <alignment horizontal="center"/>
    </xf>
    <xf numFmtId="0" fontId="6" fillId="12" borderId="0" xfId="4" applyFont="1" applyFill="1" applyAlignment="1">
      <alignment horizontal="center"/>
    </xf>
    <xf numFmtId="165" fontId="6" fillId="11" borderId="0" xfId="0" quotePrefix="1" applyNumberFormat="1" applyFont="1" applyFill="1" applyAlignment="1">
      <alignment horizontal="center"/>
    </xf>
    <xf numFmtId="0" fontId="6" fillId="0" borderId="0" xfId="4" applyFont="1" applyAlignment="1">
      <alignment horizontal="center"/>
    </xf>
    <xf numFmtId="0" fontId="6" fillId="9" borderId="0" xfId="4" quotePrefix="1" applyFont="1" applyFill="1" applyAlignment="1">
      <alignment horizontal="center"/>
    </xf>
    <xf numFmtId="0" fontId="6" fillId="9" borderId="0" xfId="4" applyFont="1" applyFill="1" applyAlignment="1">
      <alignment horizontal="center"/>
    </xf>
    <xf numFmtId="0" fontId="6" fillId="11" borderId="0" xfId="4" applyFont="1" applyFill="1" applyAlignment="1">
      <alignment horizontal="center"/>
    </xf>
    <xf numFmtId="165" fontId="18" fillId="0" borderId="2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</cellXfs>
  <cellStyles count="52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Comma" xfId="1" builtinId="3"/>
    <cellStyle name="Comma 2" xfId="25"/>
    <cellStyle name="Comma 3" xfId="26"/>
    <cellStyle name="Comma 3 2" xfId="27"/>
    <cellStyle name="Comma 4" xfId="28"/>
    <cellStyle name="Comma 5" xfId="29"/>
    <cellStyle name="Currency" xfId="2" builtinId="4"/>
    <cellStyle name="Normal" xfId="0" builtinId="0"/>
    <cellStyle name="Normal 10" xfId="30"/>
    <cellStyle name="Normal 10 2" xfId="31"/>
    <cellStyle name="Normal 2" xfId="32"/>
    <cellStyle name="Normal 2 2" xfId="33"/>
    <cellStyle name="Normal 2 2 2" xfId="34"/>
    <cellStyle name="Normal 2 3" xfId="35"/>
    <cellStyle name="Normal 2 3 2" xfId="36"/>
    <cellStyle name="Normal 2 4" xfId="37"/>
    <cellStyle name="Normal 2 4 2" xfId="38"/>
    <cellStyle name="Normal 2 5" xfId="39"/>
    <cellStyle name="Normal 2 6" xfId="40"/>
    <cellStyle name="Normal 2 7" xfId="41"/>
    <cellStyle name="Normal 3" xfId="42"/>
    <cellStyle name="Normal 4" xfId="43"/>
    <cellStyle name="Normal 5" xfId="44"/>
    <cellStyle name="Normal 5 2" xfId="45"/>
    <cellStyle name="Normal 6" xfId="46"/>
    <cellStyle name="Normal 6 2" xfId="47"/>
    <cellStyle name="Normal 7" xfId="48"/>
    <cellStyle name="Normal 7 2" xfId="49"/>
    <cellStyle name="Normal 8" xfId="50"/>
    <cellStyle name="Normal 9" xfId="51"/>
    <cellStyle name="Normal_060415 RAP Fuel Price Forecast Template - Case 1 (Historical Spread)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8" fmlaLink="CONTROL!$C$15" fmlaRange="CONTROL!$B$15:$B$17" sel="2" val="0"/>
</file>

<file path=xl/ctrlProps/ctrlProp2.xml><?xml version="1.0" encoding="utf-8"?>
<formControlPr xmlns="http://schemas.microsoft.com/office/spreadsheetml/2009/9/main" objectType="Drop" dropLines="2" dropStyle="combo" dx="18" fmlaLink="CONTROL!$C$32" fmlaRange="CONTROL!$B$32:$B$33" val="0"/>
</file>

<file path=xl/ctrlProps/ctrlProp3.xml><?xml version="1.0" encoding="utf-8"?>
<formControlPr xmlns="http://schemas.microsoft.com/office/spreadsheetml/2009/9/main" objectType="Drop" dropLines="3" dropStyle="combo" dx="18" fmlaLink="CONTROL!$C$9" fmlaRange="CONTROL!$B$9:$B$11" sel="2" val="0"/>
</file>

<file path=xl/ctrlProps/ctrlProp4.xml><?xml version="1.0" encoding="utf-8"?>
<formControlPr xmlns="http://schemas.microsoft.com/office/spreadsheetml/2009/9/main" objectType="Drop" dropLines="2" dropStyle="combo" dx="18" fmlaLink="CONTROL!$C$28" fmlaRange="CONTROL!$B$28:$B$29" val="0"/>
</file>

<file path=xl/ctrlProps/ctrlProp5.xml><?xml version="1.0" encoding="utf-8"?>
<formControlPr xmlns="http://schemas.microsoft.com/office/spreadsheetml/2009/9/main" objectType="Drop" dropLines="3" dropStyle="combo" dx="18" fmlaLink="CONTROL!$C$22" fmlaRange="CONTROL!$B$22:$B$24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171450</xdr:rowOff>
        </xdr:from>
        <xdr:to>
          <xdr:col>4</xdr:col>
          <xdr:colOff>533400</xdr:colOff>
          <xdr:row>13</xdr:row>
          <xdr:rowOff>104775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11</xdr:row>
          <xdr:rowOff>171450</xdr:rowOff>
        </xdr:from>
        <xdr:to>
          <xdr:col>6</xdr:col>
          <xdr:colOff>257175</xdr:colOff>
          <xdr:row>13</xdr:row>
          <xdr:rowOff>95250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171450</xdr:rowOff>
        </xdr:from>
        <xdr:to>
          <xdr:col>2</xdr:col>
          <xdr:colOff>666750</xdr:colOff>
          <xdr:row>11</xdr:row>
          <xdr:rowOff>104775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171450</xdr:rowOff>
        </xdr:from>
        <xdr:to>
          <xdr:col>4</xdr:col>
          <xdr:colOff>371475</xdr:colOff>
          <xdr:row>11</xdr:row>
          <xdr:rowOff>95250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381000</xdr:colOff>
          <xdr:row>12</xdr:row>
          <xdr:rowOff>142875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hab0ptk\0600911%20-%20SJRPP%20Solid%20Fuel%20Historic%20Prices%20-%20Commodity%20&amp;%20Ra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exu0ocl\040609%20FUEL%20COST%20RECOVERY%20-%20IRP%20SHORT%20&amp;%20LONG-TERM%20FOSSIL%20FUEL%20PRICE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XD0FJ7\AppData\Local\Temp\Temp1_2015.zip\2015\4.%20April\150406%202015%20-%202100%20LONG-TERM%20FORECAST%20FPL%20METHODOLOGY%20-%20To%20Dele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ndex%20Analys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REG\GenTrader%20Data\Weekly%20Long%20Run\040914\Inputs\GTDW_Data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 - $ Per Ton - Q"/>
      <sheetName val="Chart 2 - $ Per MMBtu - Q"/>
      <sheetName val="Chart 3 - $ Per Ton - A"/>
      <sheetName val="Chart 4 - $ Per MMBtu - A"/>
      <sheetName val="History Delivered"/>
      <sheetName val="History Mine Mouth"/>
      <sheetName val="HIS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OIL BACKUP 2"/>
      <sheetName val="GRAPH DATA"/>
      <sheetName val="CURRENT FPL VS. FCR FORECAST"/>
      <sheetName val="CURRENT VS. PREVIOUS FPL FORE."/>
      <sheetName val="CURRENT FPL VS. PIRA FORECAST"/>
      <sheetName val="FPL FORECAST VS. FORWARD CURVE"/>
      <sheetName val="FPL MOST LIKELY OIL BACKUP 1"/>
      <sheetName val="COMPARISON OF DISPATCH PRICES"/>
      <sheetName val="FOSSIL FUEL GRAPH"/>
      <sheetName val="MOST LIKELY OIL FORECAST UPDATE"/>
      <sheetName val="MOST LIKELY OIL PRICE FORECAST"/>
      <sheetName val="LOW PRICE OIL FORECAST"/>
      <sheetName val="HIGH PRICE OIL FORECAST"/>
      <sheetName val="WEEKLY GAS FORECAST UPDATE"/>
      <sheetName val="MOST LIKELY GAS PRICE &amp; AVAIL"/>
      <sheetName val="MOST LIKELY COAL &amp; PET COKE"/>
      <sheetName val="FPL MOST LIKELY GAS BACKUP 2"/>
      <sheetName val="FPL MOST LIKELY GAS BACKUP 1"/>
      <sheetName val="FPL LOW PRICE GAS BACKUP 1"/>
      <sheetName val="FPL HIGH PRICE GAS BACKUP 1"/>
      <sheetName val="LOW PRICE GAS &amp; AVAILABILITY"/>
      <sheetName val="HIGH PRICE GAS &amp; AVAILAB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 Curves"/>
      <sheetName val="Pub Index"/>
      <sheetName val="_Setup_"/>
      <sheetName val="GAS BASIS"/>
      <sheetName val="FPL LONG TERM GAS &amp; OIL INDEX"/>
      <sheetName val="OIL &amp; GAS SEASONALITY"/>
      <sheetName val="TRANSPORT"/>
      <sheetName val="DEMAND CHARGE"/>
      <sheetName val="CAPACITY"/>
      <sheetName val="GAS AVAILABILITY WORKSHEET"/>
      <sheetName val="NATURAL GAS PRICES WORKSHEET"/>
      <sheetName val="FGT PRIMARY FIRM ZONE 1"/>
      <sheetName val="FGT PRIMARY FIRM ZONE 2"/>
      <sheetName val="FGT PRIMARY FIRM ZONE 3"/>
      <sheetName val="FGT NON-FIRM"/>
      <sheetName val="SESH TO FTS 3"/>
      <sheetName val="TRANSCO 4A  FTS 3"/>
      <sheetName val="GULF SOUTH TO FTS 1&amp;2"/>
      <sheetName val="INCREMENTAL Z3"/>
      <sheetName val="SESH TO GULFSTREAM"/>
      <sheetName val="TRANSCO 4A TO GULFSTREAM"/>
      <sheetName val="GULF SOUTH TO GULFSTREAM"/>
      <sheetName val="GULFSTREAM FIRM "/>
      <sheetName val="GULFSTREAM NON-FIRM"/>
      <sheetName val="FSC DLVD"/>
      <sheetName val="UPS REPLACEMENT"/>
      <sheetName val="Upload"/>
      <sheetName val="DISTILLATE &amp; RESIDUAL FUEL OIL"/>
      <sheetName val="COAL SO2 &amp; NOX Calculations"/>
      <sheetName val="COAL - Monthly"/>
      <sheetName val="COAL &amp; PET COKE FORECAST"/>
      <sheetName val="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-Data"/>
      <sheetName val="Misc-Data"/>
      <sheetName val="IndexAnalysis"/>
      <sheetName val="Nat Gas Strips "/>
      <sheetName val="Module2"/>
      <sheetName val="FeedLiveData"/>
    </sheetNames>
    <sheetDataSet>
      <sheetData sheetId="0" refreshError="1">
        <row r="2">
          <cell r="A2" t="str">
            <v>INDEX PRICE LOG</v>
          </cell>
        </row>
        <row r="3">
          <cell r="C3">
            <v>11</v>
          </cell>
          <cell r="D3">
            <v>12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</v>
          </cell>
          <cell r="R3">
            <v>2</v>
          </cell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  <cell r="Z3">
            <v>10</v>
          </cell>
          <cell r="AA3">
            <v>11</v>
          </cell>
          <cell r="AB3">
            <v>12</v>
          </cell>
          <cell r="AC3">
            <v>1</v>
          </cell>
          <cell r="AD3">
            <v>2</v>
          </cell>
          <cell r="AE3">
            <v>3</v>
          </cell>
          <cell r="AF3">
            <v>4</v>
          </cell>
          <cell r="AG3">
            <v>5</v>
          </cell>
          <cell r="AH3">
            <v>6</v>
          </cell>
          <cell r="AI3">
            <v>7</v>
          </cell>
          <cell r="AJ3">
            <v>8</v>
          </cell>
          <cell r="AK3">
            <v>9</v>
          </cell>
          <cell r="AL3">
            <v>10</v>
          </cell>
          <cell r="AM3">
            <v>11</v>
          </cell>
          <cell r="AN3">
            <v>12</v>
          </cell>
          <cell r="AO3">
            <v>1</v>
          </cell>
          <cell r="AP3">
            <v>2</v>
          </cell>
          <cell r="AQ3">
            <v>3</v>
          </cell>
          <cell r="AR3">
            <v>4</v>
          </cell>
          <cell r="AS3">
            <v>5</v>
          </cell>
          <cell r="AT3">
            <v>6</v>
          </cell>
          <cell r="AU3">
            <v>7</v>
          </cell>
          <cell r="AV3">
            <v>8</v>
          </cell>
          <cell r="AW3">
            <v>9</v>
          </cell>
          <cell r="AX3">
            <v>10</v>
          </cell>
          <cell r="AY3">
            <v>11</v>
          </cell>
          <cell r="AZ3">
            <v>12</v>
          </cell>
          <cell r="BA3">
            <v>1</v>
          </cell>
          <cell r="BB3">
            <v>2</v>
          </cell>
          <cell r="BC3">
            <v>3</v>
          </cell>
          <cell r="BD3">
            <v>4</v>
          </cell>
          <cell r="BE3">
            <v>5</v>
          </cell>
          <cell r="BF3">
            <v>6</v>
          </cell>
          <cell r="BG3">
            <v>7</v>
          </cell>
          <cell r="BH3">
            <v>8</v>
          </cell>
          <cell r="BI3">
            <v>9</v>
          </cell>
          <cell r="BJ3">
            <v>10</v>
          </cell>
          <cell r="BK3">
            <v>11</v>
          </cell>
          <cell r="BL3">
            <v>12</v>
          </cell>
          <cell r="BM3">
            <v>1</v>
          </cell>
          <cell r="BN3">
            <v>2</v>
          </cell>
          <cell r="BO3">
            <v>3</v>
          </cell>
          <cell r="BP3">
            <v>4</v>
          </cell>
          <cell r="BQ3">
            <v>5</v>
          </cell>
          <cell r="BR3">
            <v>6</v>
          </cell>
          <cell r="BS3">
            <v>7</v>
          </cell>
          <cell r="BT3">
            <v>8</v>
          </cell>
          <cell r="BU3">
            <v>9</v>
          </cell>
          <cell r="BV3">
            <v>10</v>
          </cell>
          <cell r="BW3">
            <v>11</v>
          </cell>
          <cell r="BX3">
            <v>12</v>
          </cell>
          <cell r="BY3">
            <v>1</v>
          </cell>
          <cell r="BZ3">
            <v>2</v>
          </cell>
          <cell r="CA3">
            <v>3</v>
          </cell>
          <cell r="CB3">
            <v>4</v>
          </cell>
          <cell r="CC3">
            <v>5</v>
          </cell>
          <cell r="CD3">
            <v>6</v>
          </cell>
          <cell r="CE3">
            <v>7</v>
          </cell>
          <cell r="CF3">
            <v>8</v>
          </cell>
          <cell r="CG3">
            <v>9</v>
          </cell>
        </row>
        <row r="4">
          <cell r="C4">
            <v>33909</v>
          </cell>
          <cell r="D4">
            <v>33939</v>
          </cell>
          <cell r="E4">
            <v>33970</v>
          </cell>
          <cell r="F4">
            <v>34001</v>
          </cell>
          <cell r="G4">
            <v>34029</v>
          </cell>
          <cell r="H4">
            <v>34060</v>
          </cell>
          <cell r="I4">
            <v>34090</v>
          </cell>
          <cell r="J4">
            <v>34121</v>
          </cell>
          <cell r="K4">
            <v>34151</v>
          </cell>
          <cell r="L4">
            <v>34182</v>
          </cell>
          <cell r="M4">
            <v>34213</v>
          </cell>
          <cell r="N4">
            <v>34243</v>
          </cell>
          <cell r="O4">
            <v>34274</v>
          </cell>
          <cell r="P4">
            <v>34304</v>
          </cell>
          <cell r="Q4">
            <v>34335</v>
          </cell>
          <cell r="R4">
            <v>34366</v>
          </cell>
          <cell r="S4">
            <v>34394</v>
          </cell>
          <cell r="T4">
            <v>34425</v>
          </cell>
          <cell r="U4">
            <v>34455</v>
          </cell>
          <cell r="V4">
            <v>34486</v>
          </cell>
          <cell r="W4">
            <v>34516</v>
          </cell>
          <cell r="X4">
            <v>34547</v>
          </cell>
          <cell r="Y4">
            <v>34578</v>
          </cell>
          <cell r="Z4">
            <v>34608</v>
          </cell>
          <cell r="AA4">
            <v>34639</v>
          </cell>
          <cell r="AB4">
            <v>34669</v>
          </cell>
          <cell r="AC4">
            <v>34700</v>
          </cell>
          <cell r="AD4">
            <v>34731</v>
          </cell>
          <cell r="AE4">
            <v>34759</v>
          </cell>
          <cell r="AF4">
            <v>34790</v>
          </cell>
          <cell r="AG4">
            <v>34820</v>
          </cell>
          <cell r="AH4">
            <v>34851</v>
          </cell>
          <cell r="AI4">
            <v>34881</v>
          </cell>
          <cell r="AJ4">
            <v>34912</v>
          </cell>
          <cell r="AK4">
            <v>34943</v>
          </cell>
          <cell r="AL4">
            <v>34973</v>
          </cell>
          <cell r="AM4">
            <v>35004</v>
          </cell>
          <cell r="AN4">
            <v>35034</v>
          </cell>
          <cell r="AO4">
            <v>35065</v>
          </cell>
          <cell r="AP4">
            <v>35096</v>
          </cell>
          <cell r="AQ4">
            <v>35125</v>
          </cell>
          <cell r="AR4">
            <v>35156</v>
          </cell>
          <cell r="AS4">
            <v>35186</v>
          </cell>
          <cell r="AT4">
            <v>35217</v>
          </cell>
          <cell r="AU4">
            <v>35247</v>
          </cell>
          <cell r="AV4">
            <v>35278</v>
          </cell>
          <cell r="AW4">
            <v>35309</v>
          </cell>
          <cell r="AX4">
            <v>35339</v>
          </cell>
          <cell r="AY4">
            <v>35370</v>
          </cell>
          <cell r="AZ4">
            <v>35400</v>
          </cell>
          <cell r="BA4">
            <v>35431</v>
          </cell>
          <cell r="BB4">
            <v>35462</v>
          </cell>
          <cell r="BC4">
            <v>35490</v>
          </cell>
          <cell r="BD4">
            <v>35521</v>
          </cell>
          <cell r="BE4">
            <v>35551</v>
          </cell>
          <cell r="BF4">
            <v>35582</v>
          </cell>
          <cell r="BG4">
            <v>35612</v>
          </cell>
          <cell r="BH4">
            <v>35643</v>
          </cell>
          <cell r="BI4">
            <v>35674</v>
          </cell>
          <cell r="BJ4">
            <v>35704</v>
          </cell>
          <cell r="BK4">
            <v>35735</v>
          </cell>
          <cell r="BL4">
            <v>35765</v>
          </cell>
          <cell r="BM4">
            <v>35796</v>
          </cell>
          <cell r="BN4">
            <v>35827</v>
          </cell>
          <cell r="BO4">
            <v>35855</v>
          </cell>
          <cell r="BP4">
            <v>35886</v>
          </cell>
          <cell r="BQ4">
            <v>35916</v>
          </cell>
          <cell r="BR4">
            <v>35947</v>
          </cell>
          <cell r="BS4">
            <v>35977</v>
          </cell>
          <cell r="BT4">
            <v>36008</v>
          </cell>
          <cell r="BU4">
            <v>36039</v>
          </cell>
          <cell r="BV4">
            <v>36069</v>
          </cell>
          <cell r="BW4">
            <v>36100</v>
          </cell>
          <cell r="BX4">
            <v>36130</v>
          </cell>
          <cell r="BY4">
            <v>36161</v>
          </cell>
          <cell r="BZ4">
            <v>36192</v>
          </cell>
          <cell r="CA4">
            <v>36220</v>
          </cell>
          <cell r="CB4">
            <v>36251</v>
          </cell>
          <cell r="CC4">
            <v>36281</v>
          </cell>
          <cell r="CD4">
            <v>36312</v>
          </cell>
          <cell r="CE4">
            <v>36342</v>
          </cell>
          <cell r="CF4">
            <v>36373</v>
          </cell>
          <cell r="CG4">
            <v>36404</v>
          </cell>
        </row>
        <row r="5">
          <cell r="A5" t="str">
            <v>3D</v>
          </cell>
          <cell r="B5">
            <v>2</v>
          </cell>
          <cell r="C5">
            <v>2.46</v>
          </cell>
          <cell r="D5">
            <v>2.3719999999999999</v>
          </cell>
          <cell r="E5">
            <v>2.0419999999999998</v>
          </cell>
          <cell r="F5">
            <v>1.647</v>
          </cell>
          <cell r="G5">
            <v>1.859</v>
          </cell>
          <cell r="H5">
            <v>2.1280000000000001</v>
          </cell>
          <cell r="I5">
            <v>2.706</v>
          </cell>
          <cell r="J5">
            <v>2.2519999999999998</v>
          </cell>
          <cell r="K5">
            <v>2.06633333333333</v>
          </cell>
          <cell r="L5">
            <v>2.1040000000000001</v>
          </cell>
          <cell r="M5">
            <v>2.4263333333333299</v>
          </cell>
          <cell r="N5">
            <v>2.1539999999999999</v>
          </cell>
          <cell r="O5">
            <v>2.1323333333333334</v>
          </cell>
          <cell r="P5">
            <v>2.3386666666666667</v>
          </cell>
          <cell r="Q5">
            <v>2.0653333333333332</v>
          </cell>
          <cell r="R5">
            <v>2.3416666666666668</v>
          </cell>
          <cell r="S5">
            <v>2.3826666666666667</v>
          </cell>
          <cell r="T5">
            <v>2.0550000000000002</v>
          </cell>
          <cell r="U5">
            <v>2.1156666666666668</v>
          </cell>
          <cell r="V5">
            <v>1.9039999999999999</v>
          </cell>
          <cell r="W5">
            <v>2.0226666666666668</v>
          </cell>
          <cell r="X5">
            <v>1.8333333333333333</v>
          </cell>
          <cell r="Y5">
            <v>1.5403333333333333</v>
          </cell>
          <cell r="Z5">
            <v>1.4453333333333334</v>
          </cell>
          <cell r="AA5">
            <v>1.61</v>
          </cell>
          <cell r="AB5">
            <v>1.6546666666666667</v>
          </cell>
          <cell r="AC5">
            <v>1.6013333333333333</v>
          </cell>
          <cell r="AD5">
            <v>1.41</v>
          </cell>
          <cell r="AE5">
            <v>1.4153333333333333</v>
          </cell>
          <cell r="AF5">
            <v>1.56</v>
          </cell>
          <cell r="AG5">
            <v>1.6943333333333332</v>
          </cell>
          <cell r="AH5">
            <v>1.7423333333333333</v>
          </cell>
          <cell r="AI5">
            <v>1.554</v>
          </cell>
          <cell r="AJ5">
            <v>1.429</v>
          </cell>
          <cell r="AK5">
            <v>1.57</v>
          </cell>
          <cell r="AL5">
            <v>1.6180000000000001</v>
          </cell>
          <cell r="AM5">
            <v>1.7629999999999999</v>
          </cell>
          <cell r="AN5">
            <v>2.141</v>
          </cell>
          <cell r="AO5">
            <v>3.129</v>
          </cell>
          <cell r="AP5">
            <v>2.4260000000000002</v>
          </cell>
          <cell r="AQ5">
            <v>2.6053000000000002</v>
          </cell>
          <cell r="AR5">
            <v>2.794</v>
          </cell>
          <cell r="AS5">
            <v>2.2839999999999998</v>
          </cell>
          <cell r="AT5">
            <v>2.3422999999999998</v>
          </cell>
          <cell r="AU5">
            <v>2.6343000000000001</v>
          </cell>
          <cell r="AV5">
            <v>2.3570000000000002</v>
          </cell>
          <cell r="AW5">
            <v>1.9079999999999999</v>
          </cell>
          <cell r="AX5">
            <v>1.887</v>
          </cell>
          <cell r="AY5">
            <v>2.5710000000000002</v>
          </cell>
          <cell r="AZ5">
            <v>3.6110000000000002</v>
          </cell>
          <cell r="BA5">
            <v>4.2539999999999996</v>
          </cell>
          <cell r="BB5">
            <v>2.8679999999999999</v>
          </cell>
          <cell r="BC5">
            <v>1.879</v>
          </cell>
          <cell r="BD5">
            <v>1.8460000000000001</v>
          </cell>
          <cell r="BE5">
            <v>2.0979999999999999</v>
          </cell>
          <cell r="BF5">
            <v>2.331</v>
          </cell>
          <cell r="BG5">
            <v>2.2189999999999999</v>
          </cell>
          <cell r="BH5">
            <v>2.1629999999999998</v>
          </cell>
          <cell r="BI5">
            <v>2.5059999999999998</v>
          </cell>
          <cell r="BJ5">
            <v>3.2210000000000001</v>
          </cell>
          <cell r="BK5">
            <v>3.5059999999999998</v>
          </cell>
          <cell r="BL5">
            <v>2.6819999999999999</v>
          </cell>
          <cell r="BM5">
            <v>2.2690000000000001</v>
          </cell>
          <cell r="BN5">
            <v>2.036</v>
          </cell>
          <cell r="BO5">
            <v>2.2270000000000003</v>
          </cell>
          <cell r="BP5">
            <v>2.3340000000000001</v>
          </cell>
          <cell r="BQ5">
            <v>2.2900000000000005</v>
          </cell>
          <cell r="BR5">
            <v>2.0686666666666667</v>
          </cell>
          <cell r="BS5">
            <v>2.3525999999999998</v>
          </cell>
          <cell r="BT5">
            <v>1.9530000000000001</v>
          </cell>
          <cell r="BU5">
            <v>1.754</v>
          </cell>
          <cell r="BV5">
            <v>2.13</v>
          </cell>
          <cell r="BW5">
            <v>2.1259999999999999</v>
          </cell>
          <cell r="BX5">
            <v>2.1360000000000001</v>
          </cell>
          <cell r="BY5">
            <v>1.8109999999999999</v>
          </cell>
          <cell r="BZ5">
            <v>1.746</v>
          </cell>
          <cell r="CA5">
            <v>1.6933333333333334</v>
          </cell>
          <cell r="CB5">
            <v>1.8470000000000002</v>
          </cell>
          <cell r="CC5">
            <v>2.3260000000000001</v>
          </cell>
          <cell r="CD5">
            <v>2.2010000000000001</v>
          </cell>
          <cell r="CE5">
            <v>2.2719999999999998</v>
          </cell>
          <cell r="CF5">
            <v>2.5720000000000001</v>
          </cell>
          <cell r="CG5">
            <v>2.9630000000000001</v>
          </cell>
        </row>
        <row r="6">
          <cell r="A6" t="str">
            <v>FD</v>
          </cell>
          <cell r="B6">
            <v>3</v>
          </cell>
          <cell r="C6">
            <v>2.4990000000000001</v>
          </cell>
          <cell r="D6">
            <v>2.3319999999999999</v>
          </cell>
          <cell r="E6">
            <v>2.0030000000000001</v>
          </cell>
          <cell r="F6">
            <v>1.6339999999999999</v>
          </cell>
          <cell r="G6">
            <v>1.9059999999999999</v>
          </cell>
          <cell r="H6">
            <v>2.2240000000000002</v>
          </cell>
          <cell r="I6">
            <v>2.758</v>
          </cell>
          <cell r="J6">
            <v>2.1190000000000002</v>
          </cell>
          <cell r="K6">
            <v>1.9179999999999999</v>
          </cell>
          <cell r="L6">
            <v>2.121</v>
          </cell>
          <cell r="M6">
            <v>2.4009999999999998</v>
          </cell>
          <cell r="N6">
            <v>2.0659999999999998</v>
          </cell>
          <cell r="O6">
            <v>2.1549999999999998</v>
          </cell>
          <cell r="P6">
            <v>2.3849999999999998</v>
          </cell>
          <cell r="Q6">
            <v>2.0219999999999998</v>
          </cell>
          <cell r="R6">
            <v>2.4700000000000002</v>
          </cell>
          <cell r="S6">
            <v>2.4180000000000001</v>
          </cell>
          <cell r="T6">
            <v>1.9810000000000001</v>
          </cell>
          <cell r="U6">
            <v>2.0760000000000001</v>
          </cell>
          <cell r="V6">
            <v>1.851</v>
          </cell>
          <cell r="W6">
            <v>1.966</v>
          </cell>
          <cell r="X6">
            <v>1.7889999999999999</v>
          </cell>
          <cell r="Y6">
            <v>1.484</v>
          </cell>
          <cell r="Z6">
            <v>1.4059999999999999</v>
          </cell>
          <cell r="AA6">
            <v>1.6830000000000001</v>
          </cell>
          <cell r="AB6">
            <v>1.661</v>
          </cell>
          <cell r="AC6">
            <v>1.639</v>
          </cell>
          <cell r="AD6">
            <v>1.4159999999999999</v>
          </cell>
          <cell r="AE6">
            <v>1.4279999999999999</v>
          </cell>
          <cell r="AF6">
            <v>1.5660000000000001</v>
          </cell>
          <cell r="AG6">
            <v>1.6719999999999999</v>
          </cell>
          <cell r="AH6">
            <v>1.7569999999999999</v>
          </cell>
          <cell r="AI6">
            <v>1.532</v>
          </cell>
          <cell r="AJ6">
            <v>1.385</v>
          </cell>
          <cell r="AK6">
            <v>1.575</v>
          </cell>
          <cell r="AL6">
            <v>1.6439999999999999</v>
          </cell>
          <cell r="AM6">
            <v>1.772</v>
          </cell>
          <cell r="AN6">
            <v>2.2410000000000001</v>
          </cell>
          <cell r="AO6">
            <v>3.448</v>
          </cell>
          <cell r="AP6">
            <v>2.34</v>
          </cell>
          <cell r="AQ6">
            <v>2.746</v>
          </cell>
          <cell r="AR6">
            <v>2.7789999999999999</v>
          </cell>
          <cell r="AS6">
            <v>2.2410000000000001</v>
          </cell>
          <cell r="AT6">
            <v>2.3610000000000002</v>
          </cell>
          <cell r="AU6">
            <v>2.6459999999999999</v>
          </cell>
          <cell r="AV6">
            <v>2.3220000000000001</v>
          </cell>
          <cell r="AW6">
            <v>1.853</v>
          </cell>
          <cell r="AX6">
            <v>1.8280000000000001</v>
          </cell>
          <cell r="AY6">
            <v>2.6520000000000001</v>
          </cell>
          <cell r="AZ6">
            <v>3.9009999999999998</v>
          </cell>
          <cell r="BA6">
            <v>3.9980000000000002</v>
          </cell>
          <cell r="BB6">
            <v>2.9860000000000002</v>
          </cell>
          <cell r="BC6">
            <v>1.78</v>
          </cell>
          <cell r="BD6">
            <v>1.8069999999999999</v>
          </cell>
          <cell r="BE6">
            <v>2.1219999999999999</v>
          </cell>
          <cell r="BF6">
            <v>2.3460000000000001</v>
          </cell>
          <cell r="BG6">
            <v>2.145</v>
          </cell>
          <cell r="BH6">
            <v>2.161</v>
          </cell>
          <cell r="BI6">
            <v>2.5150000000000001</v>
          </cell>
          <cell r="BJ6">
            <v>3.3460000000000001</v>
          </cell>
          <cell r="BK6">
            <v>3.266</v>
          </cell>
          <cell r="BL6">
            <v>2.577</v>
          </cell>
          <cell r="BM6">
            <v>2.3090000000000002</v>
          </cell>
          <cell r="BN6">
            <v>2.0009999999999999</v>
          </cell>
          <cell r="BO6">
            <v>2.286</v>
          </cell>
          <cell r="BP6">
            <v>2.2999999999999998</v>
          </cell>
          <cell r="BQ6">
            <v>2.262</v>
          </cell>
          <cell r="BR6">
            <v>2.0169999999999999</v>
          </cell>
          <cell r="BS6">
            <v>2.3580000000000001</v>
          </cell>
          <cell r="BT6">
            <v>1.9419999999999999</v>
          </cell>
          <cell r="BU6">
            <v>1.6719999999999999</v>
          </cell>
          <cell r="BV6">
            <v>2.0310000000000001</v>
          </cell>
          <cell r="BW6">
            <v>1.972</v>
          </cell>
          <cell r="BX6">
            <v>2.149</v>
          </cell>
          <cell r="BY6">
            <v>1.7649999999999999</v>
          </cell>
          <cell r="BZ6">
            <v>1.81</v>
          </cell>
          <cell r="CA6">
            <v>1.6659999999999999</v>
          </cell>
          <cell r="CB6">
            <v>1.8520000000000001</v>
          </cell>
          <cell r="CC6">
            <v>2.3479999999999999</v>
          </cell>
          <cell r="CD6">
            <v>2.226</v>
          </cell>
          <cell r="CE6">
            <v>2.262</v>
          </cell>
          <cell r="CF6">
            <v>2.601</v>
          </cell>
          <cell r="CG6">
            <v>2.9119999999999999</v>
          </cell>
        </row>
        <row r="7">
          <cell r="A7" t="str">
            <v>AECO-NT</v>
          </cell>
          <cell r="B7">
            <v>4</v>
          </cell>
          <cell r="C7">
            <v>1.1599999999999999</v>
          </cell>
          <cell r="D7">
            <v>1.48</v>
          </cell>
          <cell r="E7">
            <v>2.44</v>
          </cell>
          <cell r="F7">
            <v>1.46</v>
          </cell>
          <cell r="G7">
            <v>1.84</v>
          </cell>
          <cell r="H7">
            <v>1.77</v>
          </cell>
          <cell r="I7">
            <v>2.58</v>
          </cell>
          <cell r="J7">
            <v>1.35</v>
          </cell>
          <cell r="K7">
            <v>1.46</v>
          </cell>
          <cell r="L7">
            <v>1.23</v>
          </cell>
          <cell r="M7">
            <v>1.5</v>
          </cell>
          <cell r="N7">
            <v>1.39</v>
          </cell>
          <cell r="O7">
            <v>1.7927</v>
          </cell>
          <cell r="P7">
            <v>2.3016999999999999</v>
          </cell>
          <cell r="Q7">
            <v>1.9076</v>
          </cell>
          <cell r="R7">
            <v>1.6994</v>
          </cell>
          <cell r="S7">
            <v>1.9172</v>
          </cell>
          <cell r="T7">
            <v>1.5564</v>
          </cell>
          <cell r="U7">
            <v>1.5331999999999999</v>
          </cell>
          <cell r="V7">
            <v>1.4004000000000001</v>
          </cell>
          <cell r="W7">
            <v>1.4108000000000001</v>
          </cell>
          <cell r="X7">
            <v>1.3223100000000001</v>
          </cell>
          <cell r="Y7">
            <v>1.2150000000000001</v>
          </cell>
          <cell r="Z7">
            <v>1.1120000000000001</v>
          </cell>
          <cell r="AA7">
            <v>1.3184</v>
          </cell>
          <cell r="AB7">
            <v>1.3363</v>
          </cell>
          <cell r="AC7">
            <v>0.96619999999999995</v>
          </cell>
          <cell r="AD7">
            <v>0.72240000000000004</v>
          </cell>
          <cell r="AE7">
            <v>0.68799999999999994</v>
          </cell>
          <cell r="AF7">
            <v>0.76910000000000001</v>
          </cell>
          <cell r="AG7">
            <v>0.92100000000000004</v>
          </cell>
          <cell r="AH7">
            <v>0.94450000000000001</v>
          </cell>
          <cell r="AI7">
            <v>0.8347</v>
          </cell>
          <cell r="AJ7">
            <v>0.75749999999999995</v>
          </cell>
          <cell r="AK7">
            <v>0.81489999999999996</v>
          </cell>
          <cell r="AL7">
            <v>0.85150000000000003</v>
          </cell>
          <cell r="AM7">
            <v>0.94089999999999996</v>
          </cell>
          <cell r="AN7">
            <v>0.95679999999999998</v>
          </cell>
          <cell r="AO7">
            <v>1.0471999999999999</v>
          </cell>
          <cell r="AP7">
            <v>1.1489</v>
          </cell>
          <cell r="AQ7">
            <v>1.1039000000000001</v>
          </cell>
          <cell r="AR7">
            <v>1.0159</v>
          </cell>
          <cell r="AS7">
            <v>0.91900000000000004</v>
          </cell>
          <cell r="AT7">
            <v>0.82889999999999997</v>
          </cell>
          <cell r="AU7">
            <v>0.84</v>
          </cell>
          <cell r="AV7">
            <v>0.89829999999999999</v>
          </cell>
          <cell r="AW7">
            <v>0.87909999999999999</v>
          </cell>
          <cell r="AX7">
            <v>0.90549999999999997</v>
          </cell>
          <cell r="AY7">
            <v>1.1100000000000001</v>
          </cell>
          <cell r="AZ7">
            <v>1.58</v>
          </cell>
          <cell r="BA7">
            <v>1.68</v>
          </cell>
          <cell r="BC7">
            <v>1.78</v>
          </cell>
        </row>
        <row r="8">
          <cell r="A8" t="str">
            <v>ANR-LA</v>
          </cell>
          <cell r="B8">
            <v>5</v>
          </cell>
          <cell r="C8">
            <v>2.31</v>
          </cell>
          <cell r="D8">
            <v>2.2799999999999998</v>
          </cell>
          <cell r="E8">
            <v>1.9</v>
          </cell>
          <cell r="F8">
            <v>1.62</v>
          </cell>
          <cell r="G8">
            <v>1.85</v>
          </cell>
          <cell r="H8">
            <v>2.13</v>
          </cell>
          <cell r="I8">
            <v>2.7</v>
          </cell>
          <cell r="J8">
            <v>2.08</v>
          </cell>
          <cell r="K8">
            <v>1.95</v>
          </cell>
          <cell r="L8">
            <v>2.0299999999999998</v>
          </cell>
          <cell r="M8">
            <v>2.37</v>
          </cell>
          <cell r="N8">
            <v>2.06</v>
          </cell>
          <cell r="O8">
            <v>2.09</v>
          </cell>
          <cell r="P8">
            <v>2.31</v>
          </cell>
          <cell r="Q8">
            <v>2.04</v>
          </cell>
          <cell r="R8">
            <v>2.33</v>
          </cell>
          <cell r="S8">
            <v>2.3199999999999998</v>
          </cell>
          <cell r="T8">
            <v>1.93</v>
          </cell>
          <cell r="U8">
            <v>2.0099999999999998</v>
          </cell>
          <cell r="V8">
            <v>1.74</v>
          </cell>
          <cell r="W8">
            <v>1.85</v>
          </cell>
          <cell r="X8">
            <v>1.7</v>
          </cell>
          <cell r="Y8">
            <v>1.4</v>
          </cell>
          <cell r="Z8">
            <v>1.35</v>
          </cell>
          <cell r="AA8">
            <v>1.61</v>
          </cell>
          <cell r="AB8">
            <v>1.6</v>
          </cell>
          <cell r="AC8">
            <v>1.54</v>
          </cell>
          <cell r="AD8">
            <v>1.35</v>
          </cell>
          <cell r="AE8">
            <v>1.37</v>
          </cell>
          <cell r="AF8">
            <v>1.48</v>
          </cell>
          <cell r="AG8">
            <v>1.61</v>
          </cell>
          <cell r="AH8">
            <v>1.66</v>
          </cell>
          <cell r="AI8">
            <v>1.45</v>
          </cell>
          <cell r="AJ8">
            <v>1.3</v>
          </cell>
          <cell r="AK8">
            <v>1.51</v>
          </cell>
          <cell r="AL8">
            <v>1.6</v>
          </cell>
          <cell r="AM8">
            <v>1.76</v>
          </cell>
          <cell r="AN8">
            <v>2.1800000000000002</v>
          </cell>
          <cell r="AO8">
            <v>3.25</v>
          </cell>
          <cell r="AP8">
            <v>2.2999999999999998</v>
          </cell>
          <cell r="AQ8">
            <v>2.73</v>
          </cell>
          <cell r="AR8">
            <v>2.66</v>
          </cell>
          <cell r="AS8">
            <v>2.12</v>
          </cell>
          <cell r="AT8">
            <v>2.25</v>
          </cell>
          <cell r="AU8">
            <v>2.5499999999999998</v>
          </cell>
          <cell r="AV8">
            <v>2.2200000000000002</v>
          </cell>
          <cell r="AW8">
            <v>1.74</v>
          </cell>
          <cell r="AX8">
            <v>1.75</v>
          </cell>
          <cell r="AY8">
            <v>2.63</v>
          </cell>
          <cell r="AZ8">
            <v>3.74</v>
          </cell>
          <cell r="BA8">
            <v>3.85</v>
          </cell>
          <cell r="BB8">
            <v>2.81</v>
          </cell>
          <cell r="BC8">
            <v>1.78</v>
          </cell>
          <cell r="BD8">
            <v>1.75</v>
          </cell>
          <cell r="BE8">
            <v>2.06</v>
          </cell>
          <cell r="BF8">
            <v>2.2400000000000002</v>
          </cell>
          <cell r="BG8">
            <v>2.08</v>
          </cell>
          <cell r="BH8">
            <v>2.12</v>
          </cell>
          <cell r="BI8">
            <v>2.4900000000000002</v>
          </cell>
          <cell r="BJ8">
            <v>3.06</v>
          </cell>
          <cell r="BK8">
            <v>3.18</v>
          </cell>
          <cell r="BL8">
            <v>2.4300000000000002</v>
          </cell>
          <cell r="BM8">
            <v>2.17</v>
          </cell>
          <cell r="BN8">
            <v>1.91</v>
          </cell>
          <cell r="BO8">
            <v>2.1800000000000002</v>
          </cell>
          <cell r="BP8">
            <v>2.2200000000000002</v>
          </cell>
          <cell r="BQ8">
            <v>2.19</v>
          </cell>
          <cell r="BR8">
            <v>1.95</v>
          </cell>
          <cell r="BS8">
            <v>2.27</v>
          </cell>
          <cell r="BT8">
            <v>1.83</v>
          </cell>
          <cell r="BU8">
            <v>1.51</v>
          </cell>
          <cell r="BV8">
            <v>1.94</v>
          </cell>
          <cell r="BW8">
            <v>1.91</v>
          </cell>
          <cell r="BX8">
            <v>2.06</v>
          </cell>
          <cell r="BY8">
            <v>1.71</v>
          </cell>
          <cell r="BZ8">
            <v>1.75</v>
          </cell>
          <cell r="CA8">
            <v>1.58</v>
          </cell>
          <cell r="CB8">
            <v>1.83</v>
          </cell>
          <cell r="CC8">
            <v>2.2999999999999998</v>
          </cell>
          <cell r="CD8">
            <v>2.16</v>
          </cell>
          <cell r="CE8">
            <v>2.2000000000000002</v>
          </cell>
          <cell r="CF8">
            <v>2.5499999999999998</v>
          </cell>
          <cell r="CG8">
            <v>2.83</v>
          </cell>
        </row>
        <row r="9">
          <cell r="A9" t="str">
            <v>ANR-OK</v>
          </cell>
          <cell r="B9">
            <v>6</v>
          </cell>
          <cell r="C9">
            <v>2.15</v>
          </cell>
          <cell r="D9">
            <v>2.0499999999999998</v>
          </cell>
          <cell r="E9">
            <v>1.9</v>
          </cell>
          <cell r="F9">
            <v>1.6</v>
          </cell>
          <cell r="G9">
            <v>1.82</v>
          </cell>
          <cell r="H9">
            <v>2.08</v>
          </cell>
          <cell r="I9">
            <v>2.62</v>
          </cell>
          <cell r="J9">
            <v>1.95</v>
          </cell>
          <cell r="K9">
            <v>1.79</v>
          </cell>
          <cell r="L9">
            <v>1.91</v>
          </cell>
          <cell r="M9">
            <v>2.2000000000000002</v>
          </cell>
          <cell r="N9">
            <v>1.9</v>
          </cell>
          <cell r="O9">
            <v>1.9</v>
          </cell>
          <cell r="P9">
            <v>2.23</v>
          </cell>
          <cell r="Q9">
            <v>1.96</v>
          </cell>
          <cell r="R9">
            <v>2.12</v>
          </cell>
          <cell r="S9">
            <v>2.14</v>
          </cell>
          <cell r="T9">
            <v>1.81</v>
          </cell>
          <cell r="U9">
            <v>1.84</v>
          </cell>
          <cell r="V9">
            <v>1.59</v>
          </cell>
          <cell r="W9">
            <v>1.67</v>
          </cell>
          <cell r="X9">
            <v>1.57</v>
          </cell>
          <cell r="Y9">
            <v>1.4</v>
          </cell>
          <cell r="Z9">
            <v>1.3</v>
          </cell>
          <cell r="AA9">
            <v>1.51</v>
          </cell>
          <cell r="AB9">
            <v>1.6</v>
          </cell>
          <cell r="AC9">
            <v>1.51</v>
          </cell>
          <cell r="AD9">
            <v>1.27</v>
          </cell>
          <cell r="AE9">
            <v>1.26</v>
          </cell>
          <cell r="AF9">
            <v>1.34</v>
          </cell>
          <cell r="AG9">
            <v>1.45</v>
          </cell>
          <cell r="AH9">
            <v>1.46</v>
          </cell>
          <cell r="AI9">
            <v>1.25</v>
          </cell>
          <cell r="AJ9">
            <v>1.19</v>
          </cell>
          <cell r="AK9">
            <v>1.41</v>
          </cell>
          <cell r="AL9">
            <v>1.5</v>
          </cell>
          <cell r="AM9">
            <v>1.61</v>
          </cell>
          <cell r="AN9">
            <v>1.88</v>
          </cell>
          <cell r="AO9">
            <v>2.02</v>
          </cell>
          <cell r="AP9">
            <v>1.79</v>
          </cell>
          <cell r="AQ9">
            <v>1.9</v>
          </cell>
          <cell r="AR9">
            <v>2.14</v>
          </cell>
          <cell r="AS9">
            <v>2.0099999999999998</v>
          </cell>
          <cell r="AT9">
            <v>2.0499999999999998</v>
          </cell>
          <cell r="AU9">
            <v>2.1800000000000002</v>
          </cell>
          <cell r="AV9">
            <v>2.14</v>
          </cell>
          <cell r="AW9">
            <v>1.67</v>
          </cell>
          <cell r="AX9">
            <v>1.69</v>
          </cell>
          <cell r="AY9">
            <v>2.5</v>
          </cell>
          <cell r="AZ9">
            <v>3.6</v>
          </cell>
          <cell r="BA9">
            <v>4.2</v>
          </cell>
          <cell r="BB9">
            <v>2.77</v>
          </cell>
          <cell r="BC9">
            <v>1.63</v>
          </cell>
          <cell r="BD9">
            <v>1.71</v>
          </cell>
          <cell r="BE9">
            <v>1.96</v>
          </cell>
          <cell r="BF9">
            <v>2.13</v>
          </cell>
          <cell r="BG9">
            <v>2.0099999999999998</v>
          </cell>
          <cell r="BH9">
            <v>2.06</v>
          </cell>
          <cell r="BI9">
            <v>2.42</v>
          </cell>
          <cell r="BJ9">
            <v>3</v>
          </cell>
          <cell r="BK9">
            <v>3.16</v>
          </cell>
          <cell r="BL9">
            <v>2.35</v>
          </cell>
          <cell r="BM9">
            <v>2.16</v>
          </cell>
          <cell r="BN9">
            <v>1.92</v>
          </cell>
          <cell r="BO9">
            <v>2.15</v>
          </cell>
          <cell r="BP9">
            <v>2.19</v>
          </cell>
          <cell r="BQ9">
            <v>2.1800000000000002</v>
          </cell>
          <cell r="BR9">
            <v>1.95</v>
          </cell>
          <cell r="BS9">
            <v>2.27</v>
          </cell>
          <cell r="BT9">
            <v>1.84</v>
          </cell>
          <cell r="BU9">
            <v>1.56</v>
          </cell>
          <cell r="BV9">
            <v>1.92</v>
          </cell>
          <cell r="BW9">
            <v>1.96</v>
          </cell>
          <cell r="BX9">
            <v>2.06</v>
          </cell>
          <cell r="BY9">
            <v>1.78</v>
          </cell>
          <cell r="BZ9">
            <v>1.76</v>
          </cell>
          <cell r="CA9">
            <v>1.57</v>
          </cell>
          <cell r="CB9">
            <v>1.75</v>
          </cell>
          <cell r="CC9">
            <v>2.23</v>
          </cell>
          <cell r="CD9">
            <v>2.12</v>
          </cell>
          <cell r="CE9">
            <v>2.1800000000000002</v>
          </cell>
          <cell r="CF9">
            <v>2.5099999999999998</v>
          </cell>
          <cell r="CG9">
            <v>2.77</v>
          </cell>
        </row>
        <row r="10">
          <cell r="A10" t="str">
            <v>CG-APP</v>
          </cell>
          <cell r="B10">
            <v>7</v>
          </cell>
          <cell r="C10">
            <v>2.62</v>
          </cell>
          <cell r="D10">
            <v>2.7</v>
          </cell>
          <cell r="E10">
            <v>2.4300000000000002</v>
          </cell>
          <cell r="F10">
            <v>1.95</v>
          </cell>
          <cell r="G10">
            <v>2.17</v>
          </cell>
          <cell r="H10">
            <v>2.34</v>
          </cell>
          <cell r="I10">
            <v>2.93</v>
          </cell>
          <cell r="J10">
            <v>2.2999999999999998</v>
          </cell>
          <cell r="K10">
            <v>2.1</v>
          </cell>
          <cell r="L10">
            <v>2.2000000000000002</v>
          </cell>
          <cell r="M10">
            <v>2.52</v>
          </cell>
          <cell r="N10">
            <v>2.2000000000000002</v>
          </cell>
          <cell r="O10">
            <v>2.31</v>
          </cell>
          <cell r="P10">
            <v>2.63</v>
          </cell>
          <cell r="Q10">
            <v>2.2999999999999998</v>
          </cell>
          <cell r="R10">
            <v>2.68</v>
          </cell>
          <cell r="S10">
            <v>2.78</v>
          </cell>
          <cell r="T10">
            <v>2.2400000000000002</v>
          </cell>
          <cell r="U10">
            <v>2.2799999999999998</v>
          </cell>
          <cell r="V10">
            <v>1.98</v>
          </cell>
          <cell r="W10">
            <v>2.06</v>
          </cell>
          <cell r="X10">
            <v>1.88</v>
          </cell>
          <cell r="Y10">
            <v>1.56</v>
          </cell>
          <cell r="Z10">
            <v>1.51</v>
          </cell>
          <cell r="AA10">
            <v>1.84</v>
          </cell>
          <cell r="AB10">
            <v>1.93</v>
          </cell>
          <cell r="AC10">
            <v>1.88</v>
          </cell>
          <cell r="AD10">
            <v>1.64</v>
          </cell>
          <cell r="AE10">
            <v>1.6</v>
          </cell>
          <cell r="AF10">
            <v>1.67</v>
          </cell>
          <cell r="AG10">
            <v>1.81</v>
          </cell>
          <cell r="AH10">
            <v>1.84</v>
          </cell>
          <cell r="AI10">
            <v>1.6</v>
          </cell>
          <cell r="AJ10">
            <v>1.46</v>
          </cell>
          <cell r="AK10">
            <v>1.67</v>
          </cell>
          <cell r="AL10">
            <v>1.76</v>
          </cell>
          <cell r="AM10">
            <v>1.95</v>
          </cell>
          <cell r="AN10">
            <v>2.5</v>
          </cell>
          <cell r="AO10">
            <v>3.7</v>
          </cell>
          <cell r="AP10">
            <v>3.67</v>
          </cell>
          <cell r="AQ10">
            <v>4.5599999999999996</v>
          </cell>
          <cell r="AR10">
            <v>3.06</v>
          </cell>
          <cell r="AS10">
            <v>2.4300000000000002</v>
          </cell>
          <cell r="AT10">
            <v>2.5299999999999998</v>
          </cell>
          <cell r="AU10">
            <v>2.86</v>
          </cell>
          <cell r="AV10">
            <v>2.5</v>
          </cell>
          <cell r="AW10">
            <v>1.93</v>
          </cell>
          <cell r="AX10">
            <v>1.99</v>
          </cell>
          <cell r="AY10">
            <v>2.94</v>
          </cell>
          <cell r="AZ10">
            <v>4.2300000000000004</v>
          </cell>
          <cell r="BA10">
            <v>4.3</v>
          </cell>
          <cell r="BB10">
            <v>3.06</v>
          </cell>
          <cell r="BC10">
            <v>1.87</v>
          </cell>
          <cell r="BD10">
            <v>2</v>
          </cell>
          <cell r="BE10">
            <v>2.31</v>
          </cell>
          <cell r="BF10">
            <v>2.46</v>
          </cell>
          <cell r="BG10">
            <v>2.29</v>
          </cell>
          <cell r="BH10">
            <v>2.31</v>
          </cell>
          <cell r="BI10">
            <v>2.69</v>
          </cell>
          <cell r="BJ10">
            <v>3.29</v>
          </cell>
          <cell r="BK10">
            <v>3.52</v>
          </cell>
          <cell r="BL10">
            <v>2.66</v>
          </cell>
          <cell r="BM10">
            <v>2.38</v>
          </cell>
          <cell r="BN10">
            <v>2.12</v>
          </cell>
          <cell r="BO10">
            <v>2.37</v>
          </cell>
          <cell r="BP10">
            <v>2.4500000000000002</v>
          </cell>
          <cell r="BQ10">
            <v>2.42</v>
          </cell>
          <cell r="BR10">
            <v>2.16</v>
          </cell>
          <cell r="BS10">
            <v>2.4700000000000002</v>
          </cell>
          <cell r="BT10">
            <v>2.0499999999999998</v>
          </cell>
          <cell r="BU10">
            <v>1.77</v>
          </cell>
          <cell r="BV10">
            <v>2.2000000000000002</v>
          </cell>
          <cell r="BW10">
            <v>2.2400000000000002</v>
          </cell>
          <cell r="BX10">
            <v>2.25</v>
          </cell>
          <cell r="BY10">
            <v>1.92</v>
          </cell>
          <cell r="BZ10">
            <v>1.92</v>
          </cell>
          <cell r="CA10">
            <v>1.73</v>
          </cell>
          <cell r="CB10">
            <v>2.0499999999999998</v>
          </cell>
          <cell r="CC10">
            <v>2.5</v>
          </cell>
          <cell r="CD10">
            <v>2.35</v>
          </cell>
          <cell r="CE10">
            <v>2.39</v>
          </cell>
          <cell r="CF10">
            <v>2.78</v>
          </cell>
          <cell r="CG10">
            <v>3.03</v>
          </cell>
        </row>
        <row r="11">
          <cell r="A11" t="str">
            <v>CGLF-LA</v>
          </cell>
          <cell r="B11">
            <v>8</v>
          </cell>
          <cell r="C11">
            <v>2.36</v>
          </cell>
          <cell r="D11">
            <v>2.2999999999999998</v>
          </cell>
          <cell r="E11">
            <v>1.93</v>
          </cell>
          <cell r="F11">
            <v>1.62</v>
          </cell>
          <cell r="G11">
            <v>1.88</v>
          </cell>
          <cell r="H11">
            <v>2.2000000000000002</v>
          </cell>
          <cell r="I11">
            <v>2.7</v>
          </cell>
          <cell r="J11">
            <v>2.1</v>
          </cell>
          <cell r="K11">
            <v>1.95</v>
          </cell>
          <cell r="L11">
            <v>2.0699999999999998</v>
          </cell>
          <cell r="M11">
            <v>2.37</v>
          </cell>
          <cell r="N11">
            <v>2.0499999999999998</v>
          </cell>
          <cell r="O11">
            <v>2.12</v>
          </cell>
          <cell r="P11">
            <v>2.38</v>
          </cell>
          <cell r="Q11">
            <v>2.0499999999999998</v>
          </cell>
          <cell r="R11">
            <v>2.36</v>
          </cell>
          <cell r="S11">
            <v>2.35</v>
          </cell>
          <cell r="T11">
            <v>1.99</v>
          </cell>
          <cell r="U11">
            <v>2.0499999999999998</v>
          </cell>
          <cell r="V11">
            <v>1.81</v>
          </cell>
          <cell r="W11">
            <v>1.94</v>
          </cell>
          <cell r="X11">
            <v>1.77</v>
          </cell>
          <cell r="Y11">
            <v>1.45</v>
          </cell>
          <cell r="Z11">
            <v>1.39</v>
          </cell>
          <cell r="AA11">
            <v>1.67</v>
          </cell>
          <cell r="AB11">
            <v>1.65</v>
          </cell>
          <cell r="AC11">
            <v>1.59</v>
          </cell>
          <cell r="AD11">
            <v>1.38</v>
          </cell>
          <cell r="AE11">
            <v>1.42</v>
          </cell>
          <cell r="AF11">
            <v>1.53</v>
          </cell>
          <cell r="AG11">
            <v>1.64</v>
          </cell>
          <cell r="AH11">
            <v>1.69</v>
          </cell>
          <cell r="AI11">
            <v>1.46</v>
          </cell>
          <cell r="AJ11">
            <v>1.34</v>
          </cell>
          <cell r="AK11">
            <v>1.54</v>
          </cell>
          <cell r="AL11">
            <v>1.62</v>
          </cell>
          <cell r="AM11">
            <v>1.75</v>
          </cell>
          <cell r="AN11">
            <v>2.2400000000000002</v>
          </cell>
          <cell r="AO11">
            <v>3.35</v>
          </cell>
          <cell r="AP11">
            <v>2.34</v>
          </cell>
          <cell r="AQ11">
            <v>2.85</v>
          </cell>
          <cell r="AR11">
            <v>2.62</v>
          </cell>
          <cell r="AS11">
            <v>2.2000000000000002</v>
          </cell>
          <cell r="AT11">
            <v>2.33</v>
          </cell>
          <cell r="AU11">
            <v>2.62</v>
          </cell>
          <cell r="AV11">
            <v>2.27</v>
          </cell>
          <cell r="AW11">
            <v>1.77</v>
          </cell>
          <cell r="AX11">
            <v>1.81</v>
          </cell>
          <cell r="AY11">
            <v>2.65</v>
          </cell>
          <cell r="AZ11">
            <v>3.82</v>
          </cell>
          <cell r="BA11">
            <v>3.94</v>
          </cell>
          <cell r="BB11">
            <v>2.89</v>
          </cell>
          <cell r="BC11">
            <v>1.74</v>
          </cell>
          <cell r="BD11">
            <v>1.8</v>
          </cell>
          <cell r="BE11">
            <v>2.1</v>
          </cell>
          <cell r="BF11">
            <v>2.27</v>
          </cell>
          <cell r="BG11">
            <v>2.13</v>
          </cell>
          <cell r="BH11">
            <v>2.15</v>
          </cell>
          <cell r="BI11">
            <v>2.5099999999999998</v>
          </cell>
          <cell r="BJ11">
            <v>3.09</v>
          </cell>
          <cell r="BK11">
            <v>3.26</v>
          </cell>
          <cell r="BL11">
            <v>2.5</v>
          </cell>
          <cell r="BM11">
            <v>2.2400000000000002</v>
          </cell>
          <cell r="BN11">
            <v>1.99</v>
          </cell>
          <cell r="BO11">
            <v>2.2200000000000002</v>
          </cell>
          <cell r="BP11">
            <v>2.29</v>
          </cell>
          <cell r="BQ11">
            <v>2.25</v>
          </cell>
          <cell r="BR11">
            <v>2</v>
          </cell>
          <cell r="BS11">
            <v>2.33</v>
          </cell>
          <cell r="BT11">
            <v>1.9</v>
          </cell>
          <cell r="BU11">
            <v>1.58</v>
          </cell>
          <cell r="BV11">
            <v>2.02</v>
          </cell>
          <cell r="BW11">
            <v>1.96</v>
          </cell>
          <cell r="BX11">
            <v>2.08</v>
          </cell>
          <cell r="BY11">
            <v>1.75</v>
          </cell>
          <cell r="BZ11">
            <v>1.77</v>
          </cell>
          <cell r="CA11">
            <v>1.6</v>
          </cell>
          <cell r="CB11">
            <v>1.86</v>
          </cell>
          <cell r="CC11">
            <v>2.33</v>
          </cell>
          <cell r="CD11">
            <v>2.2000000000000002</v>
          </cell>
          <cell r="CE11">
            <v>2.2400000000000002</v>
          </cell>
          <cell r="CF11">
            <v>2.58</v>
          </cell>
          <cell r="CG11">
            <v>2.86</v>
          </cell>
        </row>
        <row r="12">
          <cell r="A12" t="str">
            <v>CGLF-OFS</v>
          </cell>
          <cell r="B12">
            <v>9</v>
          </cell>
          <cell r="C12">
            <v>2.23</v>
          </cell>
          <cell r="E12">
            <v>1.83</v>
          </cell>
          <cell r="F12">
            <v>1.54</v>
          </cell>
          <cell r="G12">
            <v>1.79</v>
          </cell>
          <cell r="H12">
            <v>2.1</v>
          </cell>
          <cell r="I12">
            <v>2.6</v>
          </cell>
          <cell r="J12">
            <v>2.0299999999999998</v>
          </cell>
          <cell r="K12">
            <v>1.86</v>
          </cell>
          <cell r="L12">
            <v>1.98</v>
          </cell>
          <cell r="M12">
            <v>2.2799999999999998</v>
          </cell>
          <cell r="N12">
            <v>1.97</v>
          </cell>
          <cell r="O12">
            <v>2.0299999999999998</v>
          </cell>
          <cell r="P12">
            <v>2.2999999999999998</v>
          </cell>
          <cell r="Q12">
            <v>2.02</v>
          </cell>
          <cell r="S12">
            <v>2.2799999999999998</v>
          </cell>
          <cell r="T12">
            <v>1.91</v>
          </cell>
          <cell r="V12">
            <v>1.73</v>
          </cell>
          <cell r="W12">
            <v>1.87</v>
          </cell>
          <cell r="X12">
            <v>1.71</v>
          </cell>
          <cell r="Z12">
            <v>1.29</v>
          </cell>
          <cell r="AB12">
            <v>1.56</v>
          </cell>
          <cell r="AC12">
            <v>1.49</v>
          </cell>
          <cell r="AD12">
            <v>1.3</v>
          </cell>
          <cell r="AE12">
            <v>1.35</v>
          </cell>
          <cell r="AF12">
            <v>1.44</v>
          </cell>
          <cell r="AG12">
            <v>1.58</v>
          </cell>
          <cell r="AH12">
            <v>1.6</v>
          </cell>
          <cell r="BB12">
            <v>2.79</v>
          </cell>
          <cell r="BC12">
            <v>1.66</v>
          </cell>
          <cell r="BD12">
            <v>1.81</v>
          </cell>
          <cell r="BE12">
            <v>2.0299999999999998</v>
          </cell>
          <cell r="BF12">
            <v>2.17</v>
          </cell>
          <cell r="BG12">
            <v>2.1800000000000002</v>
          </cell>
          <cell r="BH12">
            <v>2.19</v>
          </cell>
        </row>
        <row r="13">
          <cell r="A13" t="str">
            <v>CHIC</v>
          </cell>
          <cell r="B13">
            <v>10</v>
          </cell>
          <cell r="C13">
            <v>2.46</v>
          </cell>
          <cell r="D13">
            <v>2.4</v>
          </cell>
          <cell r="E13">
            <v>2.2200000000000002</v>
          </cell>
          <cell r="F13">
            <v>1.83</v>
          </cell>
          <cell r="G13">
            <v>2.11</v>
          </cell>
          <cell r="H13">
            <v>2.41</v>
          </cell>
          <cell r="I13">
            <v>2.92</v>
          </cell>
          <cell r="J13">
            <v>2.15</v>
          </cell>
          <cell r="K13">
            <v>2.14</v>
          </cell>
          <cell r="L13">
            <v>2.2799999999999998</v>
          </cell>
          <cell r="M13">
            <v>2.5299999999999998</v>
          </cell>
          <cell r="N13">
            <v>2.31</v>
          </cell>
          <cell r="O13">
            <v>2.29</v>
          </cell>
          <cell r="P13">
            <v>2.5299999999999998</v>
          </cell>
          <cell r="Q13">
            <v>2.21</v>
          </cell>
          <cell r="R13">
            <v>2.5499999999999998</v>
          </cell>
          <cell r="S13">
            <v>2.61</v>
          </cell>
          <cell r="T13">
            <v>2.17</v>
          </cell>
          <cell r="U13">
            <v>2.1800000000000002</v>
          </cell>
          <cell r="V13">
            <v>1.92</v>
          </cell>
          <cell r="W13">
            <v>2.0299999999999998</v>
          </cell>
          <cell r="X13">
            <v>1.87</v>
          </cell>
          <cell r="Y13">
            <v>1.59</v>
          </cell>
          <cell r="Z13">
            <v>1.51</v>
          </cell>
          <cell r="AA13">
            <v>1.81</v>
          </cell>
          <cell r="AB13">
            <v>1.81</v>
          </cell>
          <cell r="AC13">
            <v>1.73</v>
          </cell>
          <cell r="AD13">
            <v>1.5</v>
          </cell>
          <cell r="AE13">
            <v>1.47</v>
          </cell>
          <cell r="AF13">
            <v>1.56</v>
          </cell>
          <cell r="AG13">
            <v>1.7</v>
          </cell>
          <cell r="AH13">
            <v>1.75</v>
          </cell>
          <cell r="AI13">
            <v>1.55</v>
          </cell>
          <cell r="AJ13">
            <v>1.41</v>
          </cell>
          <cell r="AK13">
            <v>1.61</v>
          </cell>
          <cell r="AL13">
            <v>1.72</v>
          </cell>
          <cell r="AM13">
            <v>1.91</v>
          </cell>
          <cell r="AN13">
            <v>2.41</v>
          </cell>
          <cell r="AO13">
            <v>3.31</v>
          </cell>
          <cell r="AP13">
            <v>2.64</v>
          </cell>
          <cell r="AQ13">
            <v>3.2</v>
          </cell>
          <cell r="AR13">
            <v>2.81</v>
          </cell>
          <cell r="AS13">
            <v>2.2999999999999998</v>
          </cell>
          <cell r="AT13">
            <v>2.4</v>
          </cell>
          <cell r="AU13">
            <v>2.64</v>
          </cell>
          <cell r="AV13">
            <v>2.36</v>
          </cell>
          <cell r="AW13">
            <v>1.94</v>
          </cell>
          <cell r="AX13">
            <v>1.98</v>
          </cell>
          <cell r="AY13">
            <v>2.95</v>
          </cell>
          <cell r="AZ13">
            <v>4.25</v>
          </cell>
          <cell r="BA13">
            <v>4.53</v>
          </cell>
          <cell r="BB13">
            <v>3.36</v>
          </cell>
          <cell r="BC13">
            <v>1.91</v>
          </cell>
          <cell r="BD13">
            <v>1.95</v>
          </cell>
          <cell r="BE13">
            <v>2.19</v>
          </cell>
          <cell r="BF13">
            <v>2.38</v>
          </cell>
          <cell r="BG13">
            <v>2.2400000000000002</v>
          </cell>
          <cell r="BH13">
            <v>2.23</v>
          </cell>
          <cell r="BI13">
            <v>2.63</v>
          </cell>
          <cell r="BJ13">
            <v>3.34</v>
          </cell>
          <cell r="BK13">
            <v>3.55</v>
          </cell>
          <cell r="BL13">
            <v>3.55</v>
          </cell>
          <cell r="BM13">
            <v>2.37</v>
          </cell>
          <cell r="BN13">
            <v>2.09</v>
          </cell>
          <cell r="BO13">
            <v>2.2999999999999998</v>
          </cell>
          <cell r="BP13">
            <v>2.38</v>
          </cell>
          <cell r="BQ13">
            <v>2.36</v>
          </cell>
          <cell r="BR13">
            <v>2.13</v>
          </cell>
          <cell r="BS13">
            <v>2.42</v>
          </cell>
          <cell r="CG13">
            <v>2.96</v>
          </cell>
        </row>
        <row r="14">
          <cell r="A14" t="str">
            <v>CIG-ROCK</v>
          </cell>
          <cell r="B14">
            <v>11</v>
          </cell>
          <cell r="C14">
            <v>1.83</v>
          </cell>
          <cell r="D14">
            <v>1.88</v>
          </cell>
          <cell r="E14">
            <v>2.15</v>
          </cell>
          <cell r="F14">
            <v>1.6</v>
          </cell>
          <cell r="G14">
            <v>1.73</v>
          </cell>
          <cell r="H14">
            <v>1.8</v>
          </cell>
          <cell r="I14">
            <v>2.2000000000000002</v>
          </cell>
          <cell r="J14">
            <v>1.56</v>
          </cell>
          <cell r="K14">
            <v>1.5</v>
          </cell>
          <cell r="L14">
            <v>1.65</v>
          </cell>
          <cell r="M14">
            <v>1.88</v>
          </cell>
          <cell r="N14">
            <v>1.71</v>
          </cell>
          <cell r="O14">
            <v>1.7</v>
          </cell>
          <cell r="P14">
            <v>2.23</v>
          </cell>
          <cell r="Q14">
            <v>1.88</v>
          </cell>
          <cell r="R14">
            <v>1.76</v>
          </cell>
          <cell r="S14">
            <v>1.86</v>
          </cell>
          <cell r="T14">
            <v>1.52</v>
          </cell>
          <cell r="U14">
            <v>1.55</v>
          </cell>
          <cell r="V14">
            <v>1.32</v>
          </cell>
          <cell r="W14">
            <v>1.39</v>
          </cell>
          <cell r="X14">
            <v>1.39</v>
          </cell>
          <cell r="Y14">
            <v>1.33</v>
          </cell>
          <cell r="Z14">
            <v>1.1599999999999999</v>
          </cell>
          <cell r="AA14">
            <v>1.44</v>
          </cell>
          <cell r="AB14">
            <v>1.57</v>
          </cell>
          <cell r="AC14">
            <v>1.35</v>
          </cell>
          <cell r="AD14">
            <v>1.06</v>
          </cell>
          <cell r="AE14">
            <v>1.05</v>
          </cell>
          <cell r="AF14">
            <v>1.05</v>
          </cell>
          <cell r="AG14">
            <v>1.07</v>
          </cell>
          <cell r="AH14">
            <v>1.1399999999999999</v>
          </cell>
          <cell r="AI14">
            <v>0.98</v>
          </cell>
          <cell r="AJ14">
            <v>0.84</v>
          </cell>
          <cell r="AK14">
            <v>0.95</v>
          </cell>
          <cell r="AL14">
            <v>1.04</v>
          </cell>
          <cell r="AM14">
            <v>1.25</v>
          </cell>
          <cell r="AN14">
            <v>1.31</v>
          </cell>
          <cell r="AO14">
            <v>1.26</v>
          </cell>
          <cell r="AP14">
            <v>1.1599999999999999</v>
          </cell>
          <cell r="AQ14">
            <v>1.1599999999999999</v>
          </cell>
          <cell r="AR14">
            <v>1.06</v>
          </cell>
          <cell r="AS14">
            <v>1.06</v>
          </cell>
          <cell r="AT14">
            <v>1.06</v>
          </cell>
          <cell r="AU14">
            <v>1.18</v>
          </cell>
          <cell r="AV14">
            <v>1.21</v>
          </cell>
          <cell r="AW14">
            <v>1.19</v>
          </cell>
          <cell r="AX14">
            <v>1.25</v>
          </cell>
          <cell r="AY14">
            <v>2.25</v>
          </cell>
          <cell r="AZ14">
            <v>3.5</v>
          </cell>
          <cell r="BA14">
            <v>4.18</v>
          </cell>
          <cell r="BB14">
            <v>2.5299999999999998</v>
          </cell>
          <cell r="BC14">
            <v>1.39</v>
          </cell>
          <cell r="BD14">
            <v>1.45</v>
          </cell>
          <cell r="BE14">
            <v>1.63</v>
          </cell>
          <cell r="BF14">
            <v>1.43</v>
          </cell>
          <cell r="BG14">
            <v>1.44</v>
          </cell>
          <cell r="BH14">
            <v>1.38</v>
          </cell>
          <cell r="BI14">
            <v>1.47</v>
          </cell>
          <cell r="BJ14">
            <v>2.1</v>
          </cell>
          <cell r="BK14">
            <v>2.99</v>
          </cell>
          <cell r="BL14">
            <v>1.94</v>
          </cell>
          <cell r="BM14">
            <v>2.04</v>
          </cell>
          <cell r="BN14">
            <v>1.7</v>
          </cell>
          <cell r="BO14">
            <v>1.88</v>
          </cell>
          <cell r="BP14">
            <v>1.9</v>
          </cell>
          <cell r="BQ14">
            <v>1.96</v>
          </cell>
          <cell r="BR14">
            <v>1.64</v>
          </cell>
          <cell r="BS14">
            <v>1.61</v>
          </cell>
          <cell r="BT14">
            <v>1.73</v>
          </cell>
          <cell r="BU14">
            <v>1.55</v>
          </cell>
          <cell r="BV14">
            <v>1.65</v>
          </cell>
          <cell r="BW14">
            <v>1.97</v>
          </cell>
          <cell r="BX14">
            <v>1.96</v>
          </cell>
          <cell r="BY14">
            <v>1.75</v>
          </cell>
          <cell r="BZ14">
            <v>1.61</v>
          </cell>
          <cell r="CA14">
            <v>1.49</v>
          </cell>
          <cell r="CB14">
            <v>1.53</v>
          </cell>
          <cell r="CC14">
            <v>1.98</v>
          </cell>
          <cell r="CD14">
            <v>1.93</v>
          </cell>
          <cell r="CE14">
            <v>1.97</v>
          </cell>
          <cell r="CF14">
            <v>2.16</v>
          </cell>
          <cell r="CG14">
            <v>2.52</v>
          </cell>
        </row>
        <row r="15">
          <cell r="A15" t="str">
            <v>CNG</v>
          </cell>
          <cell r="B15">
            <v>12</v>
          </cell>
          <cell r="H15">
            <v>2.54</v>
          </cell>
          <cell r="I15">
            <v>3</v>
          </cell>
          <cell r="J15">
            <v>2.25</v>
          </cell>
          <cell r="K15">
            <v>2.13</v>
          </cell>
          <cell r="L15">
            <v>2.23</v>
          </cell>
          <cell r="M15">
            <v>2.5299999999999998</v>
          </cell>
          <cell r="N15">
            <v>2.23</v>
          </cell>
          <cell r="O15">
            <v>2.36</v>
          </cell>
          <cell r="P15">
            <v>2.68</v>
          </cell>
          <cell r="Q15">
            <v>2.33</v>
          </cell>
          <cell r="R15">
            <v>2.75</v>
          </cell>
          <cell r="S15">
            <v>2.78</v>
          </cell>
          <cell r="T15">
            <v>2.23</v>
          </cell>
          <cell r="U15">
            <v>2.29</v>
          </cell>
          <cell r="V15">
            <v>1.99</v>
          </cell>
          <cell r="W15">
            <v>2.1</v>
          </cell>
          <cell r="X15">
            <v>1.9</v>
          </cell>
          <cell r="Y15">
            <v>1.55</v>
          </cell>
          <cell r="Z15">
            <v>1.5</v>
          </cell>
          <cell r="AA15">
            <v>1.83</v>
          </cell>
          <cell r="AB15">
            <v>1.93</v>
          </cell>
          <cell r="AC15">
            <v>1.87</v>
          </cell>
          <cell r="AD15">
            <v>1.65</v>
          </cell>
          <cell r="AE15">
            <v>1.62</v>
          </cell>
          <cell r="AF15">
            <v>1.68</v>
          </cell>
          <cell r="AG15">
            <v>1.83</v>
          </cell>
          <cell r="AH15">
            <v>1.86</v>
          </cell>
          <cell r="AI15">
            <v>1.62</v>
          </cell>
          <cell r="AJ15">
            <v>1.49</v>
          </cell>
          <cell r="AK15">
            <v>1.68</v>
          </cell>
          <cell r="AL15">
            <v>1.77</v>
          </cell>
          <cell r="AM15">
            <v>1.97</v>
          </cell>
          <cell r="AN15">
            <v>2.5299999999999998</v>
          </cell>
          <cell r="AO15">
            <v>3.8</v>
          </cell>
          <cell r="AP15">
            <v>3.67</v>
          </cell>
          <cell r="AQ15">
            <v>4.95</v>
          </cell>
          <cell r="AR15">
            <v>3.21</v>
          </cell>
          <cell r="AS15">
            <v>2.4300000000000002</v>
          </cell>
          <cell r="AT15">
            <v>2.54</v>
          </cell>
          <cell r="AU15">
            <v>2.86</v>
          </cell>
          <cell r="AV15">
            <v>2.5</v>
          </cell>
          <cell r="AW15">
            <v>1.94</v>
          </cell>
          <cell r="AX15">
            <v>1.99</v>
          </cell>
          <cell r="AY15">
            <v>3.05</v>
          </cell>
          <cell r="AZ15">
            <v>4.5</v>
          </cell>
          <cell r="BA15">
            <v>4.5</v>
          </cell>
          <cell r="BB15">
            <v>3.2</v>
          </cell>
          <cell r="BC15">
            <v>1.93</v>
          </cell>
          <cell r="BD15">
            <v>2.02</v>
          </cell>
          <cell r="BE15">
            <v>2.33</v>
          </cell>
          <cell r="BF15">
            <v>2.46</v>
          </cell>
          <cell r="BG15">
            <v>2.31</v>
          </cell>
          <cell r="BH15">
            <v>2.33</v>
          </cell>
          <cell r="BI15">
            <v>2.71</v>
          </cell>
          <cell r="BJ15">
            <v>3.32</v>
          </cell>
          <cell r="BK15">
            <v>3.59</v>
          </cell>
          <cell r="BL15">
            <v>2.7</v>
          </cell>
          <cell r="BM15">
            <v>2.44</v>
          </cell>
          <cell r="BN15">
            <v>2.15</v>
          </cell>
          <cell r="BO15">
            <v>2.4</v>
          </cell>
          <cell r="BP15">
            <v>2.5</v>
          </cell>
          <cell r="BQ15">
            <v>2.46</v>
          </cell>
          <cell r="BR15">
            <v>2.19</v>
          </cell>
          <cell r="BS15">
            <v>2.4700000000000002</v>
          </cell>
          <cell r="BT15">
            <v>2.06</v>
          </cell>
          <cell r="BU15">
            <v>1.79</v>
          </cell>
          <cell r="BV15">
            <v>2.2200000000000002</v>
          </cell>
          <cell r="BW15">
            <v>2.25</v>
          </cell>
          <cell r="BX15">
            <v>2.23</v>
          </cell>
          <cell r="BY15">
            <v>1.95</v>
          </cell>
          <cell r="BZ15">
            <v>1.95</v>
          </cell>
          <cell r="CA15">
            <v>1.78</v>
          </cell>
          <cell r="CB15">
            <v>2.09</v>
          </cell>
          <cell r="CC15">
            <v>2.5099999999999998</v>
          </cell>
          <cell r="CD15">
            <v>2.35</v>
          </cell>
          <cell r="CE15">
            <v>2.42</v>
          </cell>
          <cell r="CF15">
            <v>2.8</v>
          </cell>
          <cell r="CG15">
            <v>3.07</v>
          </cell>
        </row>
        <row r="16">
          <cell r="A16" t="str">
            <v>EPNG-PERM</v>
          </cell>
          <cell r="B16">
            <v>13</v>
          </cell>
          <cell r="C16">
            <v>2.12</v>
          </cell>
          <cell r="D16">
            <v>2.04</v>
          </cell>
          <cell r="E16">
            <v>2.04</v>
          </cell>
          <cell r="F16">
            <v>1.57</v>
          </cell>
          <cell r="G16">
            <v>1.83</v>
          </cell>
          <cell r="H16">
            <v>1.89</v>
          </cell>
          <cell r="I16">
            <v>2.2000000000000002</v>
          </cell>
          <cell r="J16">
            <v>1.65</v>
          </cell>
          <cell r="K16">
            <v>1.78</v>
          </cell>
          <cell r="L16">
            <v>1.88</v>
          </cell>
          <cell r="M16">
            <v>2.0299999999999998</v>
          </cell>
          <cell r="N16">
            <v>1.77</v>
          </cell>
          <cell r="O16">
            <v>1.77</v>
          </cell>
          <cell r="P16">
            <v>2.25</v>
          </cell>
          <cell r="Q16">
            <v>1.93</v>
          </cell>
          <cell r="R16">
            <v>1.88</v>
          </cell>
          <cell r="S16">
            <v>2</v>
          </cell>
          <cell r="T16">
            <v>1.75</v>
          </cell>
          <cell r="U16">
            <v>1.75</v>
          </cell>
          <cell r="V16">
            <v>1.5</v>
          </cell>
          <cell r="W16">
            <v>1.65</v>
          </cell>
          <cell r="X16">
            <v>1.57</v>
          </cell>
          <cell r="Y16">
            <v>1.44</v>
          </cell>
          <cell r="Z16">
            <v>1.22</v>
          </cell>
          <cell r="AA16">
            <v>1.47</v>
          </cell>
          <cell r="AB16">
            <v>1.64</v>
          </cell>
          <cell r="AC16">
            <v>1.46</v>
          </cell>
          <cell r="AD16">
            <v>1.17</v>
          </cell>
          <cell r="AE16">
            <v>1.17</v>
          </cell>
          <cell r="AF16">
            <v>1.25</v>
          </cell>
          <cell r="AG16">
            <v>1.35</v>
          </cell>
          <cell r="AH16">
            <v>1.38</v>
          </cell>
          <cell r="AI16">
            <v>1.19</v>
          </cell>
          <cell r="AJ16">
            <v>1.18</v>
          </cell>
          <cell r="AK16">
            <v>1.36</v>
          </cell>
          <cell r="AL16">
            <v>1.41</v>
          </cell>
          <cell r="AM16">
            <v>1.54</v>
          </cell>
          <cell r="AN16">
            <v>1.74</v>
          </cell>
          <cell r="AO16">
            <v>1.92</v>
          </cell>
          <cell r="AP16">
            <v>1.68</v>
          </cell>
          <cell r="AQ16">
            <v>1.75</v>
          </cell>
          <cell r="AR16">
            <v>2.0099999999999998</v>
          </cell>
          <cell r="AS16">
            <v>1.95</v>
          </cell>
          <cell r="AT16">
            <v>2.0099999999999998</v>
          </cell>
          <cell r="AU16">
            <v>2.09</v>
          </cell>
          <cell r="AV16">
            <v>2.0699999999999998</v>
          </cell>
          <cell r="AW16">
            <v>1.59</v>
          </cell>
          <cell r="AX16">
            <v>1.64</v>
          </cell>
          <cell r="AY16">
            <v>2.48</v>
          </cell>
          <cell r="AZ16">
            <v>3.59</v>
          </cell>
          <cell r="BA16">
            <v>4.0999999999999996</v>
          </cell>
          <cell r="BB16">
            <v>2.5499999999999998</v>
          </cell>
          <cell r="BC16">
            <v>1.54</v>
          </cell>
          <cell r="BD16">
            <v>1.63</v>
          </cell>
          <cell r="BE16">
            <v>1.91</v>
          </cell>
          <cell r="BF16">
            <v>2.0699999999999998</v>
          </cell>
          <cell r="BG16">
            <v>2</v>
          </cell>
          <cell r="BH16">
            <v>2.0499999999999998</v>
          </cell>
          <cell r="BI16">
            <v>2.36</v>
          </cell>
          <cell r="BJ16">
            <v>2.9</v>
          </cell>
          <cell r="BK16">
            <v>3.18</v>
          </cell>
          <cell r="BL16">
            <v>2.21</v>
          </cell>
          <cell r="BM16">
            <v>2.08</v>
          </cell>
          <cell r="BN16">
            <v>1.84</v>
          </cell>
          <cell r="BO16">
            <v>2.04</v>
          </cell>
          <cell r="BP16">
            <v>2.12</v>
          </cell>
          <cell r="BQ16">
            <v>2.1</v>
          </cell>
          <cell r="BR16">
            <v>1.86</v>
          </cell>
          <cell r="BS16">
            <v>2.1800000000000002</v>
          </cell>
          <cell r="BT16">
            <v>1.9</v>
          </cell>
          <cell r="BU16">
            <v>1.59</v>
          </cell>
          <cell r="BV16">
            <v>1.82</v>
          </cell>
          <cell r="BW16">
            <v>1.92</v>
          </cell>
          <cell r="BX16">
            <v>1.99</v>
          </cell>
          <cell r="BY16">
            <v>1.73</v>
          </cell>
          <cell r="BZ16">
            <v>1.66</v>
          </cell>
          <cell r="CA16">
            <v>1.54</v>
          </cell>
          <cell r="CB16">
            <v>1.66</v>
          </cell>
          <cell r="CC16">
            <v>2.16</v>
          </cell>
          <cell r="CD16">
            <v>2.08</v>
          </cell>
          <cell r="CE16">
            <v>2.17</v>
          </cell>
          <cell r="CF16">
            <v>2.46</v>
          </cell>
          <cell r="CG16">
            <v>2.78</v>
          </cell>
        </row>
        <row r="17">
          <cell r="A17" t="str">
            <v>EPNG-SJ</v>
          </cell>
          <cell r="B17">
            <v>14</v>
          </cell>
          <cell r="C17">
            <v>2.11</v>
          </cell>
          <cell r="D17">
            <v>2.04</v>
          </cell>
          <cell r="E17">
            <v>2.1</v>
          </cell>
          <cell r="F17">
            <v>1.58</v>
          </cell>
          <cell r="G17">
            <v>1.84</v>
          </cell>
          <cell r="H17">
            <v>1.89</v>
          </cell>
          <cell r="I17">
            <v>2.2000000000000002</v>
          </cell>
          <cell r="J17">
            <v>1.65</v>
          </cell>
          <cell r="K17">
            <v>1.76</v>
          </cell>
          <cell r="L17">
            <v>1.84</v>
          </cell>
          <cell r="M17">
            <v>2.0099999999999998</v>
          </cell>
          <cell r="N17">
            <v>1.76</v>
          </cell>
          <cell r="O17">
            <v>1.76</v>
          </cell>
          <cell r="P17">
            <v>2.2400000000000002</v>
          </cell>
          <cell r="Q17">
            <v>1.94</v>
          </cell>
          <cell r="R17">
            <v>1.82</v>
          </cell>
          <cell r="S17">
            <v>1.98</v>
          </cell>
          <cell r="T17">
            <v>1.73</v>
          </cell>
          <cell r="U17">
            <v>1.74</v>
          </cell>
          <cell r="V17">
            <v>1.48</v>
          </cell>
          <cell r="W17">
            <v>1.58</v>
          </cell>
          <cell r="X17">
            <v>1.54</v>
          </cell>
          <cell r="Y17">
            <v>1.43</v>
          </cell>
          <cell r="Z17">
            <v>1.2</v>
          </cell>
          <cell r="AA17">
            <v>1.46</v>
          </cell>
          <cell r="AB17">
            <v>1.63</v>
          </cell>
          <cell r="AC17">
            <v>1.45</v>
          </cell>
          <cell r="AD17">
            <v>1.0900000000000001</v>
          </cell>
          <cell r="AE17">
            <v>1.08</v>
          </cell>
          <cell r="AF17">
            <v>1.0900000000000001</v>
          </cell>
          <cell r="AG17">
            <v>1.17</v>
          </cell>
          <cell r="AH17">
            <v>1.17</v>
          </cell>
          <cell r="AI17">
            <v>1.05</v>
          </cell>
          <cell r="AJ17">
            <v>1.02</v>
          </cell>
          <cell r="AK17">
            <v>1.19</v>
          </cell>
          <cell r="AL17">
            <v>1.24</v>
          </cell>
          <cell r="AM17">
            <v>1.25</v>
          </cell>
          <cell r="AN17">
            <v>1.34</v>
          </cell>
          <cell r="AO17">
            <v>1.39</v>
          </cell>
          <cell r="AP17">
            <v>1.26</v>
          </cell>
          <cell r="AQ17">
            <v>1.18</v>
          </cell>
          <cell r="AR17">
            <v>1.1200000000000001</v>
          </cell>
          <cell r="AS17">
            <v>1.1200000000000001</v>
          </cell>
          <cell r="AT17">
            <v>1.18</v>
          </cell>
          <cell r="AU17">
            <v>1.47</v>
          </cell>
          <cell r="AV17">
            <v>2</v>
          </cell>
          <cell r="AW17">
            <v>1.55</v>
          </cell>
          <cell r="AX17">
            <v>1.59</v>
          </cell>
          <cell r="AY17">
            <v>2.4500000000000002</v>
          </cell>
          <cell r="AZ17">
            <v>3.55</v>
          </cell>
          <cell r="BA17">
            <v>4.05</v>
          </cell>
          <cell r="BB17">
            <v>2.48</v>
          </cell>
          <cell r="BC17">
            <v>1.46</v>
          </cell>
          <cell r="BD17">
            <v>1.59</v>
          </cell>
          <cell r="BE17">
            <v>1.87</v>
          </cell>
          <cell r="BF17">
            <v>2.02</v>
          </cell>
          <cell r="BG17">
            <v>1.97</v>
          </cell>
          <cell r="BH17">
            <v>2</v>
          </cell>
          <cell r="BI17">
            <v>2.2799999999999998</v>
          </cell>
          <cell r="BJ17">
            <v>2.83</v>
          </cell>
          <cell r="BK17">
            <v>3.11</v>
          </cell>
          <cell r="BL17">
            <v>2.16</v>
          </cell>
          <cell r="BM17">
            <v>2.06</v>
          </cell>
          <cell r="BN17">
            <v>1.76</v>
          </cell>
          <cell r="BO17">
            <v>2.0099999999999998</v>
          </cell>
          <cell r="BP17">
            <v>2.06</v>
          </cell>
          <cell r="BQ17">
            <v>2</v>
          </cell>
          <cell r="BR17">
            <v>1.75</v>
          </cell>
          <cell r="BS17">
            <v>1.86</v>
          </cell>
          <cell r="BT17">
            <v>1.81</v>
          </cell>
          <cell r="BU17">
            <v>1.55</v>
          </cell>
          <cell r="BV17">
            <v>1.67</v>
          </cell>
          <cell r="BW17">
            <v>1.88</v>
          </cell>
          <cell r="BX17">
            <v>1.96</v>
          </cell>
          <cell r="BY17">
            <v>1.72</v>
          </cell>
          <cell r="BZ17">
            <v>1.63</v>
          </cell>
          <cell r="CA17">
            <v>1.51</v>
          </cell>
          <cell r="CB17">
            <v>1.59</v>
          </cell>
          <cell r="CC17">
            <v>2.0299999999999998</v>
          </cell>
          <cell r="CD17">
            <v>1.96</v>
          </cell>
          <cell r="CE17">
            <v>2.0499999999999998</v>
          </cell>
          <cell r="CF17">
            <v>2.2599999999999998</v>
          </cell>
          <cell r="CG17">
            <v>2.63</v>
          </cell>
        </row>
        <row r="18">
          <cell r="A18" t="str">
            <v>FGT-Z1</v>
          </cell>
          <cell r="B18">
            <v>15</v>
          </cell>
          <cell r="C18">
            <v>2.36</v>
          </cell>
          <cell r="D18">
            <v>2.2000000000000002</v>
          </cell>
          <cell r="E18">
            <v>1.9</v>
          </cell>
          <cell r="F18">
            <v>1.59</v>
          </cell>
          <cell r="G18">
            <v>1.85</v>
          </cell>
          <cell r="H18">
            <v>2.15</v>
          </cell>
          <cell r="I18">
            <v>2.68</v>
          </cell>
          <cell r="J18">
            <v>2.13</v>
          </cell>
          <cell r="K18">
            <v>1.89</v>
          </cell>
          <cell r="L18">
            <v>2.0299999999999998</v>
          </cell>
          <cell r="M18">
            <v>2.34</v>
          </cell>
          <cell r="N18">
            <v>2</v>
          </cell>
          <cell r="O18">
            <v>2.0499999999999998</v>
          </cell>
          <cell r="P18">
            <v>2.2999999999999998</v>
          </cell>
          <cell r="Q18">
            <v>2.0299999999999998</v>
          </cell>
          <cell r="R18">
            <v>2.25</v>
          </cell>
          <cell r="S18">
            <v>2.2000000000000002</v>
          </cell>
          <cell r="T18">
            <v>1.88</v>
          </cell>
          <cell r="U18">
            <v>1.98</v>
          </cell>
          <cell r="V18">
            <v>1.74</v>
          </cell>
          <cell r="W18">
            <v>1.88</v>
          </cell>
          <cell r="X18">
            <v>1.71</v>
          </cell>
          <cell r="Y18">
            <v>1.54</v>
          </cell>
          <cell r="Z18">
            <v>1.36</v>
          </cell>
          <cell r="AA18">
            <v>1.57</v>
          </cell>
          <cell r="AB18">
            <v>1.61</v>
          </cell>
          <cell r="AC18">
            <v>1.54</v>
          </cell>
          <cell r="AD18">
            <v>1.34</v>
          </cell>
          <cell r="AE18">
            <v>1.36</v>
          </cell>
          <cell r="AF18">
            <v>1.49</v>
          </cell>
          <cell r="AG18">
            <v>1.6</v>
          </cell>
          <cell r="AH18">
            <v>1.65</v>
          </cell>
          <cell r="AI18">
            <v>1.44</v>
          </cell>
          <cell r="AJ18">
            <v>1.31</v>
          </cell>
          <cell r="AK18">
            <v>1.48</v>
          </cell>
          <cell r="AL18">
            <v>1.56</v>
          </cell>
          <cell r="AM18">
            <v>1.7</v>
          </cell>
          <cell r="AN18">
            <v>2.1</v>
          </cell>
          <cell r="AO18">
            <v>2.1800000000000002</v>
          </cell>
          <cell r="AP18">
            <v>1.87</v>
          </cell>
          <cell r="AQ18">
            <v>2.0299999999999998</v>
          </cell>
          <cell r="AR18">
            <v>2.2599999999999998</v>
          </cell>
          <cell r="AS18">
            <v>2.15</v>
          </cell>
          <cell r="AT18">
            <v>2.25</v>
          </cell>
          <cell r="AU18">
            <v>2.5299999999999998</v>
          </cell>
          <cell r="AV18">
            <v>2.25</v>
          </cell>
          <cell r="AW18">
            <v>1.75</v>
          </cell>
          <cell r="AX18">
            <v>1.75</v>
          </cell>
          <cell r="AY18">
            <v>2.54</v>
          </cell>
          <cell r="AZ18">
            <v>3.72</v>
          </cell>
          <cell r="BA18">
            <v>3.98</v>
          </cell>
          <cell r="BB18">
            <v>2.8</v>
          </cell>
          <cell r="BC18">
            <v>1.69</v>
          </cell>
          <cell r="BD18">
            <v>1.74</v>
          </cell>
          <cell r="BE18">
            <v>2.06</v>
          </cell>
          <cell r="BF18">
            <v>2.21</v>
          </cell>
          <cell r="BG18">
            <v>2.12</v>
          </cell>
          <cell r="BH18">
            <v>2.14</v>
          </cell>
          <cell r="BI18">
            <v>2.5099999999999998</v>
          </cell>
          <cell r="BJ18">
            <v>3.1</v>
          </cell>
          <cell r="BK18">
            <v>3.2</v>
          </cell>
          <cell r="BL18">
            <v>2.4500000000000002</v>
          </cell>
          <cell r="BM18">
            <v>2.21</v>
          </cell>
          <cell r="BN18">
            <v>1.94</v>
          </cell>
          <cell r="BO18">
            <v>2.19</v>
          </cell>
          <cell r="BP18">
            <v>2.25</v>
          </cell>
          <cell r="BQ18">
            <v>2.2000000000000002</v>
          </cell>
          <cell r="BR18">
            <v>1.98</v>
          </cell>
          <cell r="BS18">
            <v>2.31</v>
          </cell>
          <cell r="BT18">
            <v>1.86</v>
          </cell>
          <cell r="BU18">
            <v>1.57</v>
          </cell>
          <cell r="BV18">
            <v>1.98</v>
          </cell>
          <cell r="BW18">
            <v>1.92</v>
          </cell>
          <cell r="BX18">
            <v>2.0699999999999998</v>
          </cell>
          <cell r="BY18">
            <v>1.73</v>
          </cell>
          <cell r="BZ18">
            <v>1.74</v>
          </cell>
          <cell r="CA18">
            <v>1.59</v>
          </cell>
          <cell r="CB18">
            <v>1.84</v>
          </cell>
          <cell r="CC18">
            <v>2.2999999999999998</v>
          </cell>
          <cell r="CD18">
            <v>2.2000000000000002</v>
          </cell>
          <cell r="CE18">
            <v>2.2400000000000002</v>
          </cell>
          <cell r="CF18">
            <v>2.57</v>
          </cell>
          <cell r="CG18">
            <v>2.86</v>
          </cell>
        </row>
        <row r="19">
          <cell r="A19" t="str">
            <v>FGT-Z2</v>
          </cell>
          <cell r="B19">
            <v>16</v>
          </cell>
          <cell r="C19">
            <v>2.4</v>
          </cell>
          <cell r="D19">
            <v>2.25</v>
          </cell>
          <cell r="E19">
            <v>2.02</v>
          </cell>
          <cell r="F19">
            <v>1.64</v>
          </cell>
          <cell r="G19">
            <v>1.88</v>
          </cell>
          <cell r="H19">
            <v>2.2200000000000002</v>
          </cell>
          <cell r="I19">
            <v>2.73</v>
          </cell>
          <cell r="J19">
            <v>2.15</v>
          </cell>
          <cell r="K19">
            <v>1.95</v>
          </cell>
          <cell r="L19">
            <v>2.0699999999999998</v>
          </cell>
          <cell r="M19">
            <v>2.37</v>
          </cell>
          <cell r="N19">
            <v>2.0499999999999998</v>
          </cell>
          <cell r="O19">
            <v>2.11</v>
          </cell>
          <cell r="P19">
            <v>2.35</v>
          </cell>
          <cell r="Q19">
            <v>2.08</v>
          </cell>
          <cell r="R19">
            <v>2.34</v>
          </cell>
          <cell r="S19">
            <v>2.33</v>
          </cell>
          <cell r="T19">
            <v>1.93</v>
          </cell>
          <cell r="U19">
            <v>2.0499999999999998</v>
          </cell>
          <cell r="V19">
            <v>1.83</v>
          </cell>
          <cell r="W19">
            <v>1.94</v>
          </cell>
          <cell r="X19">
            <v>1.78</v>
          </cell>
          <cell r="Y19">
            <v>1.47</v>
          </cell>
          <cell r="Z19">
            <v>1.41</v>
          </cell>
          <cell r="AA19">
            <v>1.68</v>
          </cell>
          <cell r="AB19">
            <v>1.67</v>
          </cell>
          <cell r="AC19">
            <v>1.58</v>
          </cell>
          <cell r="AD19">
            <v>1.4</v>
          </cell>
          <cell r="AE19">
            <v>1.43</v>
          </cell>
          <cell r="AF19">
            <v>1.54</v>
          </cell>
          <cell r="AG19">
            <v>1.66</v>
          </cell>
          <cell r="AH19">
            <v>1.71</v>
          </cell>
          <cell r="AI19">
            <v>1.5</v>
          </cell>
          <cell r="AJ19">
            <v>1.37</v>
          </cell>
          <cell r="AK19">
            <v>1.54</v>
          </cell>
          <cell r="AL19">
            <v>1.62</v>
          </cell>
          <cell r="AM19">
            <v>1.76</v>
          </cell>
          <cell r="AN19">
            <v>2.23</v>
          </cell>
          <cell r="AO19">
            <v>3.4</v>
          </cell>
          <cell r="AP19">
            <v>2.35</v>
          </cell>
          <cell r="AQ19">
            <v>2.85</v>
          </cell>
          <cell r="AR19">
            <v>2.69</v>
          </cell>
          <cell r="AS19">
            <v>2.21</v>
          </cell>
          <cell r="AT19">
            <v>2.34</v>
          </cell>
          <cell r="AU19">
            <v>2.62</v>
          </cell>
          <cell r="AV19">
            <v>2.3199999999999998</v>
          </cell>
          <cell r="AW19">
            <v>1.81</v>
          </cell>
          <cell r="AX19">
            <v>1.82</v>
          </cell>
          <cell r="AY19">
            <v>2.56</v>
          </cell>
          <cell r="AZ19">
            <v>3.85</v>
          </cell>
          <cell r="BA19">
            <v>4.0999999999999996</v>
          </cell>
          <cell r="BB19">
            <v>2.92</v>
          </cell>
          <cell r="BC19">
            <v>1.84</v>
          </cell>
          <cell r="BD19">
            <v>1.81</v>
          </cell>
          <cell r="BE19">
            <v>2.13</v>
          </cell>
          <cell r="BF19">
            <v>2.2999999999999998</v>
          </cell>
          <cell r="BG19">
            <v>2.17</v>
          </cell>
          <cell r="BH19">
            <v>2.1800000000000002</v>
          </cell>
          <cell r="BI19">
            <v>2.54</v>
          </cell>
          <cell r="BJ19">
            <v>3.13</v>
          </cell>
          <cell r="BK19">
            <v>3.26</v>
          </cell>
          <cell r="BL19">
            <v>2.5499999999999998</v>
          </cell>
          <cell r="BM19">
            <v>2.2799999999999998</v>
          </cell>
          <cell r="BN19">
            <v>2.02</v>
          </cell>
          <cell r="BO19">
            <v>2.25</v>
          </cell>
          <cell r="BP19">
            <v>2.29</v>
          </cell>
          <cell r="BQ19">
            <v>2.25</v>
          </cell>
          <cell r="BR19">
            <v>2.0299999999999998</v>
          </cell>
          <cell r="BS19">
            <v>2.36</v>
          </cell>
          <cell r="BT19">
            <v>1.92</v>
          </cell>
          <cell r="BU19">
            <v>1.61</v>
          </cell>
          <cell r="BV19">
            <v>2.0299999999999998</v>
          </cell>
          <cell r="BW19">
            <v>1.99</v>
          </cell>
          <cell r="BX19">
            <v>2.12</v>
          </cell>
          <cell r="BY19">
            <v>1.78</v>
          </cell>
          <cell r="BZ19">
            <v>1.77</v>
          </cell>
          <cell r="CA19">
            <v>1.63</v>
          </cell>
          <cell r="CB19">
            <v>1.88</v>
          </cell>
          <cell r="CC19">
            <v>2.35</v>
          </cell>
          <cell r="CD19">
            <v>2.23</v>
          </cell>
          <cell r="CE19">
            <v>2.27</v>
          </cell>
          <cell r="CF19">
            <v>2.61</v>
          </cell>
          <cell r="CG19">
            <v>2.9</v>
          </cell>
        </row>
        <row r="20">
          <cell r="A20" t="str">
            <v>FGT-Z3</v>
          </cell>
          <cell r="B20">
            <v>17</v>
          </cell>
          <cell r="C20">
            <v>2.4700000000000002</v>
          </cell>
          <cell r="D20">
            <v>2.36</v>
          </cell>
          <cell r="E20">
            <v>2.0699999999999998</v>
          </cell>
          <cell r="F20">
            <v>1.65</v>
          </cell>
          <cell r="G20">
            <v>1.94</v>
          </cell>
          <cell r="H20">
            <v>2.2200000000000002</v>
          </cell>
          <cell r="I20">
            <v>2.8</v>
          </cell>
          <cell r="J20">
            <v>2.1800000000000002</v>
          </cell>
          <cell r="K20">
            <v>1.98</v>
          </cell>
          <cell r="L20">
            <v>2.11</v>
          </cell>
          <cell r="M20">
            <v>2.38</v>
          </cell>
          <cell r="N20">
            <v>2.1</v>
          </cell>
          <cell r="O20">
            <v>2.15</v>
          </cell>
          <cell r="P20">
            <v>2.41</v>
          </cell>
          <cell r="Q20">
            <v>2.13</v>
          </cell>
          <cell r="R20">
            <v>2.39</v>
          </cell>
          <cell r="S20">
            <v>2.39</v>
          </cell>
          <cell r="T20">
            <v>1.96</v>
          </cell>
          <cell r="U20">
            <v>2.1</v>
          </cell>
          <cell r="V20">
            <v>1.89</v>
          </cell>
          <cell r="W20">
            <v>1.98</v>
          </cell>
          <cell r="X20">
            <v>1.84</v>
          </cell>
          <cell r="Y20">
            <v>1.52</v>
          </cell>
          <cell r="Z20">
            <v>1.45</v>
          </cell>
          <cell r="AA20">
            <v>1.72</v>
          </cell>
          <cell r="AB20">
            <v>1.71</v>
          </cell>
          <cell r="AC20">
            <v>1.62</v>
          </cell>
          <cell r="AD20">
            <v>1.47</v>
          </cell>
          <cell r="AE20">
            <v>1.46</v>
          </cell>
          <cell r="AF20">
            <v>1.56</v>
          </cell>
          <cell r="AG20">
            <v>1.67</v>
          </cell>
          <cell r="AH20">
            <v>1.72</v>
          </cell>
          <cell r="AI20">
            <v>1.49</v>
          </cell>
          <cell r="AJ20">
            <v>1.37</v>
          </cell>
          <cell r="AK20">
            <v>1.55</v>
          </cell>
          <cell r="AL20">
            <v>1.62</v>
          </cell>
          <cell r="AM20">
            <v>1.76</v>
          </cell>
          <cell r="AN20">
            <v>2.2400000000000002</v>
          </cell>
          <cell r="AO20">
            <v>3.37</v>
          </cell>
          <cell r="AP20">
            <v>2.35</v>
          </cell>
          <cell r="AQ20">
            <v>2.82</v>
          </cell>
          <cell r="AR20">
            <v>2.69</v>
          </cell>
          <cell r="AS20">
            <v>2.2000000000000002</v>
          </cell>
          <cell r="AT20">
            <v>2.33</v>
          </cell>
          <cell r="AU20">
            <v>2.61</v>
          </cell>
          <cell r="AV20">
            <v>2.2999999999999998</v>
          </cell>
          <cell r="AW20">
            <v>1.79</v>
          </cell>
          <cell r="AX20">
            <v>1.8</v>
          </cell>
          <cell r="AY20">
            <v>2.6</v>
          </cell>
          <cell r="AZ20">
            <v>3.81</v>
          </cell>
          <cell r="BA20">
            <v>3.95</v>
          </cell>
          <cell r="BB20">
            <v>2.87</v>
          </cell>
          <cell r="BC20">
            <v>1.79</v>
          </cell>
          <cell r="BD20">
            <v>1.76</v>
          </cell>
          <cell r="BE20">
            <v>2.1</v>
          </cell>
          <cell r="BF20">
            <v>2.25</v>
          </cell>
          <cell r="BG20">
            <v>2.12</v>
          </cell>
          <cell r="BH20">
            <v>2.13</v>
          </cell>
          <cell r="BI20">
            <v>2.4700000000000002</v>
          </cell>
          <cell r="BJ20">
            <v>3.05</v>
          </cell>
          <cell r="BK20">
            <v>3.2</v>
          </cell>
          <cell r="BL20">
            <v>2.4900000000000002</v>
          </cell>
          <cell r="BM20">
            <v>2.23</v>
          </cell>
          <cell r="BN20">
            <v>1.96</v>
          </cell>
          <cell r="BO20">
            <v>2.19</v>
          </cell>
          <cell r="BP20">
            <v>2.27</v>
          </cell>
          <cell r="BQ20">
            <v>2.2200000000000002</v>
          </cell>
          <cell r="BR20">
            <v>1.98</v>
          </cell>
          <cell r="BS20">
            <v>2.29</v>
          </cell>
          <cell r="BT20">
            <v>1.86</v>
          </cell>
          <cell r="BU20">
            <v>1.57</v>
          </cell>
          <cell r="BV20">
            <v>1.97</v>
          </cell>
          <cell r="BW20">
            <v>1.91</v>
          </cell>
          <cell r="BX20">
            <v>2.0699999999999998</v>
          </cell>
          <cell r="BY20">
            <v>1.73</v>
          </cell>
          <cell r="BZ20">
            <v>1.74</v>
          </cell>
          <cell r="CA20">
            <v>1.6</v>
          </cell>
          <cell r="CB20">
            <v>1.85</v>
          </cell>
          <cell r="CC20">
            <v>2.2999999999999998</v>
          </cell>
          <cell r="CD20">
            <v>2.21</v>
          </cell>
          <cell r="CE20">
            <v>2.2400000000000002</v>
          </cell>
          <cell r="CF20">
            <v>2.57</v>
          </cell>
          <cell r="CG20">
            <v>2.86</v>
          </cell>
        </row>
        <row r="21">
          <cell r="A21" t="str">
            <v>HSC</v>
          </cell>
          <cell r="B21">
            <v>18</v>
          </cell>
          <cell r="C21">
            <v>2.2400000000000002</v>
          </cell>
          <cell r="D21">
            <v>2.1800000000000002</v>
          </cell>
          <cell r="E21">
            <v>1.98</v>
          </cell>
          <cell r="F21">
            <v>1.64</v>
          </cell>
          <cell r="G21">
            <v>1.93</v>
          </cell>
          <cell r="H21">
            <v>2.23</v>
          </cell>
          <cell r="I21">
            <v>2.6</v>
          </cell>
          <cell r="J21">
            <v>1.93</v>
          </cell>
          <cell r="K21">
            <v>1.97</v>
          </cell>
          <cell r="L21">
            <v>2.19</v>
          </cell>
          <cell r="M21">
            <v>2.36</v>
          </cell>
          <cell r="N21">
            <v>2.02</v>
          </cell>
          <cell r="O21">
            <v>2.12</v>
          </cell>
          <cell r="P21">
            <v>2.4</v>
          </cell>
          <cell r="Q21">
            <v>2.04</v>
          </cell>
          <cell r="R21">
            <v>2.19</v>
          </cell>
          <cell r="S21">
            <v>2.2599999999999998</v>
          </cell>
          <cell r="T21">
            <v>1.98</v>
          </cell>
          <cell r="U21">
            <v>2.0499999999999998</v>
          </cell>
          <cell r="V21">
            <v>1.77</v>
          </cell>
          <cell r="W21">
            <v>1.98</v>
          </cell>
          <cell r="X21">
            <v>1.78</v>
          </cell>
          <cell r="Y21">
            <v>1.5</v>
          </cell>
          <cell r="Z21">
            <v>1.39</v>
          </cell>
          <cell r="AA21">
            <v>1.66</v>
          </cell>
          <cell r="AB21">
            <v>1.67</v>
          </cell>
          <cell r="AC21">
            <v>1.56</v>
          </cell>
          <cell r="AD21">
            <v>1.36</v>
          </cell>
          <cell r="AE21">
            <v>1.39</v>
          </cell>
          <cell r="AF21">
            <v>1.52</v>
          </cell>
          <cell r="AG21">
            <v>1.63</v>
          </cell>
          <cell r="AH21">
            <v>1.67</v>
          </cell>
          <cell r="AI21">
            <v>1.48</v>
          </cell>
          <cell r="AJ21">
            <v>1.37</v>
          </cell>
          <cell r="AK21">
            <v>1.54</v>
          </cell>
          <cell r="AL21">
            <v>1.6</v>
          </cell>
          <cell r="AM21">
            <v>1.73</v>
          </cell>
          <cell r="AN21">
            <v>2.08</v>
          </cell>
          <cell r="AO21">
            <v>2.17</v>
          </cell>
          <cell r="AP21">
            <v>1.86</v>
          </cell>
          <cell r="AQ21">
            <v>1.99</v>
          </cell>
          <cell r="AR21">
            <v>2.29</v>
          </cell>
          <cell r="AS21">
            <v>2.19</v>
          </cell>
          <cell r="AT21">
            <v>2.31</v>
          </cell>
          <cell r="AU21">
            <v>2.58</v>
          </cell>
          <cell r="AV21">
            <v>2.2999999999999998</v>
          </cell>
          <cell r="AW21">
            <v>1.85</v>
          </cell>
          <cell r="AX21">
            <v>1.83</v>
          </cell>
          <cell r="AY21">
            <v>2.61</v>
          </cell>
          <cell r="AZ21">
            <v>3.7</v>
          </cell>
          <cell r="BA21">
            <v>3.9</v>
          </cell>
          <cell r="BB21">
            <v>2.82</v>
          </cell>
          <cell r="BC21">
            <v>1.74</v>
          </cell>
          <cell r="BD21">
            <v>1.81</v>
          </cell>
          <cell r="BE21">
            <v>2.09</v>
          </cell>
          <cell r="BF21">
            <v>2.29</v>
          </cell>
          <cell r="BG21">
            <v>2.16</v>
          </cell>
          <cell r="BH21">
            <v>2.1800000000000002</v>
          </cell>
          <cell r="BI21">
            <v>2.5</v>
          </cell>
          <cell r="BJ21">
            <v>3.11</v>
          </cell>
          <cell r="BK21">
            <v>3.27</v>
          </cell>
          <cell r="BL21">
            <v>2.4500000000000002</v>
          </cell>
          <cell r="BM21">
            <v>2.2200000000000002</v>
          </cell>
          <cell r="BN21">
            <v>2.0099999999999998</v>
          </cell>
          <cell r="BO21">
            <v>2.23</v>
          </cell>
          <cell r="BP21">
            <v>2.29</v>
          </cell>
          <cell r="BQ21">
            <v>2.27</v>
          </cell>
          <cell r="BR21">
            <v>2.0499999999999998</v>
          </cell>
          <cell r="BS21">
            <v>2.38</v>
          </cell>
          <cell r="BT21">
            <v>1.96</v>
          </cell>
          <cell r="BU21">
            <v>1.66</v>
          </cell>
          <cell r="BV21">
            <v>2.04</v>
          </cell>
          <cell r="BW21">
            <v>1.99</v>
          </cell>
          <cell r="BX21">
            <v>2.08</v>
          </cell>
          <cell r="BY21">
            <v>1.78</v>
          </cell>
          <cell r="BZ21">
            <v>1.78</v>
          </cell>
          <cell r="CA21">
            <v>1.65</v>
          </cell>
          <cell r="CB21">
            <v>1.86</v>
          </cell>
          <cell r="CC21">
            <v>2.35</v>
          </cell>
          <cell r="CD21">
            <v>2.2400000000000002</v>
          </cell>
          <cell r="CE21">
            <v>2.2799999999999998</v>
          </cell>
          <cell r="CF21">
            <v>2.62</v>
          </cell>
          <cell r="CG21">
            <v>2.91</v>
          </cell>
        </row>
        <row r="22">
          <cell r="A22" t="str">
            <v>HUB</v>
          </cell>
          <cell r="B22">
            <v>19</v>
          </cell>
          <cell r="C22">
            <v>2.2999999999999998</v>
          </cell>
          <cell r="D22">
            <v>2.2999999999999998</v>
          </cell>
          <cell r="E22">
            <v>1.95</v>
          </cell>
          <cell r="F22">
            <v>1.62</v>
          </cell>
          <cell r="G22">
            <v>1.89</v>
          </cell>
          <cell r="H22">
            <v>2.23</v>
          </cell>
          <cell r="I22">
            <v>2.69</v>
          </cell>
          <cell r="J22">
            <v>1.98</v>
          </cell>
          <cell r="K22">
            <v>1.92</v>
          </cell>
          <cell r="L22">
            <v>2.11</v>
          </cell>
          <cell r="M22">
            <v>2.37</v>
          </cell>
          <cell r="N22">
            <v>2.0099999999999998</v>
          </cell>
          <cell r="O22">
            <v>2.12</v>
          </cell>
          <cell r="P22">
            <v>2.4</v>
          </cell>
          <cell r="Q22">
            <v>2.02</v>
          </cell>
          <cell r="R22">
            <v>2.39</v>
          </cell>
          <cell r="S22">
            <v>2.38</v>
          </cell>
          <cell r="T22">
            <v>1.98</v>
          </cell>
          <cell r="U22">
            <v>2.06</v>
          </cell>
          <cell r="V22">
            <v>1.82</v>
          </cell>
          <cell r="W22">
            <v>1.97</v>
          </cell>
          <cell r="X22">
            <v>1.8</v>
          </cell>
          <cell r="Y22">
            <v>1.48</v>
          </cell>
          <cell r="Z22">
            <v>1.41</v>
          </cell>
          <cell r="AA22">
            <v>1.69</v>
          </cell>
          <cell r="AB22">
            <v>1.69</v>
          </cell>
          <cell r="AC22">
            <v>1.62</v>
          </cell>
          <cell r="AD22">
            <v>1.42</v>
          </cell>
          <cell r="AE22">
            <v>1.44</v>
          </cell>
          <cell r="AF22">
            <v>1.57</v>
          </cell>
          <cell r="AG22">
            <v>1.68</v>
          </cell>
          <cell r="AH22">
            <v>1.75</v>
          </cell>
          <cell r="AI22">
            <v>1.51</v>
          </cell>
          <cell r="AJ22">
            <v>1.38</v>
          </cell>
          <cell r="AK22">
            <v>1.58</v>
          </cell>
          <cell r="AL22">
            <v>1.65</v>
          </cell>
          <cell r="AM22">
            <v>1.78</v>
          </cell>
          <cell r="AN22">
            <v>2.2599999999999998</v>
          </cell>
          <cell r="AO22">
            <v>3.42</v>
          </cell>
          <cell r="AP22">
            <v>2.4</v>
          </cell>
          <cell r="AQ22">
            <v>2.94</v>
          </cell>
          <cell r="AR22">
            <v>2.7</v>
          </cell>
          <cell r="AS22">
            <v>2.21</v>
          </cell>
          <cell r="AT22">
            <v>2.38</v>
          </cell>
          <cell r="AU22">
            <v>2.66</v>
          </cell>
          <cell r="AV22">
            <v>2.2999999999999998</v>
          </cell>
          <cell r="AW22">
            <v>1.83</v>
          </cell>
          <cell r="AX22">
            <v>1.85</v>
          </cell>
          <cell r="AY22">
            <v>2.72</v>
          </cell>
          <cell r="AZ22">
            <v>3.9</v>
          </cell>
          <cell r="BA22">
            <v>4.09</v>
          </cell>
          <cell r="BB22">
            <v>2.96</v>
          </cell>
          <cell r="BC22">
            <v>1.78</v>
          </cell>
          <cell r="BD22">
            <v>1.85</v>
          </cell>
          <cell r="BE22">
            <v>2.15</v>
          </cell>
          <cell r="BF22">
            <v>2.31</v>
          </cell>
          <cell r="BG22">
            <v>2.16</v>
          </cell>
          <cell r="BH22">
            <v>2.19</v>
          </cell>
          <cell r="BI22">
            <v>2.57</v>
          </cell>
          <cell r="BJ22">
            <v>3.16</v>
          </cell>
          <cell r="BK22">
            <v>3.3</v>
          </cell>
          <cell r="BL22">
            <v>2.5499999999999998</v>
          </cell>
          <cell r="BM22">
            <v>2.27</v>
          </cell>
          <cell r="BN22">
            <v>2.04</v>
          </cell>
          <cell r="BO22">
            <v>2.2599999999999998</v>
          </cell>
          <cell r="BP22">
            <v>2.3199999999999998</v>
          </cell>
          <cell r="BQ22">
            <v>2.27</v>
          </cell>
          <cell r="BR22">
            <v>2.0299999999999998</v>
          </cell>
          <cell r="BS22">
            <v>2.37</v>
          </cell>
          <cell r="BT22">
            <v>1.93</v>
          </cell>
          <cell r="BU22">
            <v>1.63</v>
          </cell>
          <cell r="BV22">
            <v>2.0699999999999998</v>
          </cell>
          <cell r="BW22">
            <v>2</v>
          </cell>
          <cell r="BX22">
            <v>2.12</v>
          </cell>
          <cell r="BY22">
            <v>1.8</v>
          </cell>
          <cell r="BZ22">
            <v>1.81</v>
          </cell>
          <cell r="CA22">
            <v>1.64</v>
          </cell>
          <cell r="CB22">
            <v>1.88</v>
          </cell>
          <cell r="CC22">
            <v>2.35</v>
          </cell>
          <cell r="CD22">
            <v>2.23</v>
          </cell>
          <cell r="CE22">
            <v>2.2799999999999998</v>
          </cell>
          <cell r="CF22">
            <v>2.62</v>
          </cell>
          <cell r="CG22">
            <v>2.9</v>
          </cell>
        </row>
        <row r="23">
          <cell r="A23" t="str">
            <v>KERN</v>
          </cell>
          <cell r="B23">
            <v>20</v>
          </cell>
          <cell r="C23">
            <v>1.85</v>
          </cell>
          <cell r="D23">
            <v>1.9</v>
          </cell>
          <cell r="E23">
            <v>2.3199999999999998</v>
          </cell>
          <cell r="F23">
            <v>1.6</v>
          </cell>
          <cell r="G23">
            <v>1.78</v>
          </cell>
          <cell r="H23">
            <v>1.82</v>
          </cell>
          <cell r="I23">
            <v>2.2999999999999998</v>
          </cell>
          <cell r="J23">
            <v>1.68</v>
          </cell>
          <cell r="K23">
            <v>1.64</v>
          </cell>
          <cell r="L23">
            <v>1.69</v>
          </cell>
          <cell r="M23">
            <v>1.96</v>
          </cell>
          <cell r="N23">
            <v>1.78</v>
          </cell>
          <cell r="O23">
            <v>1.8</v>
          </cell>
          <cell r="P23">
            <v>2.33</v>
          </cell>
          <cell r="Q23">
            <v>1.97</v>
          </cell>
          <cell r="R23">
            <v>1.78</v>
          </cell>
          <cell r="S23">
            <v>1.94</v>
          </cell>
          <cell r="T23">
            <v>1.63</v>
          </cell>
          <cell r="U23">
            <v>1.64</v>
          </cell>
          <cell r="V23">
            <v>1.38</v>
          </cell>
          <cell r="W23">
            <v>1.5</v>
          </cell>
          <cell r="X23">
            <v>1.46</v>
          </cell>
          <cell r="Y23">
            <v>1.36</v>
          </cell>
          <cell r="Z23">
            <v>1.18</v>
          </cell>
          <cell r="AA23">
            <v>1.5</v>
          </cell>
          <cell r="AB23">
            <v>1.63</v>
          </cell>
          <cell r="AC23">
            <v>1.39</v>
          </cell>
          <cell r="AD23">
            <v>1.07</v>
          </cell>
          <cell r="AE23">
            <v>1.07</v>
          </cell>
          <cell r="AF23">
            <v>1.06</v>
          </cell>
          <cell r="AG23">
            <v>1.07</v>
          </cell>
          <cell r="AH23">
            <v>1.1499999999999999</v>
          </cell>
          <cell r="AI23">
            <v>1</v>
          </cell>
          <cell r="AJ23">
            <v>0.84</v>
          </cell>
          <cell r="AK23">
            <v>0.95</v>
          </cell>
          <cell r="AL23">
            <v>1.04</v>
          </cell>
          <cell r="AM23">
            <v>1.25</v>
          </cell>
          <cell r="AN23">
            <v>1.31</v>
          </cell>
          <cell r="AO23">
            <v>1.27</v>
          </cell>
          <cell r="AP23">
            <v>1.17</v>
          </cell>
          <cell r="AQ23">
            <v>1.17</v>
          </cell>
          <cell r="AR23">
            <v>1.06</v>
          </cell>
          <cell r="AS23">
            <v>1.06</v>
          </cell>
          <cell r="AT23">
            <v>1.07</v>
          </cell>
          <cell r="AU23">
            <v>1.19</v>
          </cell>
          <cell r="AV23">
            <v>1.23</v>
          </cell>
          <cell r="AW23">
            <v>1.2</v>
          </cell>
          <cell r="AX23">
            <v>1.26</v>
          </cell>
          <cell r="AY23">
            <v>2.23</v>
          </cell>
          <cell r="AZ23">
            <v>3.48</v>
          </cell>
          <cell r="BA23">
            <v>4.2300000000000004</v>
          </cell>
          <cell r="BB23">
            <v>2.5</v>
          </cell>
          <cell r="BC23">
            <v>1.39</v>
          </cell>
          <cell r="BD23">
            <v>1.44</v>
          </cell>
          <cell r="BE23">
            <v>1.64</v>
          </cell>
          <cell r="BF23">
            <v>1.47</v>
          </cell>
          <cell r="BG23">
            <v>1.43</v>
          </cell>
          <cell r="BH23">
            <v>1.37</v>
          </cell>
          <cell r="BI23">
            <v>1.48</v>
          </cell>
          <cell r="BJ23">
            <v>2.09</v>
          </cell>
          <cell r="BK23">
            <v>3</v>
          </cell>
          <cell r="BL23">
            <v>1.93</v>
          </cell>
          <cell r="BM23">
            <v>2.04</v>
          </cell>
          <cell r="BN23">
            <v>1.69</v>
          </cell>
          <cell r="BO23">
            <v>1.88</v>
          </cell>
          <cell r="BP23">
            <v>1.9</v>
          </cell>
          <cell r="BQ23">
            <v>1.97</v>
          </cell>
          <cell r="BR23">
            <v>1.65</v>
          </cell>
          <cell r="BS23">
            <v>1.62</v>
          </cell>
          <cell r="BT23">
            <v>1.73</v>
          </cell>
          <cell r="BU23">
            <v>1.59</v>
          </cell>
          <cell r="BV23">
            <v>1.64</v>
          </cell>
          <cell r="BW23">
            <v>2.0099999999999998</v>
          </cell>
          <cell r="BX23">
            <v>2</v>
          </cell>
          <cell r="BY23">
            <v>1.8</v>
          </cell>
          <cell r="BZ23">
            <v>1.64</v>
          </cell>
          <cell r="CA23">
            <v>1.51</v>
          </cell>
          <cell r="CB23">
            <v>1.54</v>
          </cell>
          <cell r="CC23">
            <v>1.99</v>
          </cell>
          <cell r="CD23">
            <v>1.94</v>
          </cell>
          <cell r="CE23">
            <v>2</v>
          </cell>
          <cell r="CF23">
            <v>2.1800000000000002</v>
          </cell>
          <cell r="CG23">
            <v>2.56</v>
          </cell>
        </row>
        <row r="24">
          <cell r="A24" t="str">
            <v>KRS (SOCAL)-NGI</v>
          </cell>
          <cell r="B24">
            <v>21</v>
          </cell>
          <cell r="AD24">
            <v>1.23</v>
          </cell>
          <cell r="AE24">
            <v>1.21</v>
          </cell>
          <cell r="AF24">
            <v>1.23</v>
          </cell>
          <cell r="AG24">
            <v>1.32</v>
          </cell>
          <cell r="AH24">
            <v>1.32</v>
          </cell>
          <cell r="AI24">
            <v>1.24</v>
          </cell>
          <cell r="AJ24">
            <v>1.23</v>
          </cell>
          <cell r="AK24">
            <v>1.44</v>
          </cell>
          <cell r="AL24">
            <v>1.46</v>
          </cell>
          <cell r="AM24">
            <v>1.56</v>
          </cell>
          <cell r="AN24">
            <v>1.62</v>
          </cell>
          <cell r="AO24">
            <v>1.49</v>
          </cell>
          <cell r="AP24">
            <v>1.42</v>
          </cell>
          <cell r="AQ24">
            <v>1.39</v>
          </cell>
          <cell r="AR24">
            <v>1.28</v>
          </cell>
          <cell r="AS24">
            <v>1.28</v>
          </cell>
          <cell r="AT24">
            <v>1.37</v>
          </cell>
          <cell r="AU24">
            <v>1.68</v>
          </cell>
          <cell r="AV24">
            <v>2.15</v>
          </cell>
          <cell r="AW24">
            <v>1.71</v>
          </cell>
          <cell r="AX24">
            <v>1.72</v>
          </cell>
          <cell r="AY24">
            <v>2.61</v>
          </cell>
          <cell r="AZ24">
            <v>3.68</v>
          </cell>
          <cell r="BA24">
            <v>4.25</v>
          </cell>
          <cell r="BB24">
            <v>2.64</v>
          </cell>
          <cell r="BC24">
            <v>1.6</v>
          </cell>
          <cell r="BD24">
            <v>1.72</v>
          </cell>
          <cell r="BE24">
            <v>2.0299999999999998</v>
          </cell>
          <cell r="BF24">
            <v>2.1800000000000002</v>
          </cell>
          <cell r="BG24">
            <v>2.17</v>
          </cell>
          <cell r="BH24">
            <v>2.19</v>
          </cell>
          <cell r="BI24">
            <v>2.4900000000000002</v>
          </cell>
          <cell r="BJ24">
            <v>3.04</v>
          </cell>
          <cell r="BK24">
            <v>3.27</v>
          </cell>
          <cell r="BL24">
            <v>2.3199999999999998</v>
          </cell>
          <cell r="BM24">
            <v>2.2799999999999998</v>
          </cell>
          <cell r="BN24">
            <v>2.1</v>
          </cell>
        </row>
        <row r="25">
          <cell r="A25" t="str">
            <v>KOCH-LA</v>
          </cell>
          <cell r="B25">
            <v>22</v>
          </cell>
          <cell r="C25">
            <v>2.2200000000000002</v>
          </cell>
          <cell r="D25">
            <v>2.15</v>
          </cell>
          <cell r="E25">
            <v>1.85</v>
          </cell>
          <cell r="F25">
            <v>1.54</v>
          </cell>
          <cell r="G25">
            <v>1.85</v>
          </cell>
          <cell r="H25">
            <v>2.1</v>
          </cell>
          <cell r="I25">
            <v>2.56</v>
          </cell>
          <cell r="J25">
            <v>1.92</v>
          </cell>
          <cell r="K25">
            <v>1.85</v>
          </cell>
          <cell r="L25">
            <v>2.04</v>
          </cell>
          <cell r="M25">
            <v>2.27</v>
          </cell>
          <cell r="N25">
            <v>1.9</v>
          </cell>
          <cell r="O25">
            <v>1.98</v>
          </cell>
          <cell r="P25">
            <v>2.2999999999999998</v>
          </cell>
          <cell r="Q25">
            <v>1.92</v>
          </cell>
          <cell r="R25">
            <v>2.14</v>
          </cell>
          <cell r="S25">
            <v>2.19</v>
          </cell>
          <cell r="T25">
            <v>1.89</v>
          </cell>
          <cell r="U25">
            <v>1.94</v>
          </cell>
          <cell r="V25">
            <v>1.7</v>
          </cell>
          <cell r="W25">
            <v>1.85</v>
          </cell>
          <cell r="X25">
            <v>1.68</v>
          </cell>
          <cell r="Y25">
            <v>1.39</v>
          </cell>
          <cell r="Z25">
            <v>1.31</v>
          </cell>
          <cell r="AA25">
            <v>1.57</v>
          </cell>
          <cell r="AB25">
            <v>1.58</v>
          </cell>
          <cell r="AC25">
            <v>1.52</v>
          </cell>
          <cell r="AD25">
            <v>1.36</v>
          </cell>
          <cell r="AE25">
            <v>1.35</v>
          </cell>
          <cell r="AF25">
            <v>1.46</v>
          </cell>
          <cell r="AG25">
            <v>1.57</v>
          </cell>
          <cell r="AH25">
            <v>1.62</v>
          </cell>
          <cell r="AI25">
            <v>1.43</v>
          </cell>
          <cell r="AJ25">
            <v>1.28</v>
          </cell>
          <cell r="AK25">
            <v>1.48</v>
          </cell>
          <cell r="AL25">
            <v>1.56</v>
          </cell>
          <cell r="AM25">
            <v>1.69</v>
          </cell>
          <cell r="AN25">
            <v>2.12</v>
          </cell>
          <cell r="AO25">
            <v>2.52</v>
          </cell>
          <cell r="AP25">
            <v>2.11</v>
          </cell>
          <cell r="AQ25">
            <v>2.57</v>
          </cell>
          <cell r="AR25">
            <v>2.4500000000000002</v>
          </cell>
          <cell r="AS25">
            <v>2.1</v>
          </cell>
          <cell r="AT25">
            <v>2.2200000000000002</v>
          </cell>
          <cell r="AU25">
            <v>2.52</v>
          </cell>
          <cell r="AV25">
            <v>2.23</v>
          </cell>
          <cell r="AW25">
            <v>1.7</v>
          </cell>
          <cell r="AX25">
            <v>1.74</v>
          </cell>
          <cell r="AY25">
            <v>2.6</v>
          </cell>
          <cell r="AZ25">
            <v>3.82</v>
          </cell>
          <cell r="BA25">
            <v>3.85</v>
          </cell>
          <cell r="BB25">
            <v>2.85</v>
          </cell>
          <cell r="BC25">
            <v>1.72</v>
          </cell>
          <cell r="BD25">
            <v>1.77</v>
          </cell>
          <cell r="BE25">
            <v>2.0099999999999998</v>
          </cell>
          <cell r="BF25">
            <v>2.2599999999999998</v>
          </cell>
          <cell r="BG25">
            <v>2.09</v>
          </cell>
          <cell r="BH25">
            <v>2.12</v>
          </cell>
          <cell r="BI25">
            <v>2.4700000000000002</v>
          </cell>
          <cell r="BJ25">
            <v>3.03</v>
          </cell>
          <cell r="BK25">
            <v>3.2</v>
          </cell>
          <cell r="BL25">
            <v>2.4700000000000002</v>
          </cell>
          <cell r="BM25">
            <v>2.17</v>
          </cell>
          <cell r="BN25">
            <v>1.92</v>
          </cell>
          <cell r="BO25">
            <v>2.15</v>
          </cell>
          <cell r="BP25">
            <v>2.2200000000000002</v>
          </cell>
          <cell r="BQ25">
            <v>2.17</v>
          </cell>
          <cell r="BR25">
            <v>1.94</v>
          </cell>
          <cell r="BS25">
            <v>2.2599999999999998</v>
          </cell>
          <cell r="BT25">
            <v>1.85</v>
          </cell>
          <cell r="BU25">
            <v>1.54</v>
          </cell>
          <cell r="BV25">
            <v>1.95</v>
          </cell>
          <cell r="BW25">
            <v>1.89</v>
          </cell>
          <cell r="BX25">
            <v>2.0099999999999998</v>
          </cell>
          <cell r="BY25">
            <v>1.65</v>
          </cell>
          <cell r="BZ25">
            <v>1.7</v>
          </cell>
          <cell r="CA25">
            <v>1.52</v>
          </cell>
          <cell r="CB25">
            <v>1.76</v>
          </cell>
          <cell r="CC25">
            <v>2.2400000000000002</v>
          </cell>
          <cell r="CD25">
            <v>2.11</v>
          </cell>
          <cell r="CE25">
            <v>2.16</v>
          </cell>
          <cell r="CF25">
            <v>2.4900000000000002</v>
          </cell>
          <cell r="CG25">
            <v>2.78</v>
          </cell>
        </row>
        <row r="26">
          <cell r="A26" t="str">
            <v>KOCH-TX</v>
          </cell>
          <cell r="B26">
            <v>23</v>
          </cell>
          <cell r="C26">
            <v>2.17</v>
          </cell>
          <cell r="D26">
            <v>2.1</v>
          </cell>
          <cell r="E26">
            <v>1.82</v>
          </cell>
          <cell r="F26">
            <v>1.53</v>
          </cell>
          <cell r="G26">
            <v>1.78</v>
          </cell>
          <cell r="H26">
            <v>2.1</v>
          </cell>
          <cell r="I26">
            <v>2.56</v>
          </cell>
          <cell r="J26">
            <v>1.89</v>
          </cell>
          <cell r="K26">
            <v>1.85</v>
          </cell>
          <cell r="L26">
            <v>2</v>
          </cell>
          <cell r="M26">
            <v>2.25</v>
          </cell>
          <cell r="N26">
            <v>1.88</v>
          </cell>
          <cell r="O26">
            <v>1.95</v>
          </cell>
          <cell r="P26">
            <v>2.2599999999999998</v>
          </cell>
          <cell r="Q26">
            <v>1.87</v>
          </cell>
          <cell r="R26">
            <v>2.1</v>
          </cell>
          <cell r="S26">
            <v>2.09</v>
          </cell>
          <cell r="T26">
            <v>1.83</v>
          </cell>
          <cell r="U26">
            <v>1.9</v>
          </cell>
          <cell r="V26">
            <v>1.65</v>
          </cell>
          <cell r="W26">
            <v>1.8</v>
          </cell>
          <cell r="X26">
            <v>1.64</v>
          </cell>
          <cell r="Y26">
            <v>1.37</v>
          </cell>
          <cell r="Z26">
            <v>1.3</v>
          </cell>
          <cell r="AA26">
            <v>1.53</v>
          </cell>
          <cell r="AB26">
            <v>1.54</v>
          </cell>
          <cell r="AC26">
            <v>1.46</v>
          </cell>
          <cell r="AD26">
            <v>1.27</v>
          </cell>
          <cell r="AE26">
            <v>1.3</v>
          </cell>
          <cell r="AF26">
            <v>1.44</v>
          </cell>
          <cell r="AG26">
            <v>1.52</v>
          </cell>
          <cell r="AH26">
            <v>1.58</v>
          </cell>
          <cell r="AI26">
            <v>1.37</v>
          </cell>
          <cell r="AJ26">
            <v>1.26</v>
          </cell>
          <cell r="AK26">
            <v>1.44</v>
          </cell>
          <cell r="AL26">
            <v>1.53</v>
          </cell>
          <cell r="AM26">
            <v>1.65</v>
          </cell>
          <cell r="AN26">
            <v>2.06</v>
          </cell>
          <cell r="AO26">
            <v>2.06</v>
          </cell>
          <cell r="AP26">
            <v>1.78</v>
          </cell>
          <cell r="AQ26">
            <v>1.92</v>
          </cell>
          <cell r="AR26">
            <v>2.2400000000000002</v>
          </cell>
          <cell r="AS26">
            <v>2.0499999999999998</v>
          </cell>
          <cell r="AT26">
            <v>2.21</v>
          </cell>
          <cell r="AU26">
            <v>2.48</v>
          </cell>
          <cell r="AV26">
            <v>2.19</v>
          </cell>
          <cell r="AW26">
            <v>1.69</v>
          </cell>
          <cell r="AX26">
            <v>1.72</v>
          </cell>
          <cell r="AY26">
            <v>2.58</v>
          </cell>
          <cell r="AZ26">
            <v>3.59</v>
          </cell>
          <cell r="BA26">
            <v>3.6</v>
          </cell>
          <cell r="BB26">
            <v>2.64</v>
          </cell>
          <cell r="BC26">
            <v>1.63</v>
          </cell>
          <cell r="BD26">
            <v>1.68</v>
          </cell>
          <cell r="BE26">
            <v>2.0099999999999998</v>
          </cell>
          <cell r="BF26">
            <v>2.17</v>
          </cell>
          <cell r="BG26">
            <v>2.02</v>
          </cell>
          <cell r="BH26">
            <v>2.04</v>
          </cell>
          <cell r="BI26">
            <v>2.4</v>
          </cell>
          <cell r="BJ26">
            <v>2.88</v>
          </cell>
          <cell r="BK26">
            <v>3.04</v>
          </cell>
          <cell r="BL26">
            <v>2.25</v>
          </cell>
          <cell r="BM26">
            <v>2.04</v>
          </cell>
          <cell r="BN26">
            <v>1.82</v>
          </cell>
          <cell r="BO26">
            <v>2.0699999999999998</v>
          </cell>
          <cell r="BP26">
            <v>2.15</v>
          </cell>
          <cell r="BQ26">
            <v>2.09</v>
          </cell>
          <cell r="BR26">
            <v>1.89</v>
          </cell>
          <cell r="BS26">
            <v>2.2000000000000002</v>
          </cell>
          <cell r="BT26">
            <v>1.79</v>
          </cell>
          <cell r="BU26">
            <v>1.47</v>
          </cell>
          <cell r="BV26">
            <v>1.87</v>
          </cell>
          <cell r="BW26">
            <v>1.84</v>
          </cell>
          <cell r="BX26">
            <v>1.96</v>
          </cell>
          <cell r="BY26">
            <v>1.61</v>
          </cell>
          <cell r="BZ26">
            <v>1.63</v>
          </cell>
          <cell r="CA26">
            <v>1.47</v>
          </cell>
          <cell r="CB26">
            <v>1.7</v>
          </cell>
          <cell r="CC26">
            <v>2.1800000000000002</v>
          </cell>
          <cell r="CD26">
            <v>2.06</v>
          </cell>
          <cell r="CE26">
            <v>2.1</v>
          </cell>
          <cell r="CF26">
            <v>2.4500000000000002</v>
          </cell>
          <cell r="CG26">
            <v>2.73</v>
          </cell>
        </row>
        <row r="27">
          <cell r="A27" t="str">
            <v>MALIN-400</v>
          </cell>
          <cell r="B27">
            <v>24</v>
          </cell>
          <cell r="AA27">
            <v>1.63</v>
          </cell>
          <cell r="AB27">
            <v>1.76</v>
          </cell>
          <cell r="AC27">
            <v>1.37</v>
          </cell>
          <cell r="AD27">
            <v>1.1000000000000001</v>
          </cell>
          <cell r="AE27">
            <v>1.0900000000000001</v>
          </cell>
          <cell r="AF27">
            <v>1.1100000000000001</v>
          </cell>
          <cell r="AG27">
            <v>1.2</v>
          </cell>
          <cell r="AH27">
            <v>1.21</v>
          </cell>
          <cell r="AI27">
            <v>1.05</v>
          </cell>
          <cell r="AJ27">
            <v>1.02</v>
          </cell>
          <cell r="AK27">
            <v>1.17</v>
          </cell>
          <cell r="AL27">
            <v>1.23</v>
          </cell>
          <cell r="AM27">
            <v>1.32</v>
          </cell>
          <cell r="AN27">
            <v>1.39</v>
          </cell>
          <cell r="AO27">
            <v>1.38</v>
          </cell>
          <cell r="AP27">
            <v>1.39</v>
          </cell>
          <cell r="AQ27">
            <v>1.32</v>
          </cell>
          <cell r="AR27">
            <v>1.23</v>
          </cell>
          <cell r="AS27">
            <v>1.1499999999999999</v>
          </cell>
          <cell r="AT27">
            <v>1.07</v>
          </cell>
          <cell r="AU27">
            <v>1.19</v>
          </cell>
          <cell r="AV27">
            <v>1.58</v>
          </cell>
          <cell r="AW27">
            <v>1.29</v>
          </cell>
          <cell r="AX27">
            <v>1.34</v>
          </cell>
          <cell r="AY27">
            <v>2.33</v>
          </cell>
          <cell r="AZ27">
            <v>3.62</v>
          </cell>
          <cell r="BA27">
            <v>4.1100000000000003</v>
          </cell>
          <cell r="BB27">
            <v>2.5</v>
          </cell>
          <cell r="BC27">
            <v>1.33</v>
          </cell>
          <cell r="BD27">
            <v>1.46</v>
          </cell>
          <cell r="BE27">
            <v>1.73</v>
          </cell>
          <cell r="BF27">
            <v>1.72</v>
          </cell>
          <cell r="BG27">
            <v>1.59</v>
          </cell>
          <cell r="BH27">
            <v>1.54</v>
          </cell>
          <cell r="BI27">
            <v>1.72</v>
          </cell>
          <cell r="BJ27">
            <v>2.2799999999999998</v>
          </cell>
          <cell r="BK27">
            <v>3.05</v>
          </cell>
          <cell r="BL27">
            <v>1.92</v>
          </cell>
          <cell r="BM27">
            <v>2.1</v>
          </cell>
          <cell r="BN27">
            <v>1.76</v>
          </cell>
          <cell r="BO27">
            <v>1.88</v>
          </cell>
          <cell r="BZ27">
            <v>1.74</v>
          </cell>
          <cell r="CA27">
            <v>1.62</v>
          </cell>
          <cell r="CB27">
            <v>1.64</v>
          </cell>
        </row>
        <row r="28">
          <cell r="A28" t="str">
            <v>MALIN-401</v>
          </cell>
          <cell r="B28">
            <v>25</v>
          </cell>
          <cell r="AC28">
            <v>1.1399999999999999</v>
          </cell>
          <cell r="AD28">
            <v>0.89</v>
          </cell>
          <cell r="AE28">
            <v>0.92</v>
          </cell>
          <cell r="AF28">
            <v>0.95</v>
          </cell>
          <cell r="AG28">
            <v>1.04</v>
          </cell>
          <cell r="AH28">
            <v>1.1000000000000001</v>
          </cell>
          <cell r="AI28">
            <v>0.91</v>
          </cell>
          <cell r="AJ28">
            <v>0.91</v>
          </cell>
          <cell r="AK28">
            <v>1.05</v>
          </cell>
          <cell r="AL28">
            <v>1.1100000000000001</v>
          </cell>
          <cell r="AM28">
            <v>1.17</v>
          </cell>
          <cell r="AN28">
            <v>1.27</v>
          </cell>
          <cell r="AO28">
            <v>1.23</v>
          </cell>
          <cell r="AP28">
            <v>1.24</v>
          </cell>
          <cell r="AQ28">
            <v>1.18</v>
          </cell>
          <cell r="AR28">
            <v>1.1000000000000001</v>
          </cell>
          <cell r="AS28">
            <v>1.03</v>
          </cell>
          <cell r="AT28">
            <v>1</v>
          </cell>
          <cell r="AU28">
            <v>1.19</v>
          </cell>
          <cell r="AV28">
            <v>1.56</v>
          </cell>
          <cell r="AW28">
            <v>1.25</v>
          </cell>
          <cell r="AX28">
            <v>1.29</v>
          </cell>
          <cell r="AY28">
            <v>2.2400000000000002</v>
          </cell>
          <cell r="AZ28">
            <v>3.52</v>
          </cell>
          <cell r="BA28">
            <v>4.0599999999999996</v>
          </cell>
          <cell r="BB28">
            <v>2.44</v>
          </cell>
          <cell r="BC28">
            <v>1.28</v>
          </cell>
          <cell r="BD28">
            <v>1.39</v>
          </cell>
          <cell r="BE28">
            <v>1.67</v>
          </cell>
          <cell r="BF28">
            <v>1.68</v>
          </cell>
          <cell r="BG28">
            <v>1.49</v>
          </cell>
          <cell r="BH28">
            <v>1.5</v>
          </cell>
          <cell r="BI28">
            <v>1.69</v>
          </cell>
          <cell r="BJ28">
            <v>2.25</v>
          </cell>
          <cell r="BK28">
            <v>2.88</v>
          </cell>
          <cell r="BL28">
            <v>1.8</v>
          </cell>
          <cell r="BM28">
            <v>1.96</v>
          </cell>
          <cell r="BN28">
            <v>1.7</v>
          </cell>
          <cell r="BO28">
            <v>2.3199999999999998</v>
          </cell>
        </row>
        <row r="29">
          <cell r="A29" t="str">
            <v>MICH</v>
          </cell>
          <cell r="B29">
            <v>26</v>
          </cell>
          <cell r="D29">
            <v>2.5</v>
          </cell>
          <cell r="E29">
            <v>2.29</v>
          </cell>
          <cell r="F29">
            <v>1.98</v>
          </cell>
          <cell r="G29">
            <v>2.12</v>
          </cell>
          <cell r="H29">
            <v>2.4900000000000002</v>
          </cell>
          <cell r="I29">
            <v>3.03</v>
          </cell>
          <cell r="J29">
            <v>2.36</v>
          </cell>
          <cell r="K29">
            <v>2.2200000000000002</v>
          </cell>
          <cell r="L29">
            <v>2.29</v>
          </cell>
          <cell r="M29">
            <v>2.61</v>
          </cell>
          <cell r="N29">
            <v>2.2000000000000002</v>
          </cell>
          <cell r="O29">
            <v>2.23</v>
          </cell>
          <cell r="P29">
            <v>2.54</v>
          </cell>
          <cell r="Q29">
            <v>2.25</v>
          </cell>
          <cell r="R29">
            <v>2.64</v>
          </cell>
          <cell r="S29">
            <v>2.77</v>
          </cell>
          <cell r="T29">
            <v>2.23</v>
          </cell>
          <cell r="U29">
            <v>2.23</v>
          </cell>
          <cell r="V29">
            <v>1.97</v>
          </cell>
          <cell r="W29">
            <v>2.0699999999999998</v>
          </cell>
          <cell r="X29">
            <v>1.91</v>
          </cell>
          <cell r="Y29">
            <v>1.61</v>
          </cell>
          <cell r="Z29">
            <v>1.49</v>
          </cell>
          <cell r="AA29">
            <v>1.85</v>
          </cell>
          <cell r="AB29">
            <v>1.86</v>
          </cell>
          <cell r="AC29">
            <v>1.75</v>
          </cell>
          <cell r="AD29">
            <v>1.52</v>
          </cell>
          <cell r="AE29">
            <v>1.5</v>
          </cell>
          <cell r="AF29">
            <v>1.64</v>
          </cell>
          <cell r="AG29">
            <v>1.76</v>
          </cell>
          <cell r="AH29">
            <v>1.82</v>
          </cell>
          <cell r="AI29">
            <v>1.59</v>
          </cell>
          <cell r="AJ29">
            <v>1.46</v>
          </cell>
          <cell r="AK29">
            <v>1.68</v>
          </cell>
          <cell r="AL29">
            <v>1.75</v>
          </cell>
          <cell r="AM29">
            <v>1.92</v>
          </cell>
          <cell r="AN29">
            <v>2.35</v>
          </cell>
          <cell r="AO29">
            <v>3.43</v>
          </cell>
          <cell r="AP29">
            <v>3.06</v>
          </cell>
          <cell r="AQ29">
            <v>4.8</v>
          </cell>
          <cell r="AR29">
            <v>3.01</v>
          </cell>
          <cell r="AS29">
            <v>2.38</v>
          </cell>
          <cell r="AT29">
            <v>2.6</v>
          </cell>
          <cell r="AU29">
            <v>2.9</v>
          </cell>
          <cell r="AV29">
            <v>2.5</v>
          </cell>
          <cell r="AW29">
            <v>2.0299999999999998</v>
          </cell>
          <cell r="AX29">
            <v>2.16</v>
          </cell>
          <cell r="AY29">
            <v>3.05</v>
          </cell>
          <cell r="AZ29">
            <v>4.08</v>
          </cell>
          <cell r="BA29">
            <v>4.38</v>
          </cell>
          <cell r="BB29">
            <v>3.36</v>
          </cell>
          <cell r="BC29">
            <v>1.94</v>
          </cell>
          <cell r="BD29">
            <v>2.12</v>
          </cell>
          <cell r="BE29">
            <v>2.2999999999999998</v>
          </cell>
          <cell r="BF29">
            <v>2.5299999999999998</v>
          </cell>
          <cell r="BG29">
            <v>2.3199999999999998</v>
          </cell>
          <cell r="BH29">
            <v>2.31</v>
          </cell>
          <cell r="BI29">
            <v>2.71</v>
          </cell>
          <cell r="BJ29">
            <v>3.37</v>
          </cell>
          <cell r="BK29">
            <v>3.54</v>
          </cell>
          <cell r="BL29">
            <v>3.54</v>
          </cell>
          <cell r="BM29">
            <v>2.38</v>
          </cell>
          <cell r="BN29">
            <v>2.1800000000000002</v>
          </cell>
          <cell r="BO29">
            <v>2.37</v>
          </cell>
          <cell r="BP29">
            <v>2.4700000000000002</v>
          </cell>
          <cell r="BQ29">
            <v>2.41</v>
          </cell>
          <cell r="BR29">
            <v>2.17</v>
          </cell>
          <cell r="BS29">
            <v>2.4300000000000002</v>
          </cell>
          <cell r="CE29">
            <v>2.34</v>
          </cell>
          <cell r="CF29">
            <v>2.7</v>
          </cell>
          <cell r="CG29">
            <v>2.98</v>
          </cell>
        </row>
        <row r="30">
          <cell r="A30" t="str">
            <v>MRC</v>
          </cell>
          <cell r="B30">
            <v>27</v>
          </cell>
          <cell r="C30">
            <v>2.36</v>
          </cell>
          <cell r="D30">
            <v>2.31</v>
          </cell>
          <cell r="E30">
            <v>2.04</v>
          </cell>
          <cell r="F30">
            <v>1.66</v>
          </cell>
          <cell r="G30">
            <v>1.99</v>
          </cell>
          <cell r="H30">
            <v>2.2799999999999998</v>
          </cell>
          <cell r="I30">
            <v>2.7</v>
          </cell>
          <cell r="J30">
            <v>2</v>
          </cell>
          <cell r="K30">
            <v>2.0299999999999998</v>
          </cell>
          <cell r="L30">
            <v>2.1800000000000002</v>
          </cell>
          <cell r="M30">
            <v>2.42</v>
          </cell>
          <cell r="N30">
            <v>2.08</v>
          </cell>
          <cell r="O30">
            <v>2.16</v>
          </cell>
          <cell r="P30">
            <v>2.4700000000000002</v>
          </cell>
          <cell r="Q30">
            <v>2.08</v>
          </cell>
          <cell r="R30">
            <v>2.4</v>
          </cell>
          <cell r="S30">
            <v>2.4300000000000002</v>
          </cell>
          <cell r="T30">
            <v>2.04</v>
          </cell>
          <cell r="U30">
            <v>2.1</v>
          </cell>
          <cell r="V30">
            <v>1.86</v>
          </cell>
          <cell r="W30">
            <v>1.99</v>
          </cell>
          <cell r="X30">
            <v>1.82</v>
          </cell>
          <cell r="Y30">
            <v>1.52</v>
          </cell>
          <cell r="Z30">
            <v>1.45</v>
          </cell>
          <cell r="AA30">
            <v>1.71</v>
          </cell>
          <cell r="AB30">
            <v>1.7</v>
          </cell>
          <cell r="AC30">
            <v>1.65</v>
          </cell>
          <cell r="AD30">
            <v>1.44</v>
          </cell>
          <cell r="AE30">
            <v>1.51</v>
          </cell>
          <cell r="AF30">
            <v>1.61</v>
          </cell>
          <cell r="AG30">
            <v>1.69</v>
          </cell>
          <cell r="AH30">
            <v>1.75</v>
          </cell>
          <cell r="AI30">
            <v>1.55</v>
          </cell>
          <cell r="AJ30">
            <v>1.41</v>
          </cell>
          <cell r="AK30">
            <v>1.59</v>
          </cell>
          <cell r="AL30">
            <v>1.67</v>
          </cell>
          <cell r="AM30">
            <v>1.82</v>
          </cell>
          <cell r="AN30">
            <v>2.31</v>
          </cell>
          <cell r="AO30">
            <v>3.47</v>
          </cell>
          <cell r="AP30">
            <v>2.4300000000000002</v>
          </cell>
          <cell r="AQ30">
            <v>2.86</v>
          </cell>
          <cell r="AR30">
            <v>2.74</v>
          </cell>
          <cell r="AS30">
            <v>2.25</v>
          </cell>
          <cell r="AT30">
            <v>2.42</v>
          </cell>
          <cell r="AU30">
            <v>2.69</v>
          </cell>
          <cell r="AV30">
            <v>2.37</v>
          </cell>
          <cell r="AW30">
            <v>1.87</v>
          </cell>
          <cell r="AX30">
            <v>1.9</v>
          </cell>
          <cell r="AY30">
            <v>2.75</v>
          </cell>
          <cell r="AZ30">
            <v>3.94</v>
          </cell>
          <cell r="BA30">
            <v>4.1500000000000004</v>
          </cell>
          <cell r="BB30">
            <v>2.99</v>
          </cell>
          <cell r="BC30">
            <v>1.76</v>
          </cell>
          <cell r="BD30">
            <v>1.87</v>
          </cell>
          <cell r="BE30">
            <v>2.16</v>
          </cell>
          <cell r="BF30">
            <v>2.36</v>
          </cell>
          <cell r="BG30">
            <v>2.21</v>
          </cell>
          <cell r="BH30">
            <v>2.23</v>
          </cell>
          <cell r="BI30">
            <v>2.58</v>
          </cell>
          <cell r="BJ30">
            <v>3.15</v>
          </cell>
          <cell r="BK30">
            <v>3.32</v>
          </cell>
          <cell r="BL30">
            <v>2.58</v>
          </cell>
          <cell r="BM30">
            <v>2.3199999999999998</v>
          </cell>
          <cell r="BN30">
            <v>2.06</v>
          </cell>
        </row>
        <row r="31">
          <cell r="A31" t="str">
            <v>NGPL-LA</v>
          </cell>
          <cell r="B31">
            <v>28</v>
          </cell>
          <cell r="C31">
            <v>2.2999999999999998</v>
          </cell>
          <cell r="D31">
            <v>2.2000000000000002</v>
          </cell>
          <cell r="E31">
            <v>1.92</v>
          </cell>
          <cell r="F31">
            <v>1.62</v>
          </cell>
          <cell r="G31">
            <v>1.86</v>
          </cell>
          <cell r="H31">
            <v>2.16</v>
          </cell>
          <cell r="I31">
            <v>2.67</v>
          </cell>
          <cell r="J31">
            <v>1.98</v>
          </cell>
          <cell r="K31">
            <v>1.9</v>
          </cell>
          <cell r="L31">
            <v>2.04</v>
          </cell>
          <cell r="M31">
            <v>2.33</v>
          </cell>
          <cell r="N31">
            <v>1.97</v>
          </cell>
          <cell r="O31">
            <v>2.08</v>
          </cell>
          <cell r="P31">
            <v>2.33</v>
          </cell>
          <cell r="Q31">
            <v>1.98</v>
          </cell>
          <cell r="R31">
            <v>2.2799999999999998</v>
          </cell>
          <cell r="S31">
            <v>2.25</v>
          </cell>
          <cell r="T31">
            <v>1.92</v>
          </cell>
          <cell r="U31">
            <v>2</v>
          </cell>
          <cell r="V31">
            <v>1.74</v>
          </cell>
          <cell r="W31">
            <v>1.86</v>
          </cell>
          <cell r="X31">
            <v>1.72</v>
          </cell>
          <cell r="Y31">
            <v>1.43</v>
          </cell>
          <cell r="Z31">
            <v>1.36</v>
          </cell>
          <cell r="AA31">
            <v>1.61</v>
          </cell>
          <cell r="AB31">
            <v>1.61</v>
          </cell>
          <cell r="AC31">
            <v>1.55</v>
          </cell>
          <cell r="AD31">
            <v>1.35</v>
          </cell>
          <cell r="AE31">
            <v>1.37</v>
          </cell>
          <cell r="AF31">
            <v>1.49</v>
          </cell>
          <cell r="AG31">
            <v>1.61</v>
          </cell>
          <cell r="AH31">
            <v>1.65</v>
          </cell>
          <cell r="AI31">
            <v>1.44</v>
          </cell>
          <cell r="AJ31">
            <v>1.31</v>
          </cell>
          <cell r="AK31">
            <v>1.51</v>
          </cell>
          <cell r="AL31">
            <v>1.59</v>
          </cell>
          <cell r="AM31">
            <v>1.72</v>
          </cell>
          <cell r="AN31">
            <v>2.15</v>
          </cell>
          <cell r="AO31">
            <v>2.13</v>
          </cell>
          <cell r="AP31">
            <v>1.9</v>
          </cell>
          <cell r="AQ31">
            <v>2.15</v>
          </cell>
          <cell r="AR31">
            <v>2.4</v>
          </cell>
          <cell r="AS31">
            <v>2.12</v>
          </cell>
          <cell r="AT31">
            <v>2.25</v>
          </cell>
          <cell r="AU31">
            <v>2.57</v>
          </cell>
          <cell r="AV31">
            <v>2.2200000000000002</v>
          </cell>
          <cell r="AW31">
            <v>1.74</v>
          </cell>
          <cell r="AX31">
            <v>1.78</v>
          </cell>
          <cell r="AY31">
            <v>2.61</v>
          </cell>
          <cell r="AZ31">
            <v>3.72</v>
          </cell>
          <cell r="BA31">
            <v>4</v>
          </cell>
          <cell r="BB31">
            <v>2.82</v>
          </cell>
          <cell r="BC31">
            <v>1.69</v>
          </cell>
          <cell r="BD31">
            <v>1.74</v>
          </cell>
          <cell r="BE31">
            <v>2.04</v>
          </cell>
          <cell r="BF31">
            <v>2.23</v>
          </cell>
          <cell r="BG31">
            <v>2.09</v>
          </cell>
          <cell r="BH31">
            <v>2.11</v>
          </cell>
          <cell r="BI31">
            <v>2.4700000000000002</v>
          </cell>
          <cell r="BJ31">
            <v>3.05</v>
          </cell>
          <cell r="BK31">
            <v>3.17</v>
          </cell>
          <cell r="BL31">
            <v>2.37</v>
          </cell>
          <cell r="BM31">
            <v>2.15</v>
          </cell>
          <cell r="BN31">
            <v>1.92</v>
          </cell>
          <cell r="BO31">
            <v>2.1800000000000002</v>
          </cell>
          <cell r="BP31">
            <v>2.23</v>
          </cell>
          <cell r="BQ31">
            <v>2.2000000000000002</v>
          </cell>
          <cell r="BR31">
            <v>1.97</v>
          </cell>
          <cell r="BS31">
            <v>2.31</v>
          </cell>
          <cell r="BT31">
            <v>1.86</v>
          </cell>
          <cell r="BU31">
            <v>1.56</v>
          </cell>
          <cell r="BV31">
            <v>1.96</v>
          </cell>
          <cell r="BW31">
            <v>1.95</v>
          </cell>
          <cell r="BX31">
            <v>2.08</v>
          </cell>
          <cell r="BY31">
            <v>1.72</v>
          </cell>
          <cell r="BZ31">
            <v>1.75</v>
          </cell>
          <cell r="CA31">
            <v>1.58</v>
          </cell>
          <cell r="CB31">
            <v>1.83</v>
          </cell>
          <cell r="CC31">
            <v>2.2999999999999998</v>
          </cell>
          <cell r="CD31">
            <v>2.1800000000000002</v>
          </cell>
          <cell r="CE31">
            <v>2.21</v>
          </cell>
          <cell r="CF31">
            <v>2.57</v>
          </cell>
          <cell r="CG31">
            <v>2.84</v>
          </cell>
        </row>
        <row r="32">
          <cell r="A32" t="str">
            <v>NGPL-MC</v>
          </cell>
          <cell r="B32">
            <v>29</v>
          </cell>
          <cell r="AQ32">
            <v>1.9</v>
          </cell>
          <cell r="AR32">
            <v>2.14</v>
          </cell>
          <cell r="AS32">
            <v>2.0099999999999998</v>
          </cell>
          <cell r="AT32">
            <v>2.0499999999999998</v>
          </cell>
          <cell r="AU32">
            <v>2.1800000000000002</v>
          </cell>
          <cell r="AV32">
            <v>2.14</v>
          </cell>
          <cell r="AW32">
            <v>1.67</v>
          </cell>
          <cell r="AX32">
            <v>1.69</v>
          </cell>
          <cell r="AY32">
            <v>2.4900000000000002</v>
          </cell>
          <cell r="AZ32">
            <v>3.62</v>
          </cell>
          <cell r="BA32">
            <v>3.95</v>
          </cell>
          <cell r="BB32">
            <v>2.76</v>
          </cell>
          <cell r="BC32">
            <v>1.62</v>
          </cell>
          <cell r="BD32">
            <v>1.71</v>
          </cell>
          <cell r="BE32">
            <v>1.95</v>
          </cell>
          <cell r="BF32">
            <v>2.13</v>
          </cell>
          <cell r="BG32">
            <v>2.0099999999999998</v>
          </cell>
          <cell r="BH32">
            <v>2.06</v>
          </cell>
          <cell r="BI32">
            <v>2.41</v>
          </cell>
          <cell r="BJ32">
            <v>3</v>
          </cell>
          <cell r="BK32">
            <v>3.12</v>
          </cell>
          <cell r="BL32">
            <v>2.3199999999999998</v>
          </cell>
          <cell r="BM32">
            <v>2.14</v>
          </cell>
          <cell r="BN32">
            <v>1.92</v>
          </cell>
          <cell r="BO32">
            <v>2.15</v>
          </cell>
          <cell r="BP32">
            <v>2.19</v>
          </cell>
          <cell r="BQ32">
            <v>2.17</v>
          </cell>
          <cell r="BR32">
            <v>1.94</v>
          </cell>
          <cell r="BS32">
            <v>2.27</v>
          </cell>
          <cell r="BT32">
            <v>1.84</v>
          </cell>
          <cell r="BU32">
            <v>1.56</v>
          </cell>
          <cell r="BV32">
            <v>1.9</v>
          </cell>
          <cell r="BW32">
            <v>1.95</v>
          </cell>
          <cell r="BX32">
            <v>2.0499999999999998</v>
          </cell>
          <cell r="BY32">
            <v>1.74</v>
          </cell>
          <cell r="BZ32">
            <v>1.73</v>
          </cell>
          <cell r="CA32">
            <v>1.55</v>
          </cell>
          <cell r="CB32">
            <v>1.74</v>
          </cell>
          <cell r="CC32">
            <v>2.21</v>
          </cell>
          <cell r="CD32">
            <v>2.11</v>
          </cell>
          <cell r="CE32">
            <v>2.16</v>
          </cell>
          <cell r="CF32">
            <v>2.5</v>
          </cell>
          <cell r="CG32">
            <v>2.76</v>
          </cell>
        </row>
        <row r="33">
          <cell r="A33" t="str">
            <v>NGPL-OK</v>
          </cell>
          <cell r="B33">
            <v>30</v>
          </cell>
          <cell r="C33">
            <v>2.0499999999999998</v>
          </cell>
          <cell r="D33">
            <v>2.02</v>
          </cell>
          <cell r="E33">
            <v>1.91</v>
          </cell>
          <cell r="F33">
            <v>1.6</v>
          </cell>
          <cell r="G33">
            <v>1.84</v>
          </cell>
          <cell r="H33">
            <v>2.08</v>
          </cell>
          <cell r="I33">
            <v>2.58</v>
          </cell>
          <cell r="J33">
            <v>1.8</v>
          </cell>
          <cell r="K33">
            <v>1.8</v>
          </cell>
          <cell r="L33">
            <v>1.93</v>
          </cell>
          <cell r="M33">
            <v>2.17</v>
          </cell>
          <cell r="N33">
            <v>1.85</v>
          </cell>
          <cell r="O33">
            <v>1.88</v>
          </cell>
          <cell r="P33">
            <v>2.2200000000000002</v>
          </cell>
          <cell r="Q33">
            <v>1.93</v>
          </cell>
          <cell r="R33">
            <v>2.09</v>
          </cell>
          <cell r="S33">
            <v>2.14</v>
          </cell>
          <cell r="T33">
            <v>1.8</v>
          </cell>
          <cell r="U33">
            <v>1.84</v>
          </cell>
          <cell r="V33">
            <v>1.56</v>
          </cell>
          <cell r="W33">
            <v>1.68</v>
          </cell>
          <cell r="X33">
            <v>1.59</v>
          </cell>
          <cell r="Y33">
            <v>1.4</v>
          </cell>
          <cell r="Z33">
            <v>1.3</v>
          </cell>
          <cell r="AA33">
            <v>1.52</v>
          </cell>
          <cell r="AB33">
            <v>1.6</v>
          </cell>
          <cell r="AC33">
            <v>1.5</v>
          </cell>
          <cell r="AD33">
            <v>1.26</v>
          </cell>
          <cell r="AE33">
            <v>1.27</v>
          </cell>
          <cell r="AF33">
            <v>1.34</v>
          </cell>
          <cell r="AG33">
            <v>1.44</v>
          </cell>
          <cell r="AH33">
            <v>1.45</v>
          </cell>
          <cell r="AI33">
            <v>1.24</v>
          </cell>
          <cell r="AJ33">
            <v>1.2</v>
          </cell>
          <cell r="AK33">
            <v>1.41</v>
          </cell>
          <cell r="AL33">
            <v>1.5</v>
          </cell>
          <cell r="AM33">
            <v>1.7</v>
          </cell>
          <cell r="AN33">
            <v>1.88</v>
          </cell>
          <cell r="AO33">
            <v>2</v>
          </cell>
          <cell r="AP33">
            <v>1.79</v>
          </cell>
          <cell r="BB33">
            <v>2.83</v>
          </cell>
          <cell r="BC33">
            <v>1.65</v>
          </cell>
          <cell r="BD33">
            <v>1.74</v>
          </cell>
          <cell r="BE33">
            <v>1.96</v>
          </cell>
          <cell r="BF33">
            <v>2.13</v>
          </cell>
          <cell r="BG33">
            <v>2.02</v>
          </cell>
          <cell r="BH33">
            <v>2.08</v>
          </cell>
          <cell r="BI33">
            <v>2.4300000000000002</v>
          </cell>
        </row>
        <row r="34">
          <cell r="A34" t="str">
            <v>NGPL-TOK</v>
          </cell>
          <cell r="B34">
            <v>31</v>
          </cell>
          <cell r="AQ34">
            <v>1.97</v>
          </cell>
          <cell r="AR34">
            <v>2.23</v>
          </cell>
          <cell r="AS34">
            <v>2.14</v>
          </cell>
          <cell r="AT34">
            <v>2.2400000000000002</v>
          </cell>
          <cell r="AU34">
            <v>2.5099999999999998</v>
          </cell>
          <cell r="AV34">
            <v>2.23</v>
          </cell>
          <cell r="AW34">
            <v>1.75</v>
          </cell>
          <cell r="AX34">
            <v>1.76</v>
          </cell>
          <cell r="AY34">
            <v>2.57</v>
          </cell>
          <cell r="AZ34">
            <v>3.69</v>
          </cell>
          <cell r="BA34">
            <v>3.8</v>
          </cell>
          <cell r="BB34">
            <v>2.75</v>
          </cell>
          <cell r="BC34">
            <v>1.64</v>
          </cell>
          <cell r="BD34">
            <v>1.74</v>
          </cell>
          <cell r="BE34">
            <v>2.0299999999999998</v>
          </cell>
          <cell r="BF34">
            <v>2.2400000000000002</v>
          </cell>
          <cell r="BG34">
            <v>2.08</v>
          </cell>
          <cell r="BH34">
            <v>2.12</v>
          </cell>
          <cell r="BI34">
            <v>2.46</v>
          </cell>
          <cell r="BJ34">
            <v>3.07</v>
          </cell>
          <cell r="BK34">
            <v>3.18</v>
          </cell>
          <cell r="BL34">
            <v>2.35</v>
          </cell>
          <cell r="BM34">
            <v>2.16</v>
          </cell>
          <cell r="BN34">
            <v>1.96</v>
          </cell>
          <cell r="BO34">
            <v>2.19</v>
          </cell>
          <cell r="BP34">
            <v>2.23</v>
          </cell>
          <cell r="BQ34">
            <v>2.2200000000000002</v>
          </cell>
          <cell r="BR34">
            <v>1.98</v>
          </cell>
          <cell r="BS34">
            <v>2.31</v>
          </cell>
          <cell r="BT34">
            <v>1.88</v>
          </cell>
          <cell r="BU34">
            <v>1.58</v>
          </cell>
          <cell r="BV34">
            <v>1.95</v>
          </cell>
          <cell r="BW34">
            <v>1.96</v>
          </cell>
          <cell r="BX34">
            <v>2.06</v>
          </cell>
          <cell r="BY34">
            <v>1.74</v>
          </cell>
          <cell r="BZ34">
            <v>1.75</v>
          </cell>
          <cell r="CA34">
            <v>1.57</v>
          </cell>
          <cell r="CB34">
            <v>1.8</v>
          </cell>
          <cell r="CC34">
            <v>2.2799999999999998</v>
          </cell>
          <cell r="CD34">
            <v>2.1800000000000002</v>
          </cell>
          <cell r="CE34">
            <v>2.2200000000000002</v>
          </cell>
          <cell r="CF34">
            <v>2.5499999999999998</v>
          </cell>
          <cell r="CG34">
            <v>2.83</v>
          </cell>
        </row>
        <row r="35">
          <cell r="A35" t="str">
            <v>NGPL-STX</v>
          </cell>
          <cell r="B35">
            <v>32</v>
          </cell>
          <cell r="C35">
            <v>2.2000000000000002</v>
          </cell>
          <cell r="D35">
            <v>2.1</v>
          </cell>
          <cell r="E35">
            <v>1.92</v>
          </cell>
          <cell r="F35">
            <v>1.58</v>
          </cell>
          <cell r="G35">
            <v>1.85</v>
          </cell>
          <cell r="H35">
            <v>2.15</v>
          </cell>
          <cell r="I35">
            <v>2.6</v>
          </cell>
          <cell r="J35">
            <v>1.9</v>
          </cell>
          <cell r="K35">
            <v>1.89</v>
          </cell>
          <cell r="L35">
            <v>2.02</v>
          </cell>
          <cell r="M35">
            <v>2.3199999999999998</v>
          </cell>
          <cell r="N35">
            <v>1.95</v>
          </cell>
          <cell r="O35">
            <v>2.04</v>
          </cell>
          <cell r="P35">
            <v>2.2999999999999998</v>
          </cell>
          <cell r="Q35">
            <v>1.97</v>
          </cell>
          <cell r="R35">
            <v>2.23</v>
          </cell>
          <cell r="S35">
            <v>2.2400000000000002</v>
          </cell>
          <cell r="T35">
            <v>1.86</v>
          </cell>
          <cell r="U35">
            <v>1.97</v>
          </cell>
          <cell r="V35">
            <v>1.72</v>
          </cell>
          <cell r="W35">
            <v>1.88</v>
          </cell>
          <cell r="X35">
            <v>1.72</v>
          </cell>
          <cell r="Y35">
            <v>1.41</v>
          </cell>
          <cell r="Z35">
            <v>1.34</v>
          </cell>
          <cell r="AA35">
            <v>1.6</v>
          </cell>
          <cell r="AB35">
            <v>1.61</v>
          </cell>
          <cell r="AC35">
            <v>1.52</v>
          </cell>
          <cell r="AD35">
            <v>1.32</v>
          </cell>
          <cell r="AE35">
            <v>1.34</v>
          </cell>
          <cell r="AF35">
            <v>1.48</v>
          </cell>
          <cell r="AG35">
            <v>1.59</v>
          </cell>
          <cell r="AH35">
            <v>1.63</v>
          </cell>
          <cell r="AI35">
            <v>1.41</v>
          </cell>
          <cell r="AJ35">
            <v>1.3</v>
          </cell>
          <cell r="AK35">
            <v>1.51</v>
          </cell>
          <cell r="AL35">
            <v>1.58</v>
          </cell>
          <cell r="AM35">
            <v>1.7</v>
          </cell>
          <cell r="AN35">
            <v>2.1</v>
          </cell>
          <cell r="AO35">
            <v>2.0499999999999998</v>
          </cell>
          <cell r="AP35">
            <v>1.8</v>
          </cell>
          <cell r="AQ35">
            <v>1.97</v>
          </cell>
          <cell r="AR35">
            <v>2.25</v>
          </cell>
          <cell r="AS35">
            <v>2.11</v>
          </cell>
          <cell r="AT35">
            <v>2.2400000000000002</v>
          </cell>
          <cell r="AU35">
            <v>2.52</v>
          </cell>
          <cell r="AV35">
            <v>2.23</v>
          </cell>
          <cell r="AW35">
            <v>1.73</v>
          </cell>
          <cell r="AX35">
            <v>1.75</v>
          </cell>
          <cell r="AY35">
            <v>2.61</v>
          </cell>
          <cell r="AZ35">
            <v>3.66</v>
          </cell>
          <cell r="BA35">
            <v>3.85</v>
          </cell>
          <cell r="BB35">
            <v>2.73</v>
          </cell>
          <cell r="BC35">
            <v>1.64</v>
          </cell>
          <cell r="BD35">
            <v>1.75</v>
          </cell>
          <cell r="BE35">
            <v>2.04</v>
          </cell>
          <cell r="BF35">
            <v>2.2200000000000002</v>
          </cell>
          <cell r="BG35">
            <v>2.09</v>
          </cell>
          <cell r="BH35">
            <v>2.1</v>
          </cell>
          <cell r="BI35">
            <v>2.4500000000000002</v>
          </cell>
          <cell r="BJ35">
            <v>3.05</v>
          </cell>
          <cell r="BK35">
            <v>3.18</v>
          </cell>
          <cell r="BL35">
            <v>2.35</v>
          </cell>
          <cell r="BM35">
            <v>2.16</v>
          </cell>
          <cell r="BN35">
            <v>1.93</v>
          </cell>
          <cell r="BO35">
            <v>2.17</v>
          </cell>
          <cell r="BP35">
            <v>2.23</v>
          </cell>
          <cell r="BQ35">
            <v>2.2000000000000002</v>
          </cell>
          <cell r="BR35">
            <v>1.96</v>
          </cell>
          <cell r="BS35">
            <v>2.29</v>
          </cell>
          <cell r="BT35">
            <v>1.85</v>
          </cell>
          <cell r="BU35">
            <v>1.53</v>
          </cell>
          <cell r="BV35">
            <v>1.93</v>
          </cell>
          <cell r="BW35">
            <v>1.88</v>
          </cell>
          <cell r="BX35">
            <v>2.02</v>
          </cell>
          <cell r="BY35">
            <v>1.69</v>
          </cell>
          <cell r="BZ35">
            <v>1.73</v>
          </cell>
          <cell r="CA35">
            <v>1.56</v>
          </cell>
          <cell r="CB35">
            <v>1.8</v>
          </cell>
          <cell r="CC35">
            <v>2.2799999999999998</v>
          </cell>
          <cell r="CD35">
            <v>2.15</v>
          </cell>
          <cell r="CE35">
            <v>2.19</v>
          </cell>
          <cell r="CF35">
            <v>2.5499999999999998</v>
          </cell>
          <cell r="CG35">
            <v>2.82</v>
          </cell>
        </row>
        <row r="36">
          <cell r="A36" t="str">
            <v>NNG-DEMARC</v>
          </cell>
          <cell r="B36">
            <v>33</v>
          </cell>
          <cell r="M36">
            <v>2.1</v>
          </cell>
          <cell r="N36">
            <v>1.9</v>
          </cell>
          <cell r="O36">
            <v>1.89</v>
          </cell>
          <cell r="Q36">
            <v>1.95</v>
          </cell>
          <cell r="R36">
            <v>2.0499999999999998</v>
          </cell>
          <cell r="S36">
            <v>2.14</v>
          </cell>
          <cell r="T36">
            <v>1.77</v>
          </cell>
          <cell r="U36">
            <v>1.77</v>
          </cell>
          <cell r="V36">
            <v>1.5</v>
          </cell>
          <cell r="W36">
            <v>1.61</v>
          </cell>
          <cell r="X36">
            <v>1.55</v>
          </cell>
          <cell r="Y36">
            <v>1.39</v>
          </cell>
          <cell r="Z36">
            <v>1.39</v>
          </cell>
          <cell r="AA36">
            <v>1.47</v>
          </cell>
          <cell r="AB36">
            <v>1.6</v>
          </cell>
          <cell r="AC36">
            <v>1.5</v>
          </cell>
          <cell r="AD36">
            <v>1.25</v>
          </cell>
          <cell r="AE36">
            <v>1.24</v>
          </cell>
          <cell r="AF36">
            <v>1.28</v>
          </cell>
          <cell r="AG36">
            <v>1.41</v>
          </cell>
          <cell r="AH36">
            <v>1.42</v>
          </cell>
          <cell r="AI36">
            <v>1.23</v>
          </cell>
          <cell r="AJ36">
            <v>1.19</v>
          </cell>
          <cell r="AK36">
            <v>1.41</v>
          </cell>
          <cell r="AL36">
            <v>1.5</v>
          </cell>
          <cell r="AM36">
            <v>1.63</v>
          </cell>
          <cell r="AN36">
            <v>1.9</v>
          </cell>
          <cell r="AO36">
            <v>2.0499999999999998</v>
          </cell>
          <cell r="AP36">
            <v>1.86</v>
          </cell>
          <cell r="AQ36">
            <v>1.98</v>
          </cell>
          <cell r="AR36">
            <v>2.16</v>
          </cell>
          <cell r="AS36">
            <v>1.99</v>
          </cell>
          <cell r="AT36">
            <v>2.0299999999999998</v>
          </cell>
          <cell r="AU36">
            <v>2.17</v>
          </cell>
          <cell r="AV36">
            <v>2.08</v>
          </cell>
          <cell r="AW36">
            <v>1.63</v>
          </cell>
          <cell r="AX36">
            <v>1.71</v>
          </cell>
          <cell r="AY36">
            <v>2.59</v>
          </cell>
          <cell r="AZ36">
            <v>3.62</v>
          </cell>
          <cell r="BA36">
            <v>4.22</v>
          </cell>
          <cell r="BB36">
            <v>2.87</v>
          </cell>
          <cell r="BC36">
            <v>1.65</v>
          </cell>
          <cell r="BD36">
            <v>1.73</v>
          </cell>
          <cell r="BE36">
            <v>1.94</v>
          </cell>
          <cell r="BF36">
            <v>2.11</v>
          </cell>
          <cell r="BG36">
            <v>2.0099999999999998</v>
          </cell>
          <cell r="BH36">
            <v>2.0499999999999998</v>
          </cell>
          <cell r="BI36">
            <v>2.42</v>
          </cell>
          <cell r="BJ36">
            <v>3.02</v>
          </cell>
          <cell r="BK36">
            <v>3.29</v>
          </cell>
          <cell r="BL36">
            <v>2.4500000000000002</v>
          </cell>
          <cell r="BM36">
            <v>2.1800000000000002</v>
          </cell>
          <cell r="BN36">
            <v>1.95</v>
          </cell>
          <cell r="BO36">
            <v>2.16</v>
          </cell>
          <cell r="BP36">
            <v>2.1800000000000002</v>
          </cell>
          <cell r="BQ36">
            <v>2.16</v>
          </cell>
          <cell r="BR36">
            <v>1.93</v>
          </cell>
          <cell r="BS36">
            <v>2.27</v>
          </cell>
          <cell r="BT36">
            <v>1.86</v>
          </cell>
          <cell r="BU36">
            <v>1.57</v>
          </cell>
          <cell r="BV36">
            <v>1.92</v>
          </cell>
          <cell r="BW36">
            <v>2</v>
          </cell>
          <cell r="BX36">
            <v>2.12</v>
          </cell>
          <cell r="BY36">
            <v>1.83</v>
          </cell>
          <cell r="BZ36">
            <v>1.8</v>
          </cell>
          <cell r="CA36">
            <v>1.59</v>
          </cell>
          <cell r="CB36">
            <v>1.76</v>
          </cell>
          <cell r="CC36">
            <v>2.21</v>
          </cell>
          <cell r="CD36">
            <v>2.14</v>
          </cell>
          <cell r="CE36">
            <v>2.19</v>
          </cell>
          <cell r="CF36">
            <v>2.5299999999999998</v>
          </cell>
          <cell r="CG36">
            <v>2.78</v>
          </cell>
        </row>
        <row r="37">
          <cell r="A37" t="str">
            <v>NNG-TOK</v>
          </cell>
          <cell r="B37">
            <v>34</v>
          </cell>
          <cell r="C37">
            <v>1.96</v>
          </cell>
          <cell r="D37">
            <v>1.92</v>
          </cell>
          <cell r="E37">
            <v>1.9</v>
          </cell>
          <cell r="F37">
            <v>1.5</v>
          </cell>
          <cell r="G37">
            <v>1.75</v>
          </cell>
          <cell r="H37">
            <v>1.95</v>
          </cell>
          <cell r="I37">
            <v>2.4500000000000002</v>
          </cell>
          <cell r="J37">
            <v>1.71</v>
          </cell>
          <cell r="K37">
            <v>1.71</v>
          </cell>
          <cell r="L37">
            <v>1.81</v>
          </cell>
          <cell r="M37">
            <v>2.0499999999999998</v>
          </cell>
          <cell r="N37">
            <v>1.8</v>
          </cell>
          <cell r="O37">
            <v>1.81</v>
          </cell>
          <cell r="P37">
            <v>2.2599999999999998</v>
          </cell>
          <cell r="Q37">
            <v>1.89</v>
          </cell>
          <cell r="R37">
            <v>1.97</v>
          </cell>
          <cell r="S37">
            <v>2.0299999999999998</v>
          </cell>
          <cell r="T37">
            <v>1.73</v>
          </cell>
          <cell r="U37">
            <v>1.73</v>
          </cell>
          <cell r="V37">
            <v>1.47</v>
          </cell>
          <cell r="W37">
            <v>1.6</v>
          </cell>
          <cell r="X37">
            <v>1.53</v>
          </cell>
          <cell r="Y37">
            <v>1.36</v>
          </cell>
          <cell r="Z37">
            <v>1.22</v>
          </cell>
          <cell r="AA37">
            <v>1.44</v>
          </cell>
          <cell r="AB37">
            <v>1.57</v>
          </cell>
          <cell r="AC37">
            <v>1.46</v>
          </cell>
          <cell r="AD37">
            <v>1.21</v>
          </cell>
          <cell r="AE37">
            <v>1.2</v>
          </cell>
          <cell r="AF37">
            <v>1.26</v>
          </cell>
          <cell r="AG37">
            <v>1.37</v>
          </cell>
          <cell r="AH37">
            <v>1.39</v>
          </cell>
          <cell r="AI37">
            <v>1.2</v>
          </cell>
          <cell r="AJ37">
            <v>1.17</v>
          </cell>
          <cell r="AK37">
            <v>1.38</v>
          </cell>
          <cell r="AL37">
            <v>1.46</v>
          </cell>
          <cell r="AM37">
            <v>1.57</v>
          </cell>
          <cell r="AN37">
            <v>1.84</v>
          </cell>
          <cell r="AO37">
            <v>1.93</v>
          </cell>
          <cell r="AP37">
            <v>1.73</v>
          </cell>
          <cell r="AQ37">
            <v>1.87</v>
          </cell>
          <cell r="AR37">
            <v>2.06</v>
          </cell>
          <cell r="AS37">
            <v>1.95</v>
          </cell>
          <cell r="AT37">
            <v>1.98</v>
          </cell>
          <cell r="AU37">
            <v>2.1</v>
          </cell>
          <cell r="AV37">
            <v>2.0299999999999998</v>
          </cell>
          <cell r="AW37">
            <v>1.57</v>
          </cell>
          <cell r="AX37">
            <v>1.64</v>
          </cell>
          <cell r="AY37">
            <v>2.48</v>
          </cell>
          <cell r="AZ37">
            <v>3.52</v>
          </cell>
          <cell r="BA37">
            <v>3.8</v>
          </cell>
          <cell r="BB37">
            <v>2.73</v>
          </cell>
          <cell r="BC37">
            <v>1.56</v>
          </cell>
          <cell r="BD37">
            <v>1.63</v>
          </cell>
          <cell r="BE37">
            <v>1.85</v>
          </cell>
          <cell r="BF37">
            <v>2.04</v>
          </cell>
          <cell r="BG37">
            <v>1.91</v>
          </cell>
          <cell r="BH37">
            <v>1.96</v>
          </cell>
          <cell r="BI37">
            <v>2.33</v>
          </cell>
          <cell r="BJ37">
            <v>2.86</v>
          </cell>
          <cell r="BK37">
            <v>3.09</v>
          </cell>
          <cell r="BL37">
            <v>2.2799999999999998</v>
          </cell>
          <cell r="BM37">
            <v>2.0499999999999998</v>
          </cell>
          <cell r="BN37">
            <v>1.86</v>
          </cell>
          <cell r="BO37">
            <v>2.06</v>
          </cell>
          <cell r="BP37">
            <v>2.06</v>
          </cell>
          <cell r="BQ37">
            <v>2.0499999999999998</v>
          </cell>
          <cell r="BR37">
            <v>1.84</v>
          </cell>
          <cell r="BS37">
            <v>2.15</v>
          </cell>
          <cell r="BT37">
            <v>1.79</v>
          </cell>
          <cell r="BU37">
            <v>1.5</v>
          </cell>
          <cell r="BV37">
            <v>1.78</v>
          </cell>
          <cell r="BW37">
            <v>1.86</v>
          </cell>
          <cell r="BX37">
            <v>1.98</v>
          </cell>
          <cell r="BY37">
            <v>1.74</v>
          </cell>
          <cell r="BZ37">
            <v>1.72</v>
          </cell>
          <cell r="CA37">
            <v>1.48</v>
          </cell>
          <cell r="CB37">
            <v>1.67</v>
          </cell>
          <cell r="CC37">
            <v>2.13</v>
          </cell>
          <cell r="CD37">
            <v>2.06</v>
          </cell>
          <cell r="CE37">
            <v>2.1</v>
          </cell>
          <cell r="CF37">
            <v>2.44</v>
          </cell>
          <cell r="CG37">
            <v>2.7</v>
          </cell>
        </row>
        <row r="38">
          <cell r="A38" t="str">
            <v>NNG-VENT</v>
          </cell>
          <cell r="B38">
            <v>35</v>
          </cell>
          <cell r="C38">
            <v>2.0499999999999998</v>
          </cell>
          <cell r="D38">
            <v>2.0499999999999998</v>
          </cell>
          <cell r="E38">
            <v>1.96</v>
          </cell>
          <cell r="F38">
            <v>1.6</v>
          </cell>
          <cell r="G38">
            <v>1.86</v>
          </cell>
          <cell r="H38">
            <v>2.09</v>
          </cell>
          <cell r="I38">
            <v>2.59</v>
          </cell>
          <cell r="J38">
            <v>1.8</v>
          </cell>
          <cell r="K38">
            <v>1.78</v>
          </cell>
          <cell r="L38">
            <v>1.8</v>
          </cell>
          <cell r="M38">
            <v>2.15</v>
          </cell>
          <cell r="N38">
            <v>1.9</v>
          </cell>
          <cell r="O38">
            <v>1.88</v>
          </cell>
          <cell r="P38">
            <v>2.3199999999999998</v>
          </cell>
          <cell r="Q38">
            <v>1.93</v>
          </cell>
          <cell r="R38">
            <v>2.0499999999999998</v>
          </cell>
          <cell r="S38">
            <v>2.14</v>
          </cell>
          <cell r="T38">
            <v>1.75</v>
          </cell>
          <cell r="U38">
            <v>1.8</v>
          </cell>
          <cell r="V38">
            <v>1.5</v>
          </cell>
          <cell r="W38">
            <v>1.61</v>
          </cell>
          <cell r="X38">
            <v>1.54</v>
          </cell>
          <cell r="Y38">
            <v>1.39</v>
          </cell>
          <cell r="Z38">
            <v>1.27</v>
          </cell>
          <cell r="AA38">
            <v>1.48</v>
          </cell>
          <cell r="AB38">
            <v>1.62</v>
          </cell>
          <cell r="AC38">
            <v>1.49</v>
          </cell>
          <cell r="AD38">
            <v>1.25</v>
          </cell>
          <cell r="AE38">
            <v>1.23</v>
          </cell>
          <cell r="AF38">
            <v>1.28</v>
          </cell>
          <cell r="AG38">
            <v>1.39</v>
          </cell>
          <cell r="AH38">
            <v>1.41</v>
          </cell>
          <cell r="AI38">
            <v>1.18</v>
          </cell>
          <cell r="AJ38">
            <v>1.0900000000000001</v>
          </cell>
          <cell r="AK38">
            <v>1.33</v>
          </cell>
          <cell r="AL38">
            <v>1.48</v>
          </cell>
          <cell r="AM38">
            <v>1.61</v>
          </cell>
          <cell r="AN38">
            <v>1.84</v>
          </cell>
          <cell r="AO38">
            <v>2</v>
          </cell>
          <cell r="AP38">
            <v>1.84</v>
          </cell>
          <cell r="AQ38">
            <v>1.94</v>
          </cell>
          <cell r="AR38">
            <v>2.11</v>
          </cell>
          <cell r="AS38">
            <v>1.91</v>
          </cell>
          <cell r="AT38">
            <v>1.96</v>
          </cell>
          <cell r="AU38">
            <v>2.0699999999999998</v>
          </cell>
          <cell r="AV38">
            <v>2.0699999999999998</v>
          </cell>
          <cell r="AW38">
            <v>1.62</v>
          </cell>
          <cell r="AX38">
            <v>1.71</v>
          </cell>
          <cell r="AY38">
            <v>2.5499999999999998</v>
          </cell>
          <cell r="AZ38">
            <v>3.61</v>
          </cell>
          <cell r="BA38">
            <v>4.2</v>
          </cell>
          <cell r="BB38">
            <v>2.85</v>
          </cell>
          <cell r="BC38">
            <v>1.63</v>
          </cell>
          <cell r="BD38">
            <v>1.71</v>
          </cell>
          <cell r="BE38">
            <v>1.94</v>
          </cell>
          <cell r="BF38">
            <v>2.1</v>
          </cell>
          <cell r="BG38">
            <v>1.97</v>
          </cell>
          <cell r="BH38">
            <v>2.0499999999999998</v>
          </cell>
          <cell r="BI38">
            <v>2.41</v>
          </cell>
          <cell r="BJ38">
            <v>3.03</v>
          </cell>
          <cell r="BK38">
            <v>3.29</v>
          </cell>
          <cell r="BL38">
            <v>2.44</v>
          </cell>
          <cell r="BM38">
            <v>2.17</v>
          </cell>
          <cell r="BN38">
            <v>1.96</v>
          </cell>
          <cell r="BO38">
            <v>2.15</v>
          </cell>
          <cell r="BP38">
            <v>2.1800000000000002</v>
          </cell>
          <cell r="BQ38">
            <v>2.15</v>
          </cell>
          <cell r="BR38">
            <v>1.92</v>
          </cell>
          <cell r="BS38">
            <v>2.2599999999999998</v>
          </cell>
          <cell r="BT38">
            <v>1.84</v>
          </cell>
          <cell r="BU38">
            <v>1.56</v>
          </cell>
          <cell r="BV38">
            <v>1.91</v>
          </cell>
          <cell r="BW38">
            <v>2</v>
          </cell>
          <cell r="BX38">
            <v>2.13</v>
          </cell>
          <cell r="BY38">
            <v>1.84</v>
          </cell>
          <cell r="BZ38">
            <v>1.8</v>
          </cell>
          <cell r="CA38">
            <v>1.6</v>
          </cell>
          <cell r="CB38">
            <v>1.75</v>
          </cell>
          <cell r="CC38">
            <v>2.2000000000000002</v>
          </cell>
          <cell r="CD38">
            <v>2.12</v>
          </cell>
          <cell r="CE38">
            <v>2.1800000000000002</v>
          </cell>
          <cell r="CF38">
            <v>2.5</v>
          </cell>
          <cell r="CG38">
            <v>2.76</v>
          </cell>
        </row>
        <row r="39">
          <cell r="A39" t="str">
            <v>NOR-EAST</v>
          </cell>
          <cell r="B39">
            <v>36</v>
          </cell>
          <cell r="AE39">
            <v>1.33</v>
          </cell>
          <cell r="AF39">
            <v>1.44</v>
          </cell>
          <cell r="AG39">
            <v>1.57</v>
          </cell>
          <cell r="AH39">
            <v>1.61</v>
          </cell>
          <cell r="AI39">
            <v>1.4</v>
          </cell>
          <cell r="AJ39">
            <v>1.3</v>
          </cell>
          <cell r="AK39">
            <v>1.5</v>
          </cell>
          <cell r="AL39">
            <v>1.54</v>
          </cell>
          <cell r="AM39">
            <v>1.68</v>
          </cell>
          <cell r="AN39">
            <v>2.02</v>
          </cell>
          <cell r="AO39">
            <v>2.09</v>
          </cell>
          <cell r="AP39">
            <v>1.89</v>
          </cell>
          <cell r="AQ39">
            <v>1.93</v>
          </cell>
          <cell r="AR39">
            <v>2.23</v>
          </cell>
          <cell r="AS39">
            <v>2.12</v>
          </cell>
          <cell r="AT39">
            <v>2.1800000000000002</v>
          </cell>
          <cell r="AU39">
            <v>2.31</v>
          </cell>
          <cell r="AV39">
            <v>2.25</v>
          </cell>
          <cell r="AW39">
            <v>1.75</v>
          </cell>
          <cell r="AX39">
            <v>1.74</v>
          </cell>
          <cell r="AY39">
            <v>2.4700000000000002</v>
          </cell>
          <cell r="AZ39">
            <v>3.61</v>
          </cell>
          <cell r="BA39">
            <v>4.1500000000000004</v>
          </cell>
          <cell r="BB39">
            <v>2.78</v>
          </cell>
          <cell r="BC39">
            <v>1.65</v>
          </cell>
          <cell r="BD39">
            <v>1.74</v>
          </cell>
          <cell r="BE39">
            <v>2.0099999999999998</v>
          </cell>
          <cell r="BF39">
            <v>2.19</v>
          </cell>
          <cell r="BG39">
            <v>2.0699999999999998</v>
          </cell>
          <cell r="BH39">
            <v>2.11</v>
          </cell>
          <cell r="BI39">
            <v>2.44</v>
          </cell>
          <cell r="BJ39">
            <v>3.05</v>
          </cell>
          <cell r="BK39">
            <v>3.17</v>
          </cell>
          <cell r="BL39">
            <v>2.37</v>
          </cell>
          <cell r="BM39">
            <v>2.16</v>
          </cell>
          <cell r="BN39">
            <v>1.94</v>
          </cell>
          <cell r="BO39">
            <v>2.16</v>
          </cell>
          <cell r="BP39">
            <v>2.2000000000000002</v>
          </cell>
          <cell r="BQ39">
            <v>2.1800000000000002</v>
          </cell>
          <cell r="BR39">
            <v>1.96</v>
          </cell>
          <cell r="BS39">
            <v>2.2999999999999998</v>
          </cell>
          <cell r="BT39">
            <v>1.86</v>
          </cell>
          <cell r="BU39">
            <v>1.57</v>
          </cell>
          <cell r="BV39">
            <v>1.94</v>
          </cell>
          <cell r="BW39">
            <v>1.93</v>
          </cell>
          <cell r="BX39">
            <v>2.0299999999999998</v>
          </cell>
          <cell r="BY39">
            <v>1.74</v>
          </cell>
          <cell r="BZ39">
            <v>1.74</v>
          </cell>
          <cell r="CA39">
            <v>1.56</v>
          </cell>
          <cell r="CB39">
            <v>1.77</v>
          </cell>
          <cell r="CC39">
            <v>2.27</v>
          </cell>
          <cell r="CD39">
            <v>2.17</v>
          </cell>
          <cell r="CE39">
            <v>2.21</v>
          </cell>
          <cell r="CF39">
            <v>2.5499999999999998</v>
          </cell>
          <cell r="CG39">
            <v>2.82</v>
          </cell>
        </row>
        <row r="40">
          <cell r="A40" t="str">
            <v>NOR-WEST</v>
          </cell>
          <cell r="B40">
            <v>37</v>
          </cell>
          <cell r="AE40">
            <v>1.28</v>
          </cell>
          <cell r="AF40">
            <v>1.35</v>
          </cell>
          <cell r="AG40">
            <v>1.46</v>
          </cell>
          <cell r="AH40">
            <v>1.48</v>
          </cell>
          <cell r="AI40">
            <v>1.28</v>
          </cell>
          <cell r="AJ40">
            <v>1.22</v>
          </cell>
          <cell r="AK40">
            <v>1.43</v>
          </cell>
          <cell r="AL40">
            <v>1.5</v>
          </cell>
          <cell r="AM40">
            <v>1.62</v>
          </cell>
          <cell r="AN40">
            <v>1.89</v>
          </cell>
          <cell r="AO40">
            <v>2.0099999999999998</v>
          </cell>
          <cell r="AP40">
            <v>1.83</v>
          </cell>
          <cell r="AQ40">
            <v>1.9</v>
          </cell>
          <cell r="AR40">
            <v>2.15</v>
          </cell>
          <cell r="AS40">
            <v>2.02</v>
          </cell>
          <cell r="AT40">
            <v>2.0699999999999998</v>
          </cell>
          <cell r="AU40">
            <v>2.2000000000000002</v>
          </cell>
          <cell r="AV40">
            <v>2.16</v>
          </cell>
          <cell r="AW40">
            <v>1.68</v>
          </cell>
          <cell r="AX40">
            <v>1.69</v>
          </cell>
          <cell r="AY40">
            <v>2.4300000000000002</v>
          </cell>
          <cell r="AZ40">
            <v>3.55</v>
          </cell>
          <cell r="BA40">
            <v>4.1100000000000003</v>
          </cell>
          <cell r="BB40">
            <v>2.73</v>
          </cell>
          <cell r="BC40">
            <v>1.61</v>
          </cell>
          <cell r="BD40">
            <v>1.72</v>
          </cell>
          <cell r="BE40">
            <v>1.96</v>
          </cell>
          <cell r="BF40">
            <v>2.15</v>
          </cell>
          <cell r="BG40">
            <v>2.0099999999999998</v>
          </cell>
          <cell r="BH40">
            <v>2.0699999999999998</v>
          </cell>
          <cell r="BI40">
            <v>2.41</v>
          </cell>
          <cell r="BJ40">
            <v>2.98</v>
          </cell>
          <cell r="BK40">
            <v>3.1</v>
          </cell>
          <cell r="BL40">
            <v>2.3199999999999998</v>
          </cell>
          <cell r="BM40">
            <v>2.15</v>
          </cell>
          <cell r="BN40">
            <v>1.92</v>
          </cell>
          <cell r="BO40">
            <v>2.14</v>
          </cell>
          <cell r="BP40">
            <v>2.17</v>
          </cell>
          <cell r="BQ40">
            <v>2.15</v>
          </cell>
          <cell r="BR40">
            <v>1.92</v>
          </cell>
          <cell r="BS40">
            <v>2.2599999999999998</v>
          </cell>
          <cell r="BT40">
            <v>1.83</v>
          </cell>
          <cell r="BU40">
            <v>1.52</v>
          </cell>
          <cell r="BV40">
            <v>1.89</v>
          </cell>
          <cell r="BW40">
            <v>1.9</v>
          </cell>
          <cell r="BX40">
            <v>2.0099999999999998</v>
          </cell>
          <cell r="BY40">
            <v>1.73</v>
          </cell>
          <cell r="BZ40">
            <v>1.73</v>
          </cell>
          <cell r="CA40">
            <v>1.54</v>
          </cell>
          <cell r="CB40">
            <v>1.74</v>
          </cell>
          <cell r="CC40">
            <v>2.2200000000000002</v>
          </cell>
          <cell r="CD40">
            <v>2.12</v>
          </cell>
          <cell r="CE40">
            <v>2.1800000000000002</v>
          </cell>
          <cell r="CF40">
            <v>2.5099999999999998</v>
          </cell>
          <cell r="CG40">
            <v>2.77</v>
          </cell>
        </row>
        <row r="41">
          <cell r="A41" t="str">
            <v>NWPL-CAN</v>
          </cell>
          <cell r="B41">
            <v>38</v>
          </cell>
          <cell r="C41">
            <v>1.5</v>
          </cell>
          <cell r="D41">
            <v>1.74</v>
          </cell>
          <cell r="E41">
            <v>2.25</v>
          </cell>
          <cell r="F41">
            <v>1.74</v>
          </cell>
          <cell r="G41">
            <v>1.8</v>
          </cell>
          <cell r="H41">
            <v>1.8</v>
          </cell>
          <cell r="I41">
            <v>2.25</v>
          </cell>
          <cell r="J41">
            <v>1.58</v>
          </cell>
          <cell r="K41">
            <v>1.55</v>
          </cell>
          <cell r="L41">
            <v>1.65</v>
          </cell>
          <cell r="M41">
            <v>1.92</v>
          </cell>
          <cell r="N41">
            <v>1.75</v>
          </cell>
          <cell r="O41">
            <v>1.8</v>
          </cell>
          <cell r="P41">
            <v>2.4</v>
          </cell>
          <cell r="Q41">
            <v>2.1800000000000002</v>
          </cell>
          <cell r="R41">
            <v>1.79</v>
          </cell>
          <cell r="S41">
            <v>1.98</v>
          </cell>
          <cell r="T41">
            <v>1.62</v>
          </cell>
          <cell r="U41">
            <v>1.6</v>
          </cell>
          <cell r="V41">
            <v>1.39</v>
          </cell>
          <cell r="W41">
            <v>1.48</v>
          </cell>
          <cell r="X41">
            <v>1.45</v>
          </cell>
          <cell r="Y41">
            <v>1.36</v>
          </cell>
          <cell r="Z41">
            <v>1.18</v>
          </cell>
          <cell r="AA41">
            <v>1.52</v>
          </cell>
          <cell r="AB41">
            <v>1.63</v>
          </cell>
          <cell r="AC41">
            <v>1.4</v>
          </cell>
          <cell r="AD41">
            <v>1.03</v>
          </cell>
          <cell r="AE41">
            <v>1</v>
          </cell>
          <cell r="AF41">
            <v>0.97</v>
          </cell>
          <cell r="AG41">
            <v>0.99</v>
          </cell>
          <cell r="AH41">
            <v>0.97</v>
          </cell>
          <cell r="AI41">
            <v>0.85</v>
          </cell>
          <cell r="AJ41">
            <v>0.75</v>
          </cell>
          <cell r="AK41">
            <v>0.85</v>
          </cell>
          <cell r="AL41">
            <v>0.96</v>
          </cell>
          <cell r="AM41">
            <v>1.26</v>
          </cell>
          <cell r="AN41">
            <v>1.29</v>
          </cell>
          <cell r="AO41">
            <v>1.24</v>
          </cell>
          <cell r="AP41">
            <v>1.2</v>
          </cell>
          <cell r="AQ41">
            <v>1.1499999999999999</v>
          </cell>
          <cell r="AR41">
            <v>0.93</v>
          </cell>
          <cell r="AS41">
            <v>0.93</v>
          </cell>
          <cell r="AT41">
            <v>0.9</v>
          </cell>
          <cell r="AU41">
            <v>0.96</v>
          </cell>
          <cell r="AV41">
            <v>1.01</v>
          </cell>
          <cell r="AW41">
            <v>1.01</v>
          </cell>
          <cell r="AX41">
            <v>1.1000000000000001</v>
          </cell>
          <cell r="AY41">
            <v>2.17</v>
          </cell>
          <cell r="AZ41">
            <v>3.55</v>
          </cell>
          <cell r="BA41">
            <v>4.1500000000000004</v>
          </cell>
          <cell r="BB41">
            <v>2.37</v>
          </cell>
          <cell r="BC41">
            <v>1.05</v>
          </cell>
          <cell r="BD41">
            <v>1.1100000000000001</v>
          </cell>
          <cell r="BE41">
            <v>1.33</v>
          </cell>
          <cell r="BF41">
            <v>1.38</v>
          </cell>
          <cell r="BG41">
            <v>1.22</v>
          </cell>
          <cell r="BH41">
            <v>1.08</v>
          </cell>
          <cell r="BI41">
            <v>1.19</v>
          </cell>
          <cell r="BJ41">
            <v>1.48</v>
          </cell>
          <cell r="BK41">
            <v>2.7</v>
          </cell>
          <cell r="BL41">
            <v>1.4</v>
          </cell>
          <cell r="BM41">
            <v>1.85</v>
          </cell>
          <cell r="BN41">
            <v>1.43</v>
          </cell>
          <cell r="BO41">
            <v>1.1200000000000001</v>
          </cell>
          <cell r="BP41">
            <v>1.43</v>
          </cell>
          <cell r="BQ41">
            <v>1.7</v>
          </cell>
          <cell r="BR41">
            <v>1.38</v>
          </cell>
          <cell r="BS41">
            <v>1.45</v>
          </cell>
          <cell r="BT41">
            <v>1.57</v>
          </cell>
          <cell r="BU41">
            <v>1.46</v>
          </cell>
          <cell r="BV41">
            <v>1.67</v>
          </cell>
          <cell r="BW41">
            <v>2.14</v>
          </cell>
          <cell r="BX41">
            <v>2.09</v>
          </cell>
          <cell r="BY41">
            <v>2.88</v>
          </cell>
          <cell r="BZ41">
            <v>1.77</v>
          </cell>
          <cell r="CA41">
            <v>1.5</v>
          </cell>
          <cell r="CB41">
            <v>1.51</v>
          </cell>
          <cell r="CC41">
            <v>1.95</v>
          </cell>
          <cell r="CD41">
            <v>1.91</v>
          </cell>
          <cell r="CE41">
            <v>1.94</v>
          </cell>
          <cell r="CF41">
            <v>2.21</v>
          </cell>
          <cell r="CG41">
            <v>2.5</v>
          </cell>
        </row>
        <row r="42">
          <cell r="A42" t="str">
            <v>NWPL-ROCK</v>
          </cell>
          <cell r="B42">
            <v>39</v>
          </cell>
          <cell r="C42">
            <v>1.79</v>
          </cell>
          <cell r="D42">
            <v>1.95</v>
          </cell>
          <cell r="E42">
            <v>2.2999999999999998</v>
          </cell>
          <cell r="F42">
            <v>1.61</v>
          </cell>
          <cell r="G42">
            <v>1.78</v>
          </cell>
          <cell r="H42">
            <v>1.79</v>
          </cell>
          <cell r="I42">
            <v>2.25</v>
          </cell>
          <cell r="J42">
            <v>1.58</v>
          </cell>
          <cell r="K42">
            <v>1.55</v>
          </cell>
          <cell r="L42">
            <v>1.65</v>
          </cell>
          <cell r="M42">
            <v>1.92</v>
          </cell>
          <cell r="N42">
            <v>1.75</v>
          </cell>
          <cell r="O42">
            <v>1.74</v>
          </cell>
          <cell r="P42">
            <v>2.35</v>
          </cell>
          <cell r="Q42">
            <v>1.92</v>
          </cell>
          <cell r="R42">
            <v>1.78</v>
          </cell>
          <cell r="S42">
            <v>1.95</v>
          </cell>
          <cell r="T42">
            <v>1.61</v>
          </cell>
          <cell r="U42">
            <v>1.6</v>
          </cell>
          <cell r="V42">
            <v>1.37</v>
          </cell>
          <cell r="W42">
            <v>1.46</v>
          </cell>
          <cell r="X42">
            <v>1.45</v>
          </cell>
          <cell r="Y42">
            <v>1.36</v>
          </cell>
          <cell r="Z42">
            <v>1.18</v>
          </cell>
          <cell r="AA42">
            <v>1.48</v>
          </cell>
          <cell r="AB42">
            <v>1.61</v>
          </cell>
          <cell r="AC42">
            <v>1.37</v>
          </cell>
          <cell r="AD42">
            <v>1.06</v>
          </cell>
          <cell r="AE42">
            <v>1.05</v>
          </cell>
          <cell r="AF42">
            <v>1.05</v>
          </cell>
          <cell r="AG42">
            <v>1.06</v>
          </cell>
          <cell r="AH42">
            <v>1.1399999999999999</v>
          </cell>
          <cell r="AI42">
            <v>0.98</v>
          </cell>
          <cell r="AJ42">
            <v>0.84</v>
          </cell>
          <cell r="AK42">
            <v>0.96</v>
          </cell>
          <cell r="AL42">
            <v>1.05</v>
          </cell>
          <cell r="AM42">
            <v>1.25</v>
          </cell>
          <cell r="AN42">
            <v>1.31</v>
          </cell>
          <cell r="AO42">
            <v>1.25</v>
          </cell>
          <cell r="AP42">
            <v>1.19</v>
          </cell>
          <cell r="AQ42">
            <v>1.17</v>
          </cell>
          <cell r="AR42">
            <v>1.06</v>
          </cell>
          <cell r="AS42">
            <v>1.05</v>
          </cell>
          <cell r="AT42">
            <v>1.07</v>
          </cell>
          <cell r="AU42">
            <v>1.19</v>
          </cell>
          <cell r="AV42">
            <v>1.23</v>
          </cell>
          <cell r="AW42">
            <v>1.18</v>
          </cell>
          <cell r="AX42">
            <v>1.26</v>
          </cell>
          <cell r="AY42">
            <v>2.29</v>
          </cell>
          <cell r="AZ42">
            <v>3.52</v>
          </cell>
          <cell r="BA42">
            <v>4.2</v>
          </cell>
          <cell r="BB42">
            <v>2.48</v>
          </cell>
          <cell r="BC42">
            <v>1.39</v>
          </cell>
          <cell r="BD42">
            <v>1.44</v>
          </cell>
          <cell r="BE42">
            <v>1.64</v>
          </cell>
          <cell r="BF42">
            <v>1.48</v>
          </cell>
          <cell r="BG42">
            <v>1.44</v>
          </cell>
          <cell r="BH42">
            <v>1.38</v>
          </cell>
          <cell r="BI42">
            <v>1.48</v>
          </cell>
          <cell r="BJ42">
            <v>2.12</v>
          </cell>
          <cell r="BK42">
            <v>3</v>
          </cell>
          <cell r="BL42">
            <v>1.94</v>
          </cell>
          <cell r="BM42">
            <v>2.06</v>
          </cell>
          <cell r="BN42">
            <v>1.69</v>
          </cell>
          <cell r="BO42">
            <v>1.87</v>
          </cell>
          <cell r="BP42">
            <v>1.9</v>
          </cell>
          <cell r="BQ42">
            <v>1.98</v>
          </cell>
          <cell r="BR42">
            <v>1.64</v>
          </cell>
          <cell r="BS42">
            <v>1.62</v>
          </cell>
          <cell r="BT42">
            <v>1.73</v>
          </cell>
          <cell r="BU42">
            <v>1.57</v>
          </cell>
          <cell r="BV42">
            <v>1.65</v>
          </cell>
          <cell r="BW42">
            <v>2.02</v>
          </cell>
          <cell r="BX42">
            <v>2</v>
          </cell>
          <cell r="BY42">
            <v>1.82</v>
          </cell>
          <cell r="BZ42">
            <v>1.63</v>
          </cell>
          <cell r="CA42">
            <v>1.51</v>
          </cell>
          <cell r="CB42">
            <v>1.54</v>
          </cell>
          <cell r="CC42">
            <v>2</v>
          </cell>
          <cell r="CD42">
            <v>1.94</v>
          </cell>
          <cell r="CE42">
            <v>1.99</v>
          </cell>
          <cell r="CF42">
            <v>2.1800000000000002</v>
          </cell>
          <cell r="CG42">
            <v>2.56</v>
          </cell>
        </row>
        <row r="43">
          <cell r="A43" t="str">
            <v>ONG-OKL</v>
          </cell>
          <cell r="B43">
            <v>40</v>
          </cell>
          <cell r="C43">
            <v>1.97</v>
          </cell>
          <cell r="D43">
            <v>1.98</v>
          </cell>
          <cell r="E43">
            <v>1.92</v>
          </cell>
          <cell r="F43">
            <v>1.62</v>
          </cell>
          <cell r="G43">
            <v>1.81</v>
          </cell>
          <cell r="H43">
            <v>2.0699999999999998</v>
          </cell>
          <cell r="I43">
            <v>2.4</v>
          </cell>
          <cell r="J43">
            <v>1.78</v>
          </cell>
          <cell r="K43">
            <v>1.76</v>
          </cell>
          <cell r="L43">
            <v>1.91</v>
          </cell>
          <cell r="M43">
            <v>2.16</v>
          </cell>
          <cell r="N43">
            <v>1.85</v>
          </cell>
          <cell r="O43">
            <v>1.88</v>
          </cell>
          <cell r="P43">
            <v>2.2400000000000002</v>
          </cell>
          <cell r="Q43">
            <v>1.92</v>
          </cell>
          <cell r="R43">
            <v>2.1</v>
          </cell>
          <cell r="S43">
            <v>2.12</v>
          </cell>
          <cell r="T43">
            <v>1.78</v>
          </cell>
          <cell r="U43">
            <v>1.83</v>
          </cell>
          <cell r="V43">
            <v>1.58</v>
          </cell>
          <cell r="W43">
            <v>1.68</v>
          </cell>
          <cell r="X43">
            <v>1.59</v>
          </cell>
          <cell r="Y43">
            <v>1.39</v>
          </cell>
          <cell r="Z43">
            <v>1.3</v>
          </cell>
          <cell r="AA43">
            <v>1.49</v>
          </cell>
          <cell r="AB43">
            <v>1.59</v>
          </cell>
          <cell r="AC43">
            <v>1.51</v>
          </cell>
          <cell r="AD43">
            <v>1.29</v>
          </cell>
          <cell r="AE43">
            <v>1.29</v>
          </cell>
          <cell r="AF43">
            <v>1.35</v>
          </cell>
          <cell r="AG43">
            <v>1.45</v>
          </cell>
          <cell r="AH43">
            <v>1.48</v>
          </cell>
          <cell r="AI43">
            <v>1.28</v>
          </cell>
          <cell r="AJ43">
            <v>1.22</v>
          </cell>
          <cell r="AK43">
            <v>1.44</v>
          </cell>
          <cell r="AL43">
            <v>1.5</v>
          </cell>
          <cell r="AM43">
            <v>1.61</v>
          </cell>
          <cell r="AN43">
            <v>1.89</v>
          </cell>
          <cell r="AO43">
            <v>2.02</v>
          </cell>
          <cell r="AP43">
            <v>1.81</v>
          </cell>
          <cell r="AQ43">
            <v>1.91</v>
          </cell>
          <cell r="AR43">
            <v>2.15</v>
          </cell>
          <cell r="AS43">
            <v>2.02</v>
          </cell>
          <cell r="AT43">
            <v>2.06</v>
          </cell>
          <cell r="AU43">
            <v>2.2000000000000002</v>
          </cell>
          <cell r="AV43">
            <v>2.17</v>
          </cell>
          <cell r="AW43">
            <v>1.68</v>
          </cell>
          <cell r="AX43">
            <v>1.7</v>
          </cell>
          <cell r="AY43">
            <v>2.5099999999999998</v>
          </cell>
          <cell r="AZ43">
            <v>3.61</v>
          </cell>
          <cell r="BA43">
            <v>4.3</v>
          </cell>
          <cell r="BB43">
            <v>2.77</v>
          </cell>
          <cell r="BC43">
            <v>1.65</v>
          </cell>
          <cell r="BD43">
            <v>1.71</v>
          </cell>
          <cell r="BE43">
            <v>1.95</v>
          </cell>
          <cell r="BF43">
            <v>2.14</v>
          </cell>
          <cell r="BG43">
            <v>2.06</v>
          </cell>
          <cell r="BH43">
            <v>2.06</v>
          </cell>
          <cell r="BI43">
            <v>2.39</v>
          </cell>
          <cell r="BJ43">
            <v>3.01</v>
          </cell>
          <cell r="BK43">
            <v>3.16</v>
          </cell>
          <cell r="BL43">
            <v>2.36</v>
          </cell>
          <cell r="BM43">
            <v>2.15</v>
          </cell>
          <cell r="BN43">
            <v>1.93</v>
          </cell>
          <cell r="BO43">
            <v>2.16</v>
          </cell>
          <cell r="BP43">
            <v>2.19</v>
          </cell>
          <cell r="BQ43">
            <v>2.17</v>
          </cell>
          <cell r="BR43">
            <v>1.95</v>
          </cell>
          <cell r="BS43">
            <v>2.29</v>
          </cell>
          <cell r="BT43">
            <v>1.86</v>
          </cell>
          <cell r="BU43">
            <v>1.58</v>
          </cell>
          <cell r="BV43">
            <v>1.93</v>
          </cell>
          <cell r="BW43">
            <v>1.95</v>
          </cell>
          <cell r="BX43">
            <v>2.06</v>
          </cell>
          <cell r="BY43">
            <v>1.77</v>
          </cell>
          <cell r="BZ43">
            <v>1.75</v>
          </cell>
          <cell r="CA43">
            <v>1.58</v>
          </cell>
          <cell r="CB43">
            <v>1.76</v>
          </cell>
          <cell r="CC43">
            <v>2.23</v>
          </cell>
          <cell r="CD43">
            <v>2.13</v>
          </cell>
          <cell r="CE43">
            <v>2.1800000000000002</v>
          </cell>
          <cell r="CF43">
            <v>2.5099999999999998</v>
          </cell>
          <cell r="CG43">
            <v>2.78</v>
          </cell>
        </row>
        <row r="44">
          <cell r="A44" t="str">
            <v>PEPL-FZ</v>
          </cell>
          <cell r="B44">
            <v>41</v>
          </cell>
          <cell r="C44">
            <v>2.0699999999999998</v>
          </cell>
          <cell r="D44">
            <v>2.0299999999999998</v>
          </cell>
          <cell r="E44">
            <v>1.95</v>
          </cell>
          <cell r="F44">
            <v>1.61</v>
          </cell>
          <cell r="G44">
            <v>1.83</v>
          </cell>
          <cell r="H44">
            <v>2.1</v>
          </cell>
          <cell r="I44">
            <v>2.5499999999999998</v>
          </cell>
          <cell r="J44">
            <v>1.85</v>
          </cell>
          <cell r="K44">
            <v>1.79</v>
          </cell>
          <cell r="L44">
            <v>1.93</v>
          </cell>
          <cell r="M44">
            <v>2.1800000000000002</v>
          </cell>
          <cell r="N44">
            <v>1.9</v>
          </cell>
          <cell r="O44">
            <v>1.9</v>
          </cell>
          <cell r="P44">
            <v>2.23</v>
          </cell>
          <cell r="Q44">
            <v>1.97</v>
          </cell>
          <cell r="R44">
            <v>2.12</v>
          </cell>
          <cell r="S44">
            <v>2.14</v>
          </cell>
          <cell r="T44">
            <v>1.8</v>
          </cell>
          <cell r="U44">
            <v>1.84</v>
          </cell>
          <cell r="V44">
            <v>1.57</v>
          </cell>
          <cell r="W44">
            <v>1.65</v>
          </cell>
          <cell r="X44">
            <v>1.57</v>
          </cell>
          <cell r="Y44">
            <v>1.41</v>
          </cell>
          <cell r="Z44">
            <v>1.31</v>
          </cell>
          <cell r="AA44">
            <v>1.52</v>
          </cell>
          <cell r="AB44">
            <v>1.6</v>
          </cell>
          <cell r="AC44">
            <v>1.51</v>
          </cell>
          <cell r="AD44">
            <v>1.27</v>
          </cell>
          <cell r="AE44">
            <v>1.27</v>
          </cell>
          <cell r="AF44">
            <v>1.34</v>
          </cell>
          <cell r="AG44">
            <v>1.45</v>
          </cell>
          <cell r="AH44">
            <v>1.47</v>
          </cell>
          <cell r="AI44">
            <v>1.25</v>
          </cell>
          <cell r="AJ44">
            <v>1.2</v>
          </cell>
          <cell r="AK44">
            <v>1.41</v>
          </cell>
          <cell r="AL44">
            <v>1.5</v>
          </cell>
          <cell r="AM44">
            <v>1.61</v>
          </cell>
          <cell r="AN44">
            <v>1.89</v>
          </cell>
          <cell r="AO44">
            <v>2</v>
          </cell>
          <cell r="AP44">
            <v>1.81</v>
          </cell>
          <cell r="AQ44">
            <v>1.9</v>
          </cell>
          <cell r="AR44">
            <v>2.14</v>
          </cell>
          <cell r="AS44">
            <v>2</v>
          </cell>
          <cell r="AT44">
            <v>2.0499999999999998</v>
          </cell>
          <cell r="AU44">
            <v>2.1800000000000002</v>
          </cell>
          <cell r="AV44">
            <v>2.13</v>
          </cell>
          <cell r="AW44">
            <v>1.67</v>
          </cell>
          <cell r="AX44">
            <v>1.69</v>
          </cell>
          <cell r="AY44">
            <v>2.5099999999999998</v>
          </cell>
          <cell r="AZ44">
            <v>3.61</v>
          </cell>
          <cell r="BA44">
            <v>4.0999999999999996</v>
          </cell>
          <cell r="BB44">
            <v>2.84</v>
          </cell>
          <cell r="BC44">
            <v>1.64</v>
          </cell>
          <cell r="BD44">
            <v>1.73</v>
          </cell>
          <cell r="BE44">
            <v>1.95</v>
          </cell>
          <cell r="BF44">
            <v>2.13</v>
          </cell>
          <cell r="BG44">
            <v>2.0099999999999998</v>
          </cell>
          <cell r="BH44">
            <v>2.06</v>
          </cell>
          <cell r="BI44">
            <v>2.42</v>
          </cell>
          <cell r="BJ44">
            <v>3.01</v>
          </cell>
          <cell r="BK44">
            <v>3.16</v>
          </cell>
          <cell r="BL44">
            <v>2.35</v>
          </cell>
          <cell r="BM44">
            <v>2.15</v>
          </cell>
          <cell r="BN44">
            <v>1.93</v>
          </cell>
          <cell r="BO44">
            <v>2.15</v>
          </cell>
          <cell r="BP44">
            <v>2.19</v>
          </cell>
          <cell r="BQ44">
            <v>2.1800000000000002</v>
          </cell>
          <cell r="BR44">
            <v>1.94</v>
          </cell>
          <cell r="BS44">
            <v>2.27</v>
          </cell>
          <cell r="BT44">
            <v>1.84</v>
          </cell>
          <cell r="BU44">
            <v>1.56</v>
          </cell>
          <cell r="BV44">
            <v>1.9</v>
          </cell>
          <cell r="BW44">
            <v>1.95</v>
          </cell>
          <cell r="BX44">
            <v>2.06</v>
          </cell>
          <cell r="BY44">
            <v>1.78</v>
          </cell>
          <cell r="BZ44">
            <v>1.76</v>
          </cell>
          <cell r="CA44">
            <v>1.58</v>
          </cell>
          <cell r="CB44">
            <v>1.76</v>
          </cell>
          <cell r="CC44">
            <v>2.2200000000000002</v>
          </cell>
          <cell r="CD44">
            <v>2.12</v>
          </cell>
          <cell r="CE44">
            <v>2.17</v>
          </cell>
          <cell r="CF44">
            <v>2.5099999999999998</v>
          </cell>
          <cell r="CG44">
            <v>2.77</v>
          </cell>
        </row>
        <row r="45">
          <cell r="A45" t="str">
            <v>QUEST</v>
          </cell>
          <cell r="B45">
            <v>42</v>
          </cell>
          <cell r="C45">
            <v>1.87</v>
          </cell>
          <cell r="D45">
            <v>1.88</v>
          </cell>
          <cell r="E45">
            <v>2.2599999999999998</v>
          </cell>
          <cell r="F45">
            <v>1.59</v>
          </cell>
          <cell r="G45">
            <v>1.7</v>
          </cell>
          <cell r="H45">
            <v>1.75</v>
          </cell>
          <cell r="I45">
            <v>2.2000000000000002</v>
          </cell>
          <cell r="J45">
            <v>1.58</v>
          </cell>
          <cell r="K45">
            <v>1.56</v>
          </cell>
          <cell r="L45">
            <v>1.65</v>
          </cell>
          <cell r="M45">
            <v>1.88</v>
          </cell>
          <cell r="N45">
            <v>1.72</v>
          </cell>
          <cell r="O45">
            <v>1.71</v>
          </cell>
          <cell r="P45">
            <v>2.2599999999999998</v>
          </cell>
          <cell r="Q45">
            <v>1.86</v>
          </cell>
          <cell r="R45">
            <v>1.77</v>
          </cell>
          <cell r="S45">
            <v>1.88</v>
          </cell>
          <cell r="T45">
            <v>1.55</v>
          </cell>
          <cell r="U45">
            <v>1.55</v>
          </cell>
          <cell r="V45">
            <v>1.31</v>
          </cell>
          <cell r="W45">
            <v>1.42</v>
          </cell>
          <cell r="X45">
            <v>1.41</v>
          </cell>
          <cell r="Y45">
            <v>1.34</v>
          </cell>
          <cell r="Z45">
            <v>1.1499999999999999</v>
          </cell>
          <cell r="AA45">
            <v>1.45</v>
          </cell>
          <cell r="AB45">
            <v>1.57</v>
          </cell>
          <cell r="AC45">
            <v>1.35</v>
          </cell>
          <cell r="AD45">
            <v>1.06</v>
          </cell>
          <cell r="AE45">
            <v>1.05</v>
          </cell>
          <cell r="AF45">
            <v>1.05</v>
          </cell>
          <cell r="AG45">
            <v>1.07</v>
          </cell>
          <cell r="AH45">
            <v>1.1299999999999999</v>
          </cell>
          <cell r="AI45">
            <v>0.98</v>
          </cell>
          <cell r="AJ45">
            <v>0.85</v>
          </cell>
          <cell r="AK45">
            <v>0.95</v>
          </cell>
          <cell r="AL45">
            <v>1.04</v>
          </cell>
          <cell r="AM45">
            <v>1.23</v>
          </cell>
          <cell r="AN45">
            <v>1.31</v>
          </cell>
          <cell r="AO45">
            <v>1.26</v>
          </cell>
          <cell r="AP45">
            <v>1.17</v>
          </cell>
          <cell r="AQ45">
            <v>1.1599999999999999</v>
          </cell>
          <cell r="AR45">
            <v>1.05</v>
          </cell>
          <cell r="AS45">
            <v>1.05</v>
          </cell>
          <cell r="AT45">
            <v>1.06</v>
          </cell>
          <cell r="AU45">
            <v>1.17</v>
          </cell>
          <cell r="AV45">
            <v>1.19</v>
          </cell>
          <cell r="AW45">
            <v>1.18</v>
          </cell>
          <cell r="AX45">
            <v>1.25</v>
          </cell>
          <cell r="AY45">
            <v>2.2000000000000002</v>
          </cell>
          <cell r="AZ45">
            <v>3.36</v>
          </cell>
          <cell r="BA45">
            <v>4.2</v>
          </cell>
          <cell r="BB45">
            <v>2.4500000000000002</v>
          </cell>
          <cell r="BC45">
            <v>1.38</v>
          </cell>
          <cell r="BD45">
            <v>1.42</v>
          </cell>
          <cell r="BE45">
            <v>1.61</v>
          </cell>
          <cell r="BF45">
            <v>1.45</v>
          </cell>
          <cell r="BG45">
            <v>1.42</v>
          </cell>
          <cell r="BH45">
            <v>1.38</v>
          </cell>
          <cell r="BI45">
            <v>1.47</v>
          </cell>
          <cell r="BJ45">
            <v>2.1</v>
          </cell>
          <cell r="BK45">
            <v>2.99</v>
          </cell>
          <cell r="BL45">
            <v>1.93</v>
          </cell>
          <cell r="BM45">
            <v>2.04</v>
          </cell>
          <cell r="BN45">
            <v>1.68</v>
          </cell>
          <cell r="BO45">
            <v>1.86</v>
          </cell>
          <cell r="BP45">
            <v>1.89</v>
          </cell>
          <cell r="BQ45">
            <v>1.97</v>
          </cell>
          <cell r="BR45">
            <v>1.62</v>
          </cell>
          <cell r="BS45">
            <v>1.61</v>
          </cell>
          <cell r="BT45">
            <v>1.73</v>
          </cell>
          <cell r="BU45">
            <v>1.53</v>
          </cell>
          <cell r="BV45">
            <v>1.64</v>
          </cell>
          <cell r="BW45">
            <v>1.91</v>
          </cell>
          <cell r="BX45">
            <v>2</v>
          </cell>
          <cell r="BY45">
            <v>1.73</v>
          </cell>
          <cell r="BZ45">
            <v>1.58</v>
          </cell>
          <cell r="CA45">
            <v>1.45</v>
          </cell>
          <cell r="CB45">
            <v>1.43</v>
          </cell>
          <cell r="CC45">
            <v>1.9</v>
          </cell>
          <cell r="CD45">
            <v>1.85</v>
          </cell>
          <cell r="CE45">
            <v>1.92</v>
          </cell>
          <cell r="CF45">
            <v>2.12</v>
          </cell>
          <cell r="CG45">
            <v>2.48</v>
          </cell>
        </row>
        <row r="46">
          <cell r="A46" t="str">
            <v>NGI-SOCAL</v>
          </cell>
          <cell r="B46">
            <v>43</v>
          </cell>
          <cell r="C46">
            <v>2.42</v>
          </cell>
          <cell r="D46">
            <v>2.3199999999999998</v>
          </cell>
          <cell r="E46">
            <v>2.33</v>
          </cell>
          <cell r="F46">
            <v>1.82</v>
          </cell>
          <cell r="G46">
            <v>2.04</v>
          </cell>
          <cell r="H46">
            <v>2.1800000000000002</v>
          </cell>
          <cell r="I46">
            <v>2.58</v>
          </cell>
          <cell r="J46">
            <v>1.92</v>
          </cell>
          <cell r="K46">
            <v>2.04</v>
          </cell>
          <cell r="L46">
            <v>2.29</v>
          </cell>
          <cell r="M46">
            <v>2.4300000000000002</v>
          </cell>
          <cell r="N46">
            <v>2.2000000000000002</v>
          </cell>
          <cell r="O46">
            <v>2.0699999999999998</v>
          </cell>
          <cell r="P46">
            <v>2.5499999999999998</v>
          </cell>
          <cell r="Q46">
            <v>2.23</v>
          </cell>
          <cell r="R46">
            <v>2</v>
          </cell>
          <cell r="S46">
            <v>2.19</v>
          </cell>
          <cell r="T46">
            <v>1.93</v>
          </cell>
          <cell r="U46">
            <v>1.92</v>
          </cell>
          <cell r="V46">
            <v>1.66</v>
          </cell>
          <cell r="W46">
            <v>1.76</v>
          </cell>
          <cell r="X46">
            <v>1.74</v>
          </cell>
          <cell r="Y46">
            <v>1.64</v>
          </cell>
          <cell r="Z46">
            <v>1.4</v>
          </cell>
          <cell r="AA46">
            <v>1.69</v>
          </cell>
          <cell r="AB46">
            <v>1.85</v>
          </cell>
          <cell r="AC46">
            <v>1.66</v>
          </cell>
          <cell r="AD46">
            <v>1.27</v>
          </cell>
          <cell r="AE46">
            <v>1.23</v>
          </cell>
          <cell r="AF46">
            <v>1.25</v>
          </cell>
          <cell r="AG46">
            <v>1.34</v>
          </cell>
          <cell r="AH46">
            <v>1.38</v>
          </cell>
          <cell r="AI46">
            <v>1.25</v>
          </cell>
          <cell r="AJ46">
            <v>1.24</v>
          </cell>
          <cell r="AK46">
            <v>1.46</v>
          </cell>
          <cell r="AL46">
            <v>1.53</v>
          </cell>
          <cell r="AM46">
            <v>1.56</v>
          </cell>
          <cell r="AN46">
            <v>1.63</v>
          </cell>
          <cell r="AO46">
            <v>1.48</v>
          </cell>
          <cell r="AP46">
            <v>1.42</v>
          </cell>
          <cell r="AQ46">
            <v>1.39</v>
          </cell>
          <cell r="AR46">
            <v>1.29</v>
          </cell>
          <cell r="AS46">
            <v>1.29</v>
          </cell>
          <cell r="AT46">
            <v>1.37</v>
          </cell>
          <cell r="AU46">
            <v>1.69</v>
          </cell>
          <cell r="AV46">
            <v>2.16</v>
          </cell>
          <cell r="AW46">
            <v>1.72</v>
          </cell>
          <cell r="AX46">
            <v>1.73</v>
          </cell>
          <cell r="AY46">
            <v>2.62</v>
          </cell>
          <cell r="AZ46">
            <v>3.7</v>
          </cell>
          <cell r="BA46">
            <v>4.2699999999999996</v>
          </cell>
          <cell r="BB46">
            <v>2.65</v>
          </cell>
          <cell r="BC46">
            <v>1.61</v>
          </cell>
          <cell r="BD46">
            <v>1.74</v>
          </cell>
          <cell r="BE46">
            <v>2.0499999999999998</v>
          </cell>
          <cell r="BF46">
            <v>2.2000000000000002</v>
          </cell>
          <cell r="BG46">
            <v>2.19</v>
          </cell>
          <cell r="BH46">
            <v>2.2200000000000002</v>
          </cell>
          <cell r="BI46">
            <v>2.5</v>
          </cell>
          <cell r="BJ46">
            <v>3.08</v>
          </cell>
          <cell r="BK46">
            <v>3.34</v>
          </cell>
          <cell r="BL46">
            <v>2.36</v>
          </cell>
          <cell r="BM46">
            <v>2.2799999999999998</v>
          </cell>
          <cell r="BN46">
            <v>2.11</v>
          </cell>
        </row>
        <row r="47">
          <cell r="A47" t="str">
            <v>SONAT-LA</v>
          </cell>
          <cell r="B47">
            <v>44</v>
          </cell>
          <cell r="C47">
            <v>2.2599999999999998</v>
          </cell>
          <cell r="D47">
            <v>2.2000000000000002</v>
          </cell>
          <cell r="E47">
            <v>1.91</v>
          </cell>
          <cell r="F47">
            <v>1.61</v>
          </cell>
          <cell r="G47">
            <v>1.9</v>
          </cell>
          <cell r="H47">
            <v>2.1800000000000002</v>
          </cell>
          <cell r="I47">
            <v>2.6</v>
          </cell>
          <cell r="J47">
            <v>1.95</v>
          </cell>
          <cell r="K47">
            <v>1.9</v>
          </cell>
          <cell r="L47">
            <v>2.0499999999999998</v>
          </cell>
          <cell r="M47">
            <v>2.31</v>
          </cell>
          <cell r="N47">
            <v>1.95</v>
          </cell>
          <cell r="O47">
            <v>2.0499999999999998</v>
          </cell>
          <cell r="P47">
            <v>2.2999999999999998</v>
          </cell>
          <cell r="Q47">
            <v>2.0099999999999998</v>
          </cell>
          <cell r="R47">
            <v>2.31</v>
          </cell>
          <cell r="S47">
            <v>2.3199999999999998</v>
          </cell>
          <cell r="T47">
            <v>1.91</v>
          </cell>
          <cell r="U47">
            <v>1.92</v>
          </cell>
          <cell r="V47">
            <v>1.75</v>
          </cell>
          <cell r="W47">
            <v>1.85</v>
          </cell>
          <cell r="X47">
            <v>1.73</v>
          </cell>
          <cell r="Y47">
            <v>1.44</v>
          </cell>
          <cell r="Z47">
            <v>1.38</v>
          </cell>
          <cell r="AA47">
            <v>1.62</v>
          </cell>
          <cell r="AB47">
            <v>1.65</v>
          </cell>
          <cell r="AC47">
            <v>1.57</v>
          </cell>
          <cell r="AD47">
            <v>1.38</v>
          </cell>
          <cell r="AE47">
            <v>1.41</v>
          </cell>
          <cell r="AF47">
            <v>1.53</v>
          </cell>
          <cell r="AG47">
            <v>1.64</v>
          </cell>
          <cell r="AH47">
            <v>1.66</v>
          </cell>
          <cell r="AI47">
            <v>1.46</v>
          </cell>
          <cell r="AJ47">
            <v>1.34</v>
          </cell>
          <cell r="AK47">
            <v>1.54</v>
          </cell>
          <cell r="AL47">
            <v>1.61</v>
          </cell>
          <cell r="AM47">
            <v>1.76</v>
          </cell>
          <cell r="AN47">
            <v>2.2400000000000002</v>
          </cell>
          <cell r="AO47">
            <v>3.38</v>
          </cell>
          <cell r="AP47">
            <v>2.34</v>
          </cell>
          <cell r="AQ47">
            <v>2.84</v>
          </cell>
          <cell r="AR47">
            <v>2.65</v>
          </cell>
          <cell r="AS47">
            <v>2.17</v>
          </cell>
          <cell r="AT47">
            <v>2.2999999999999998</v>
          </cell>
          <cell r="AU47">
            <v>2.61</v>
          </cell>
          <cell r="AV47">
            <v>2.2599999999999998</v>
          </cell>
          <cell r="AW47">
            <v>1.74</v>
          </cell>
          <cell r="AX47">
            <v>1.78</v>
          </cell>
          <cell r="AY47">
            <v>2.66</v>
          </cell>
          <cell r="AZ47">
            <v>3.84</v>
          </cell>
          <cell r="BA47">
            <v>3.95</v>
          </cell>
          <cell r="BB47">
            <v>2.88</v>
          </cell>
          <cell r="BC47">
            <v>1.74</v>
          </cell>
          <cell r="BD47">
            <v>1.78</v>
          </cell>
          <cell r="BE47">
            <v>2.08</v>
          </cell>
          <cell r="BF47">
            <v>2.2799999999999998</v>
          </cell>
          <cell r="BG47">
            <v>2.1</v>
          </cell>
          <cell r="BH47">
            <v>2.14</v>
          </cell>
          <cell r="BI47">
            <v>2.5</v>
          </cell>
          <cell r="BJ47">
            <v>3.05</v>
          </cell>
          <cell r="BK47">
            <v>3.25</v>
          </cell>
          <cell r="BL47">
            <v>2.52</v>
          </cell>
          <cell r="BM47">
            <v>2.27</v>
          </cell>
          <cell r="BN47">
            <v>2.02</v>
          </cell>
          <cell r="BO47">
            <v>2.23</v>
          </cell>
          <cell r="BP47">
            <v>2.2799999999999998</v>
          </cell>
          <cell r="BQ47">
            <v>2.25</v>
          </cell>
          <cell r="BR47">
            <v>2.0099999999999998</v>
          </cell>
          <cell r="BS47">
            <v>2.35</v>
          </cell>
          <cell r="BT47">
            <v>1.91</v>
          </cell>
          <cell r="BU47">
            <v>1.6</v>
          </cell>
          <cell r="BV47">
            <v>2.02</v>
          </cell>
          <cell r="BW47">
            <v>1.96</v>
          </cell>
          <cell r="BX47">
            <v>2.09</v>
          </cell>
          <cell r="BY47">
            <v>1.76</v>
          </cell>
          <cell r="BZ47">
            <v>1.78</v>
          </cell>
          <cell r="CA47">
            <v>1.62</v>
          </cell>
          <cell r="CB47">
            <v>1.87</v>
          </cell>
          <cell r="CC47">
            <v>2.2999999999999998</v>
          </cell>
          <cell r="CD47">
            <v>2.21</v>
          </cell>
          <cell r="CE47">
            <v>2.2599999999999998</v>
          </cell>
          <cell r="CF47">
            <v>2.6</v>
          </cell>
          <cell r="CG47">
            <v>2.87</v>
          </cell>
        </row>
        <row r="48">
          <cell r="A48" t="str">
            <v>TANG</v>
          </cell>
          <cell r="B48">
            <v>45</v>
          </cell>
          <cell r="C48">
            <v>2.2090000000000001</v>
          </cell>
          <cell r="D48">
            <v>2.1240000000000001</v>
          </cell>
          <cell r="E48">
            <v>1.85</v>
          </cell>
          <cell r="F48">
            <v>1.5489999999999999</v>
          </cell>
          <cell r="G48">
            <v>1.806</v>
          </cell>
          <cell r="H48">
            <v>2.109</v>
          </cell>
          <cell r="I48">
            <v>2.581</v>
          </cell>
          <cell r="J48">
            <v>1.927</v>
          </cell>
          <cell r="K48">
            <v>1.8540000000000001</v>
          </cell>
          <cell r="L48">
            <v>2.0030000000000001</v>
          </cell>
          <cell r="M48">
            <v>2.2959999999999998</v>
          </cell>
          <cell r="N48">
            <v>1.9379999999999999</v>
          </cell>
          <cell r="O48">
            <v>2.0230000000000001</v>
          </cell>
          <cell r="P48">
            <v>2.3010000000000002</v>
          </cell>
          <cell r="Q48">
            <v>1.9690000000000001</v>
          </cell>
          <cell r="R48">
            <v>2.1930000000000001</v>
          </cell>
          <cell r="S48">
            <v>2.198</v>
          </cell>
          <cell r="T48">
            <v>1.871</v>
          </cell>
          <cell r="U48">
            <v>1.9670000000000001</v>
          </cell>
          <cell r="V48">
            <v>1.7090000000000001</v>
          </cell>
          <cell r="W48">
            <v>1.86</v>
          </cell>
          <cell r="X48">
            <v>1.7</v>
          </cell>
          <cell r="Y48">
            <v>1.397</v>
          </cell>
          <cell r="Z48">
            <v>1.333</v>
          </cell>
          <cell r="AA48">
            <v>1.5920000000000001</v>
          </cell>
          <cell r="AB48">
            <v>1.601</v>
          </cell>
          <cell r="AC48">
            <v>1.514</v>
          </cell>
          <cell r="AD48">
            <v>1.3120000000000001</v>
          </cell>
          <cell r="AE48">
            <v>1.3380000000000001</v>
          </cell>
          <cell r="AF48">
            <v>1.4610000000000001</v>
          </cell>
          <cell r="AG48">
            <v>1.577</v>
          </cell>
          <cell r="AH48">
            <v>1.6180000000000001</v>
          </cell>
          <cell r="AI48">
            <v>1.399</v>
          </cell>
          <cell r="AJ48">
            <v>1.288</v>
          </cell>
          <cell r="AK48">
            <v>1.4810000000000001</v>
          </cell>
          <cell r="AL48">
            <v>1.544</v>
          </cell>
          <cell r="AM48">
            <v>1.6779999999999999</v>
          </cell>
          <cell r="AN48">
            <v>2.0640000000000001</v>
          </cell>
          <cell r="AO48">
            <v>2.0859999999999999</v>
          </cell>
          <cell r="AP48">
            <v>1.806</v>
          </cell>
          <cell r="AQ48">
            <v>1.92</v>
          </cell>
          <cell r="AR48">
            <v>2.2050000000000001</v>
          </cell>
          <cell r="AS48">
            <v>2.1040000000000001</v>
          </cell>
          <cell r="AT48">
            <v>2.2410000000000001</v>
          </cell>
          <cell r="AU48">
            <v>2.5099999999999998</v>
          </cell>
          <cell r="AV48">
            <v>2.1619999999999999</v>
          </cell>
          <cell r="AW48">
            <v>1.6859999999999999</v>
          </cell>
          <cell r="AX48">
            <v>1.7270000000000001</v>
          </cell>
          <cell r="AY48">
            <v>2.5539999999999998</v>
          </cell>
          <cell r="AZ48">
            <v>3.6459999999999999</v>
          </cell>
          <cell r="BA48">
            <v>3.7229999999999999</v>
          </cell>
          <cell r="BB48">
            <v>2.706</v>
          </cell>
          <cell r="BC48">
            <v>1.62</v>
          </cell>
          <cell r="BD48">
            <v>1.716</v>
          </cell>
          <cell r="BE48">
            <v>2.0179999999999998</v>
          </cell>
        </row>
        <row r="49">
          <cell r="A49" t="str">
            <v>TENN-Z0</v>
          </cell>
          <cell r="B49">
            <v>46</v>
          </cell>
          <cell r="C49">
            <v>2.2799999999999998</v>
          </cell>
          <cell r="D49">
            <v>2.12</v>
          </cell>
          <cell r="E49">
            <v>1.82</v>
          </cell>
          <cell r="F49">
            <v>1.54</v>
          </cell>
          <cell r="G49">
            <v>1.8</v>
          </cell>
          <cell r="H49">
            <v>2.1</v>
          </cell>
          <cell r="I49">
            <v>2.58</v>
          </cell>
          <cell r="J49">
            <v>1.83</v>
          </cell>
          <cell r="K49">
            <v>1.73</v>
          </cell>
          <cell r="L49">
            <v>1.89</v>
          </cell>
          <cell r="M49">
            <v>2.23</v>
          </cell>
          <cell r="N49">
            <v>1.88</v>
          </cell>
          <cell r="O49">
            <v>2.02</v>
          </cell>
          <cell r="P49">
            <v>2.29</v>
          </cell>
          <cell r="Q49">
            <v>1.94</v>
          </cell>
          <cell r="R49">
            <v>2.1800000000000002</v>
          </cell>
          <cell r="S49">
            <v>2.17</v>
          </cell>
          <cell r="T49">
            <v>1.85</v>
          </cell>
          <cell r="U49">
            <v>1.98</v>
          </cell>
          <cell r="V49">
            <v>1.7</v>
          </cell>
          <cell r="W49">
            <v>1.84</v>
          </cell>
          <cell r="X49">
            <v>1.68</v>
          </cell>
          <cell r="Y49">
            <v>1.38</v>
          </cell>
          <cell r="Z49">
            <v>1.33</v>
          </cell>
          <cell r="AA49">
            <v>1.62</v>
          </cell>
          <cell r="AB49">
            <v>1.6</v>
          </cell>
          <cell r="AC49">
            <v>1.5</v>
          </cell>
          <cell r="AD49">
            <v>1.32</v>
          </cell>
          <cell r="AE49">
            <v>1.35</v>
          </cell>
          <cell r="AF49">
            <v>1.47</v>
          </cell>
          <cell r="AG49">
            <v>1.58</v>
          </cell>
          <cell r="AH49">
            <v>1.63</v>
          </cell>
          <cell r="AI49">
            <v>1.4</v>
          </cell>
          <cell r="AJ49">
            <v>1.28</v>
          </cell>
          <cell r="AK49">
            <v>1.48</v>
          </cell>
          <cell r="AL49">
            <v>1.56</v>
          </cell>
          <cell r="AM49">
            <v>1.7</v>
          </cell>
          <cell r="AN49">
            <v>2.08</v>
          </cell>
          <cell r="AO49">
            <v>2.11</v>
          </cell>
          <cell r="AP49">
            <v>1.8</v>
          </cell>
          <cell r="AQ49">
            <v>1.97</v>
          </cell>
          <cell r="AR49">
            <v>2.2200000000000002</v>
          </cell>
          <cell r="AS49">
            <v>2.11</v>
          </cell>
          <cell r="AT49">
            <v>2.2599999999999998</v>
          </cell>
          <cell r="AU49">
            <v>2.5299999999999998</v>
          </cell>
          <cell r="AV49">
            <v>2.19</v>
          </cell>
          <cell r="AW49">
            <v>1.69</v>
          </cell>
          <cell r="AX49">
            <v>1.73</v>
          </cell>
          <cell r="AY49">
            <v>2.59</v>
          </cell>
          <cell r="AZ49">
            <v>3.68</v>
          </cell>
          <cell r="BA49">
            <v>3.82</v>
          </cell>
          <cell r="BB49">
            <v>2.73</v>
          </cell>
          <cell r="BC49">
            <v>1.62</v>
          </cell>
          <cell r="BD49">
            <v>1.74</v>
          </cell>
          <cell r="BE49">
            <v>2.02</v>
          </cell>
          <cell r="BF49">
            <v>2.23</v>
          </cell>
          <cell r="BG49">
            <v>2.06</v>
          </cell>
          <cell r="BH49">
            <v>2.1</v>
          </cell>
          <cell r="BI49">
            <v>2.4300000000000002</v>
          </cell>
          <cell r="BJ49">
            <v>2.99</v>
          </cell>
          <cell r="BK49">
            <v>3.17</v>
          </cell>
          <cell r="BL49">
            <v>2.36</v>
          </cell>
          <cell r="BM49">
            <v>2.14</v>
          </cell>
          <cell r="BN49">
            <v>1.92</v>
          </cell>
          <cell r="BO49">
            <v>2.16</v>
          </cell>
          <cell r="BP49">
            <v>2.2200000000000002</v>
          </cell>
          <cell r="BQ49">
            <v>2.2000000000000002</v>
          </cell>
          <cell r="BR49">
            <v>1.95</v>
          </cell>
          <cell r="BS49">
            <v>2.27</v>
          </cell>
          <cell r="BT49">
            <v>1.83</v>
          </cell>
          <cell r="BU49">
            <v>1.53</v>
          </cell>
          <cell r="BV49">
            <v>1.92</v>
          </cell>
          <cell r="BW49">
            <v>1.89</v>
          </cell>
          <cell r="BX49">
            <v>2.02</v>
          </cell>
          <cell r="BY49">
            <v>1.69</v>
          </cell>
          <cell r="BZ49">
            <v>1.74</v>
          </cell>
          <cell r="CA49">
            <v>1.56</v>
          </cell>
          <cell r="CB49">
            <v>1.83</v>
          </cell>
          <cell r="CC49">
            <v>2.2799999999999998</v>
          </cell>
          <cell r="CD49">
            <v>2.14</v>
          </cell>
          <cell r="CE49">
            <v>2.19</v>
          </cell>
          <cell r="CF49">
            <v>2.5299999999999998</v>
          </cell>
          <cell r="CG49">
            <v>2.8</v>
          </cell>
        </row>
        <row r="50">
          <cell r="A50" t="str">
            <v>TENN-Z1</v>
          </cell>
          <cell r="B50">
            <v>47</v>
          </cell>
          <cell r="C50">
            <v>2.2999999999999998</v>
          </cell>
          <cell r="D50">
            <v>2.1800000000000002</v>
          </cell>
          <cell r="E50">
            <v>1.88</v>
          </cell>
          <cell r="F50">
            <v>1.59</v>
          </cell>
          <cell r="G50">
            <v>1.84</v>
          </cell>
          <cell r="H50">
            <v>2.14</v>
          </cell>
          <cell r="I50">
            <v>2.6</v>
          </cell>
          <cell r="J50">
            <v>1.86</v>
          </cell>
          <cell r="K50">
            <v>1.81</v>
          </cell>
          <cell r="L50">
            <v>1.95</v>
          </cell>
          <cell r="M50">
            <v>2.27</v>
          </cell>
          <cell r="N50">
            <v>1.92</v>
          </cell>
          <cell r="O50">
            <v>2.0499999999999998</v>
          </cell>
          <cell r="P50">
            <v>2.33</v>
          </cell>
          <cell r="Q50">
            <v>1.98</v>
          </cell>
          <cell r="R50">
            <v>2.31</v>
          </cell>
          <cell r="S50">
            <v>2.3199999999999998</v>
          </cell>
          <cell r="T50">
            <v>1.92</v>
          </cell>
          <cell r="U50">
            <v>2</v>
          </cell>
          <cell r="V50">
            <v>1.73</v>
          </cell>
          <cell r="W50">
            <v>1.87</v>
          </cell>
          <cell r="X50">
            <v>1.7</v>
          </cell>
          <cell r="Y50">
            <v>1.4</v>
          </cell>
          <cell r="Z50">
            <v>1.35</v>
          </cell>
          <cell r="AA50">
            <v>1.62</v>
          </cell>
          <cell r="AB50">
            <v>1.64</v>
          </cell>
          <cell r="AC50">
            <v>1.57</v>
          </cell>
          <cell r="AD50">
            <v>1.37</v>
          </cell>
          <cell r="AE50">
            <v>1.42</v>
          </cell>
          <cell r="AF50">
            <v>1.5</v>
          </cell>
          <cell r="AG50">
            <v>1.6</v>
          </cell>
          <cell r="AH50">
            <v>1.64</v>
          </cell>
          <cell r="AI50">
            <v>1.42</v>
          </cell>
          <cell r="AJ50">
            <v>1.3</v>
          </cell>
          <cell r="AK50">
            <v>1.5</v>
          </cell>
          <cell r="AL50">
            <v>1.58</v>
          </cell>
          <cell r="AM50">
            <v>1.73</v>
          </cell>
          <cell r="AN50">
            <v>2.2400000000000002</v>
          </cell>
          <cell r="AO50">
            <v>3.25</v>
          </cell>
          <cell r="AP50">
            <v>2.33</v>
          </cell>
          <cell r="AQ50">
            <v>2.81</v>
          </cell>
          <cell r="AR50">
            <v>2.58</v>
          </cell>
          <cell r="AS50">
            <v>2.1</v>
          </cell>
          <cell r="AT50">
            <v>2.2799999999999998</v>
          </cell>
          <cell r="AU50">
            <v>2.57</v>
          </cell>
          <cell r="AV50">
            <v>2.2200000000000002</v>
          </cell>
          <cell r="AW50">
            <v>1.72</v>
          </cell>
          <cell r="AX50">
            <v>1.75</v>
          </cell>
          <cell r="AY50">
            <v>2.63</v>
          </cell>
          <cell r="AZ50">
            <v>3.73</v>
          </cell>
          <cell r="BA50">
            <v>3.84</v>
          </cell>
          <cell r="BB50">
            <v>2.79</v>
          </cell>
          <cell r="BC50">
            <v>1.66</v>
          </cell>
          <cell r="BD50">
            <v>1.76</v>
          </cell>
          <cell r="BE50">
            <v>2.04</v>
          </cell>
          <cell r="BF50">
            <v>2.2400000000000002</v>
          </cell>
          <cell r="BG50">
            <v>2.0699999999999998</v>
          </cell>
          <cell r="BH50">
            <v>2.11</v>
          </cell>
          <cell r="BI50">
            <v>2.46</v>
          </cell>
          <cell r="BJ50">
            <v>3.02</v>
          </cell>
          <cell r="BK50">
            <v>3.2</v>
          </cell>
          <cell r="BL50">
            <v>2.4500000000000002</v>
          </cell>
          <cell r="BM50">
            <v>2.19</v>
          </cell>
          <cell r="BN50">
            <v>1.93</v>
          </cell>
          <cell r="BO50">
            <v>2.19</v>
          </cell>
          <cell r="BP50">
            <v>2.2400000000000002</v>
          </cell>
          <cell r="BQ50">
            <v>2.21</v>
          </cell>
          <cell r="BR50">
            <v>1.96</v>
          </cell>
          <cell r="BS50">
            <v>2.29</v>
          </cell>
          <cell r="BT50">
            <v>1.85</v>
          </cell>
          <cell r="BU50">
            <v>1.53</v>
          </cell>
          <cell r="BV50">
            <v>1.95</v>
          </cell>
          <cell r="BW50">
            <v>1.93</v>
          </cell>
          <cell r="BX50">
            <v>2.0499999999999998</v>
          </cell>
          <cell r="BY50">
            <v>1.71</v>
          </cell>
          <cell r="BZ50">
            <v>1.75</v>
          </cell>
          <cell r="CA50">
            <v>1.57</v>
          </cell>
          <cell r="CB50">
            <v>1.84</v>
          </cell>
          <cell r="CC50">
            <v>2.2999999999999998</v>
          </cell>
          <cell r="CD50">
            <v>2.16</v>
          </cell>
          <cell r="CE50">
            <v>2.21</v>
          </cell>
          <cell r="CF50">
            <v>2.54</v>
          </cell>
          <cell r="CG50">
            <v>2.83</v>
          </cell>
        </row>
        <row r="51">
          <cell r="A51" t="str">
            <v>TET-ELA</v>
          </cell>
          <cell r="B51">
            <v>48</v>
          </cell>
          <cell r="L51">
            <v>2.0499999999999998</v>
          </cell>
          <cell r="M51">
            <v>2.35</v>
          </cell>
          <cell r="N51">
            <v>2</v>
          </cell>
          <cell r="O51">
            <v>2.1</v>
          </cell>
          <cell r="P51">
            <v>2.35</v>
          </cell>
          <cell r="Q51">
            <v>2</v>
          </cell>
          <cell r="R51">
            <v>2.35</v>
          </cell>
          <cell r="S51">
            <v>2.35</v>
          </cell>
          <cell r="T51">
            <v>1.96</v>
          </cell>
          <cell r="U51">
            <v>2.0499999999999998</v>
          </cell>
          <cell r="V51">
            <v>1.81</v>
          </cell>
          <cell r="W51">
            <v>1.93</v>
          </cell>
          <cell r="X51">
            <v>1.76</v>
          </cell>
          <cell r="Y51">
            <v>1.45</v>
          </cell>
          <cell r="Z51">
            <v>1.38</v>
          </cell>
          <cell r="AA51">
            <v>1.66</v>
          </cell>
          <cell r="AB51">
            <v>1.65</v>
          </cell>
          <cell r="AC51">
            <v>1.59</v>
          </cell>
          <cell r="AD51">
            <v>1.4</v>
          </cell>
          <cell r="AE51">
            <v>1.43</v>
          </cell>
          <cell r="AF51">
            <v>1.54</v>
          </cell>
          <cell r="AG51">
            <v>1.65</v>
          </cell>
          <cell r="AH51">
            <v>1.69</v>
          </cell>
          <cell r="AI51">
            <v>1.46</v>
          </cell>
          <cell r="AJ51">
            <v>1.34</v>
          </cell>
          <cell r="AK51">
            <v>1.54</v>
          </cell>
          <cell r="AL51">
            <v>1.61</v>
          </cell>
          <cell r="AM51">
            <v>1.76</v>
          </cell>
          <cell r="AN51">
            <v>2.2599999999999998</v>
          </cell>
          <cell r="AO51">
            <v>3.5</v>
          </cell>
          <cell r="AP51">
            <v>2.5</v>
          </cell>
          <cell r="AQ51">
            <v>2.92</v>
          </cell>
          <cell r="AR51">
            <v>2.65</v>
          </cell>
          <cell r="AS51">
            <v>2.1800000000000002</v>
          </cell>
          <cell r="AT51">
            <v>2.34</v>
          </cell>
          <cell r="AU51">
            <v>2.61</v>
          </cell>
          <cell r="AV51">
            <v>2.25</v>
          </cell>
          <cell r="AW51">
            <v>1.73</v>
          </cell>
          <cell r="AX51">
            <v>1.78</v>
          </cell>
          <cell r="AY51">
            <v>2.65</v>
          </cell>
          <cell r="AZ51">
            <v>3.83</v>
          </cell>
          <cell r="BA51">
            <v>3.9</v>
          </cell>
          <cell r="BB51">
            <v>2.85</v>
          </cell>
          <cell r="BC51">
            <v>1.7</v>
          </cell>
          <cell r="BD51">
            <v>1.78</v>
          </cell>
          <cell r="BE51">
            <v>2.0699999999999998</v>
          </cell>
          <cell r="BF51">
            <v>2.2400000000000002</v>
          </cell>
          <cell r="BG51">
            <v>2.1</v>
          </cell>
          <cell r="BH51">
            <v>2.13</v>
          </cell>
          <cell r="BI51">
            <v>2.48</v>
          </cell>
          <cell r="BJ51">
            <v>3.04</v>
          </cell>
          <cell r="BK51">
            <v>3.23</v>
          </cell>
          <cell r="BL51">
            <v>2.48</v>
          </cell>
          <cell r="BM51">
            <v>2.2200000000000002</v>
          </cell>
          <cell r="BN51">
            <v>1.97</v>
          </cell>
          <cell r="BO51">
            <v>2.2000000000000002</v>
          </cell>
          <cell r="BP51">
            <v>2.2599999999999998</v>
          </cell>
          <cell r="BQ51">
            <v>2.23</v>
          </cell>
          <cell r="BR51">
            <v>1.98</v>
          </cell>
          <cell r="BS51">
            <v>2.31</v>
          </cell>
          <cell r="BT51">
            <v>1.87</v>
          </cell>
          <cell r="BU51">
            <v>1.56</v>
          </cell>
          <cell r="BV51">
            <v>1.98</v>
          </cell>
          <cell r="BW51">
            <v>1.96</v>
          </cell>
          <cell r="BX51">
            <v>2.0499999999999998</v>
          </cell>
          <cell r="BY51">
            <v>1.72</v>
          </cell>
          <cell r="BZ51">
            <v>1.77</v>
          </cell>
          <cell r="CA51">
            <v>1.58</v>
          </cell>
          <cell r="CB51">
            <v>1.86</v>
          </cell>
          <cell r="CC51">
            <v>2.3199999999999998</v>
          </cell>
          <cell r="CD51">
            <v>2.1800000000000002</v>
          </cell>
          <cell r="CE51">
            <v>2.23</v>
          </cell>
          <cell r="CF51">
            <v>2.57</v>
          </cell>
          <cell r="CG51">
            <v>2.82</v>
          </cell>
        </row>
        <row r="52">
          <cell r="A52" t="str">
            <v>TET-ETX</v>
          </cell>
          <cell r="B52">
            <v>49</v>
          </cell>
          <cell r="L52">
            <v>2.02</v>
          </cell>
          <cell r="M52">
            <v>2.31</v>
          </cell>
          <cell r="N52">
            <v>1.96</v>
          </cell>
          <cell r="O52">
            <v>2.0499999999999998</v>
          </cell>
          <cell r="P52">
            <v>2.3199999999999998</v>
          </cell>
          <cell r="Q52">
            <v>1.95</v>
          </cell>
          <cell r="R52">
            <v>2.25</v>
          </cell>
          <cell r="S52">
            <v>2.2400000000000002</v>
          </cell>
          <cell r="T52">
            <v>1.9</v>
          </cell>
          <cell r="U52">
            <v>1.98</v>
          </cell>
          <cell r="V52">
            <v>1.74</v>
          </cell>
          <cell r="W52">
            <v>1.88</v>
          </cell>
          <cell r="X52">
            <v>1.73</v>
          </cell>
          <cell r="Y52">
            <v>1.41</v>
          </cell>
          <cell r="Z52">
            <v>1.34</v>
          </cell>
          <cell r="AA52">
            <v>1.6</v>
          </cell>
          <cell r="AB52">
            <v>1.6</v>
          </cell>
          <cell r="AC52">
            <v>1.54</v>
          </cell>
          <cell r="AD52">
            <v>1.33</v>
          </cell>
          <cell r="AE52">
            <v>1.35</v>
          </cell>
          <cell r="AF52">
            <v>1.48</v>
          </cell>
          <cell r="AG52">
            <v>1.6</v>
          </cell>
          <cell r="AH52">
            <v>1.64</v>
          </cell>
          <cell r="AI52">
            <v>1.41</v>
          </cell>
          <cell r="AJ52">
            <v>1.3</v>
          </cell>
          <cell r="AK52">
            <v>1.5</v>
          </cell>
          <cell r="AL52">
            <v>1.58</v>
          </cell>
          <cell r="AM52">
            <v>1.7</v>
          </cell>
          <cell r="AN52">
            <v>2.11</v>
          </cell>
          <cell r="AO52">
            <v>2.0499999999999998</v>
          </cell>
          <cell r="AP52">
            <v>1.82</v>
          </cell>
          <cell r="AQ52">
            <v>1.96</v>
          </cell>
          <cell r="AR52">
            <v>2.23</v>
          </cell>
          <cell r="AS52">
            <v>2.13</v>
          </cell>
          <cell r="AT52">
            <v>2.25</v>
          </cell>
          <cell r="AU52">
            <v>2.56</v>
          </cell>
          <cell r="AV52">
            <v>2.19</v>
          </cell>
          <cell r="AW52">
            <v>1.69</v>
          </cell>
          <cell r="AX52">
            <v>1.73</v>
          </cell>
          <cell r="AY52">
            <v>2.61</v>
          </cell>
          <cell r="AZ52">
            <v>3.69</v>
          </cell>
          <cell r="BA52">
            <v>3.92</v>
          </cell>
          <cell r="BB52">
            <v>2.75</v>
          </cell>
          <cell r="BC52">
            <v>1.63</v>
          </cell>
          <cell r="BD52">
            <v>1.73</v>
          </cell>
          <cell r="BE52">
            <v>2.0299999999999998</v>
          </cell>
          <cell r="BF52">
            <v>2.2000000000000002</v>
          </cell>
          <cell r="BG52">
            <v>2.06</v>
          </cell>
          <cell r="BH52">
            <v>2.1</v>
          </cell>
          <cell r="BI52">
            <v>2.4500000000000002</v>
          </cell>
          <cell r="BJ52">
            <v>2.93</v>
          </cell>
          <cell r="BK52">
            <v>3.17</v>
          </cell>
          <cell r="BL52">
            <v>2.38</v>
          </cell>
          <cell r="BM52">
            <v>2.16</v>
          </cell>
          <cell r="BN52">
            <v>1.92</v>
          </cell>
          <cell r="BO52">
            <v>2.16</v>
          </cell>
          <cell r="BP52">
            <v>2.2200000000000002</v>
          </cell>
          <cell r="BQ52">
            <v>2.2200000000000002</v>
          </cell>
          <cell r="BR52">
            <v>1.95</v>
          </cell>
          <cell r="BS52">
            <v>2.2799999999999998</v>
          </cell>
          <cell r="BT52">
            <v>1.88</v>
          </cell>
          <cell r="BU52">
            <v>1.54</v>
          </cell>
          <cell r="BV52">
            <v>1.95</v>
          </cell>
          <cell r="BW52">
            <v>1.91</v>
          </cell>
          <cell r="BX52">
            <v>2.0299999999999998</v>
          </cell>
          <cell r="BY52">
            <v>1.68</v>
          </cell>
          <cell r="BZ52">
            <v>1.74</v>
          </cell>
          <cell r="CA52">
            <v>1.56</v>
          </cell>
          <cell r="CB52">
            <v>1.81</v>
          </cell>
          <cell r="CC52">
            <v>2.29</v>
          </cell>
          <cell r="CD52">
            <v>2.15</v>
          </cell>
          <cell r="CE52">
            <v>2.2000000000000002</v>
          </cell>
          <cell r="CF52">
            <v>2.5299999999999998</v>
          </cell>
          <cell r="CG52">
            <v>2.79</v>
          </cell>
        </row>
        <row r="53">
          <cell r="A53" t="str">
            <v>TET-STX</v>
          </cell>
          <cell r="B53">
            <v>50</v>
          </cell>
          <cell r="L53">
            <v>2.04</v>
          </cell>
          <cell r="M53">
            <v>2.31</v>
          </cell>
          <cell r="N53">
            <v>1.96</v>
          </cell>
          <cell r="O53">
            <v>2.0699999999999998</v>
          </cell>
          <cell r="P53">
            <v>2.3199999999999998</v>
          </cell>
          <cell r="Q53">
            <v>1.94</v>
          </cell>
          <cell r="R53">
            <v>2.2000000000000002</v>
          </cell>
          <cell r="S53">
            <v>2.1800000000000002</v>
          </cell>
          <cell r="T53">
            <v>1.87</v>
          </cell>
          <cell r="U53">
            <v>1.99</v>
          </cell>
          <cell r="V53">
            <v>1.73</v>
          </cell>
          <cell r="W53">
            <v>1.88</v>
          </cell>
          <cell r="X53">
            <v>1.71</v>
          </cell>
          <cell r="Y53">
            <v>1.41</v>
          </cell>
          <cell r="Z53">
            <v>1.34</v>
          </cell>
          <cell r="AA53">
            <v>1.6</v>
          </cell>
          <cell r="AB53">
            <v>1.61</v>
          </cell>
          <cell r="AC53">
            <v>1.53</v>
          </cell>
          <cell r="AD53">
            <v>1.32</v>
          </cell>
          <cell r="AE53">
            <v>1.36</v>
          </cell>
          <cell r="AF53">
            <v>1.47</v>
          </cell>
          <cell r="AG53">
            <v>1.58</v>
          </cell>
          <cell r="AH53">
            <v>1.62</v>
          </cell>
          <cell r="AI53">
            <v>1.41</v>
          </cell>
          <cell r="AJ53">
            <v>1.29</v>
          </cell>
          <cell r="AK53">
            <v>1.48</v>
          </cell>
          <cell r="AL53">
            <v>1.56</v>
          </cell>
          <cell r="AM53">
            <v>1.69</v>
          </cell>
          <cell r="AN53">
            <v>2.09</v>
          </cell>
          <cell r="AO53">
            <v>2.1</v>
          </cell>
          <cell r="AP53">
            <v>1.78</v>
          </cell>
          <cell r="AQ53">
            <v>1.95</v>
          </cell>
          <cell r="AR53">
            <v>2.2200000000000002</v>
          </cell>
          <cell r="AS53">
            <v>2.12</v>
          </cell>
          <cell r="AT53">
            <v>2.2400000000000002</v>
          </cell>
          <cell r="AU53">
            <v>2.54</v>
          </cell>
          <cell r="AV53">
            <v>2.2000000000000002</v>
          </cell>
          <cell r="AW53">
            <v>1.69</v>
          </cell>
          <cell r="AX53">
            <v>1.73</v>
          </cell>
          <cell r="AY53">
            <v>2.6</v>
          </cell>
          <cell r="AZ53">
            <v>3.68</v>
          </cell>
          <cell r="BA53">
            <v>3.8</v>
          </cell>
          <cell r="BB53">
            <v>2.73</v>
          </cell>
          <cell r="BC53">
            <v>1.62</v>
          </cell>
          <cell r="BD53">
            <v>1.75</v>
          </cell>
          <cell r="BE53">
            <v>2.0299999999999998</v>
          </cell>
          <cell r="BF53">
            <v>2.21</v>
          </cell>
          <cell r="BG53">
            <v>2.0699999999999998</v>
          </cell>
          <cell r="BH53">
            <v>2.1</v>
          </cell>
          <cell r="BI53">
            <v>2.44</v>
          </cell>
          <cell r="BJ53">
            <v>2.96</v>
          </cell>
          <cell r="BK53">
            <v>3.16</v>
          </cell>
          <cell r="BL53">
            <v>2.33</v>
          </cell>
          <cell r="BM53">
            <v>2.15</v>
          </cell>
          <cell r="BN53">
            <v>1.92</v>
          </cell>
          <cell r="BO53">
            <v>2.15</v>
          </cell>
          <cell r="BP53">
            <v>2.21</v>
          </cell>
          <cell r="BQ53">
            <v>2.19</v>
          </cell>
          <cell r="BR53">
            <v>1.95</v>
          </cell>
          <cell r="BS53">
            <v>2.2799999999999998</v>
          </cell>
          <cell r="BT53">
            <v>1.85</v>
          </cell>
          <cell r="BU53">
            <v>1.52</v>
          </cell>
          <cell r="BV53">
            <v>1.94</v>
          </cell>
          <cell r="BW53">
            <v>1.92</v>
          </cell>
          <cell r="BX53">
            <v>2.02</v>
          </cell>
          <cell r="BY53">
            <v>1.69</v>
          </cell>
          <cell r="BZ53">
            <v>1.74</v>
          </cell>
          <cell r="CA53">
            <v>1.556</v>
          </cell>
          <cell r="CB53">
            <v>1.81</v>
          </cell>
          <cell r="CC53">
            <v>2.2799999999999998</v>
          </cell>
          <cell r="CD53">
            <v>2.14</v>
          </cell>
          <cell r="CE53">
            <v>2.1800000000000002</v>
          </cell>
          <cell r="CF53">
            <v>2.52</v>
          </cell>
          <cell r="CG53">
            <v>2.8</v>
          </cell>
        </row>
        <row r="54">
          <cell r="A54" t="str">
            <v>TET-WLA</v>
          </cell>
          <cell r="B54">
            <v>51</v>
          </cell>
          <cell r="L54">
            <v>2.0499999999999998</v>
          </cell>
          <cell r="M54">
            <v>2.33</v>
          </cell>
          <cell r="N54">
            <v>2</v>
          </cell>
          <cell r="O54">
            <v>2.09</v>
          </cell>
          <cell r="P54">
            <v>2.34</v>
          </cell>
          <cell r="Q54">
            <v>2</v>
          </cell>
          <cell r="R54">
            <v>2.3199999999999998</v>
          </cell>
          <cell r="S54">
            <v>2.3199999999999998</v>
          </cell>
          <cell r="T54">
            <v>1.94</v>
          </cell>
          <cell r="U54">
            <v>2.04</v>
          </cell>
          <cell r="V54">
            <v>1.8</v>
          </cell>
          <cell r="W54">
            <v>1.92</v>
          </cell>
          <cell r="X54">
            <v>1.75</v>
          </cell>
          <cell r="Y54">
            <v>1.44</v>
          </cell>
          <cell r="Z54">
            <v>1.37</v>
          </cell>
          <cell r="AA54">
            <v>1.65</v>
          </cell>
          <cell r="AB54">
            <v>1.63</v>
          </cell>
          <cell r="AC54">
            <v>1.56</v>
          </cell>
          <cell r="AD54">
            <v>1.36</v>
          </cell>
          <cell r="AE54">
            <v>1.4</v>
          </cell>
          <cell r="AF54">
            <v>1.51</v>
          </cell>
          <cell r="AG54">
            <v>1.63</v>
          </cell>
          <cell r="AH54">
            <v>1.68</v>
          </cell>
          <cell r="AI54">
            <v>1.44</v>
          </cell>
          <cell r="AJ54">
            <v>1.33</v>
          </cell>
          <cell r="AK54">
            <v>1.52</v>
          </cell>
          <cell r="AL54">
            <v>1.59</v>
          </cell>
          <cell r="AM54">
            <v>1.74</v>
          </cell>
          <cell r="AN54">
            <v>2.2200000000000002</v>
          </cell>
          <cell r="AO54">
            <v>2.85</v>
          </cell>
          <cell r="AP54">
            <v>2.2000000000000002</v>
          </cell>
          <cell r="AQ54">
            <v>2.73</v>
          </cell>
          <cell r="AR54">
            <v>2.56</v>
          </cell>
          <cell r="AS54">
            <v>2.16</v>
          </cell>
          <cell r="AT54">
            <v>2.31</v>
          </cell>
          <cell r="AU54">
            <v>2.58</v>
          </cell>
          <cell r="AV54">
            <v>2.2200000000000002</v>
          </cell>
          <cell r="AW54">
            <v>1.72</v>
          </cell>
          <cell r="AX54">
            <v>1.77</v>
          </cell>
          <cell r="AY54">
            <v>2.64</v>
          </cell>
          <cell r="AZ54">
            <v>3.81</v>
          </cell>
          <cell r="BA54">
            <v>3.87</v>
          </cell>
          <cell r="BB54">
            <v>2.83</v>
          </cell>
          <cell r="BC54">
            <v>1.68</v>
          </cell>
          <cell r="BD54">
            <v>1.75</v>
          </cell>
          <cell r="BE54">
            <v>2.0499999999999998</v>
          </cell>
          <cell r="BF54">
            <v>2.23</v>
          </cell>
          <cell r="BG54">
            <v>2.08</v>
          </cell>
          <cell r="BH54">
            <v>2.12</v>
          </cell>
          <cell r="BI54">
            <v>2.46</v>
          </cell>
          <cell r="BJ54">
            <v>3.02</v>
          </cell>
          <cell r="BK54">
            <v>3.21</v>
          </cell>
          <cell r="BL54">
            <v>2.46</v>
          </cell>
          <cell r="BM54">
            <v>2.2000000000000002</v>
          </cell>
          <cell r="BN54">
            <v>1.94</v>
          </cell>
          <cell r="BO54">
            <v>2.19</v>
          </cell>
          <cell r="BP54">
            <v>2.2400000000000002</v>
          </cell>
          <cell r="BQ54">
            <v>2.2200000000000002</v>
          </cell>
          <cell r="BR54">
            <v>1.96</v>
          </cell>
          <cell r="BS54">
            <v>2.2999999999999998</v>
          </cell>
          <cell r="BT54">
            <v>1.86</v>
          </cell>
          <cell r="BU54">
            <v>1.54</v>
          </cell>
          <cell r="BV54">
            <v>1.97</v>
          </cell>
          <cell r="BW54">
            <v>1.93</v>
          </cell>
          <cell r="BX54">
            <v>2.0499999999999998</v>
          </cell>
          <cell r="BY54">
            <v>1.72</v>
          </cell>
          <cell r="BZ54">
            <v>1.75</v>
          </cell>
          <cell r="CA54">
            <v>1.57</v>
          </cell>
          <cell r="CB54">
            <v>1.85</v>
          </cell>
          <cell r="CC54">
            <v>2.31</v>
          </cell>
          <cell r="CD54">
            <v>2.16</v>
          </cell>
          <cell r="CE54">
            <v>2.2200000000000002</v>
          </cell>
          <cell r="CF54">
            <v>2.5499999999999998</v>
          </cell>
          <cell r="CG54">
            <v>2.81</v>
          </cell>
        </row>
        <row r="55">
          <cell r="A55" t="str">
            <v>TET-M3</v>
          </cell>
          <cell r="B55">
            <v>52</v>
          </cell>
          <cell r="AU55">
            <v>2.93</v>
          </cell>
          <cell r="AV55">
            <v>2.5499999999999998</v>
          </cell>
          <cell r="AW55">
            <v>2.04</v>
          </cell>
          <cell r="AX55">
            <v>2.08</v>
          </cell>
          <cell r="AY55">
            <v>3.26</v>
          </cell>
          <cell r="AZ55">
            <v>4.9800000000000004</v>
          </cell>
          <cell r="BA55">
            <v>5.15</v>
          </cell>
          <cell r="BB55">
            <v>3.58</v>
          </cell>
          <cell r="BC55">
            <v>2.1</v>
          </cell>
          <cell r="BD55">
            <v>2.13</v>
          </cell>
          <cell r="BE55">
            <v>2.41</v>
          </cell>
          <cell r="BF55">
            <v>2.57</v>
          </cell>
          <cell r="BG55">
            <v>2.41</v>
          </cell>
          <cell r="BH55">
            <v>2.4</v>
          </cell>
          <cell r="BI55">
            <v>2.75</v>
          </cell>
          <cell r="BJ55">
            <v>3.45</v>
          </cell>
          <cell r="BK55">
            <v>3.75</v>
          </cell>
          <cell r="BL55">
            <v>3.24</v>
          </cell>
          <cell r="BM55">
            <v>2.83</v>
          </cell>
          <cell r="BN55">
            <v>2.33</v>
          </cell>
          <cell r="BO55">
            <v>2.4700000000000002</v>
          </cell>
          <cell r="BP55">
            <v>2.57</v>
          </cell>
          <cell r="BQ55">
            <v>2.52</v>
          </cell>
          <cell r="BR55">
            <v>2.25</v>
          </cell>
          <cell r="BS55">
            <v>2.58</v>
          </cell>
          <cell r="BT55">
            <v>2.15</v>
          </cell>
          <cell r="BU55">
            <v>1.78</v>
          </cell>
          <cell r="BV55">
            <v>2.27</v>
          </cell>
          <cell r="BW55">
            <v>2.38</v>
          </cell>
          <cell r="BX55">
            <v>2.4300000000000002</v>
          </cell>
          <cell r="BY55">
            <v>2.19</v>
          </cell>
          <cell r="BZ55">
            <v>2.16</v>
          </cell>
          <cell r="CA55">
            <v>1.84</v>
          </cell>
          <cell r="CB55">
            <v>2.11</v>
          </cell>
          <cell r="CC55">
            <v>2.54</v>
          </cell>
          <cell r="CD55">
            <v>2.42</v>
          </cell>
          <cell r="CE55">
            <v>2.4900000000000002</v>
          </cell>
          <cell r="CF55">
            <v>2.86</v>
          </cell>
          <cell r="CG55">
            <v>3.12</v>
          </cell>
        </row>
        <row r="56">
          <cell r="A56" t="str">
            <v>TRAN-Z1</v>
          </cell>
          <cell r="B56">
            <v>53</v>
          </cell>
          <cell r="C56">
            <v>2.35</v>
          </cell>
          <cell r="D56">
            <v>2.25</v>
          </cell>
          <cell r="E56">
            <v>1.86</v>
          </cell>
          <cell r="F56">
            <v>1.56</v>
          </cell>
          <cell r="G56">
            <v>1.847</v>
          </cell>
          <cell r="H56">
            <v>2.15</v>
          </cell>
          <cell r="I56">
            <v>2.68</v>
          </cell>
          <cell r="J56">
            <v>2.08</v>
          </cell>
          <cell r="K56">
            <v>1.89</v>
          </cell>
          <cell r="L56">
            <v>2.02</v>
          </cell>
          <cell r="M56">
            <v>2.33</v>
          </cell>
          <cell r="N56">
            <v>2.04</v>
          </cell>
          <cell r="O56">
            <v>2.09</v>
          </cell>
          <cell r="P56">
            <v>2.34</v>
          </cell>
          <cell r="Q56">
            <v>2.02</v>
          </cell>
          <cell r="R56">
            <v>2.3199999999999998</v>
          </cell>
          <cell r="S56">
            <v>2.3199999999999998</v>
          </cell>
          <cell r="T56">
            <v>1.93</v>
          </cell>
          <cell r="U56">
            <v>2.02</v>
          </cell>
          <cell r="V56">
            <v>1.81</v>
          </cell>
          <cell r="W56">
            <v>1.92</v>
          </cell>
          <cell r="X56">
            <v>1.76</v>
          </cell>
          <cell r="Y56">
            <v>1.43</v>
          </cell>
          <cell r="Z56">
            <v>1.35</v>
          </cell>
          <cell r="AA56">
            <v>1.61</v>
          </cell>
          <cell r="AB56">
            <v>1.65</v>
          </cell>
          <cell r="AC56">
            <v>1.56</v>
          </cell>
          <cell r="AD56">
            <v>1.36</v>
          </cell>
          <cell r="AE56">
            <v>1.38</v>
          </cell>
          <cell r="AF56">
            <v>1.49</v>
          </cell>
          <cell r="AG56">
            <v>1.6</v>
          </cell>
          <cell r="AH56">
            <v>1.65</v>
          </cell>
          <cell r="AI56">
            <v>1.43</v>
          </cell>
          <cell r="AJ56">
            <v>1.29</v>
          </cell>
          <cell r="AK56">
            <v>1.49</v>
          </cell>
          <cell r="AL56">
            <v>1.56</v>
          </cell>
          <cell r="AM56">
            <v>1.72</v>
          </cell>
          <cell r="AN56">
            <v>2.12</v>
          </cell>
          <cell r="AO56">
            <v>2.15</v>
          </cell>
          <cell r="AP56">
            <v>1.8</v>
          </cell>
          <cell r="AQ56">
            <v>1.96</v>
          </cell>
          <cell r="AR56">
            <v>2.25</v>
          </cell>
          <cell r="AS56">
            <v>2.12</v>
          </cell>
          <cell r="AT56">
            <v>2.27</v>
          </cell>
          <cell r="AU56">
            <v>2.54</v>
          </cell>
          <cell r="AV56">
            <v>2.2200000000000002</v>
          </cell>
          <cell r="AW56">
            <v>1.7</v>
          </cell>
          <cell r="AX56">
            <v>1.73</v>
          </cell>
          <cell r="AY56">
            <v>2.57</v>
          </cell>
          <cell r="AZ56">
            <v>3.67</v>
          </cell>
          <cell r="BA56">
            <v>3.81</v>
          </cell>
          <cell r="BB56">
            <v>2.77</v>
          </cell>
          <cell r="BC56">
            <v>1.62</v>
          </cell>
          <cell r="BD56">
            <v>1.74</v>
          </cell>
          <cell r="BE56">
            <v>2.02</v>
          </cell>
          <cell r="BF56">
            <v>2.2000000000000002</v>
          </cell>
          <cell r="BG56">
            <v>2.06</v>
          </cell>
          <cell r="BH56">
            <v>2.1</v>
          </cell>
          <cell r="BI56">
            <v>2.4500000000000002</v>
          </cell>
          <cell r="BJ56">
            <v>2.97</v>
          </cell>
          <cell r="BK56">
            <v>3.17</v>
          </cell>
          <cell r="BL56">
            <v>2.4</v>
          </cell>
          <cell r="BM56">
            <v>2.17</v>
          </cell>
          <cell r="BN56">
            <v>1.91</v>
          </cell>
          <cell r="BO56">
            <v>2.16</v>
          </cell>
          <cell r="BP56">
            <v>2.23</v>
          </cell>
          <cell r="BQ56">
            <v>2.2000000000000002</v>
          </cell>
          <cell r="BR56">
            <v>1.95</v>
          </cell>
          <cell r="BS56">
            <v>2.29</v>
          </cell>
          <cell r="BT56">
            <v>1.85</v>
          </cell>
          <cell r="BU56">
            <v>1.53</v>
          </cell>
          <cell r="BV56">
            <v>1.96</v>
          </cell>
          <cell r="BW56">
            <v>1.91</v>
          </cell>
          <cell r="BX56">
            <v>2.04</v>
          </cell>
          <cell r="BY56">
            <v>1.71</v>
          </cell>
          <cell r="BZ56">
            <v>1.75</v>
          </cell>
          <cell r="CA56">
            <v>1.58</v>
          </cell>
          <cell r="CB56">
            <v>1.81</v>
          </cell>
          <cell r="CC56">
            <v>2.29</v>
          </cell>
          <cell r="CD56">
            <v>2.16</v>
          </cell>
          <cell r="CE56">
            <v>2.21</v>
          </cell>
          <cell r="CF56">
            <v>2.56</v>
          </cell>
          <cell r="CG56">
            <v>2.83</v>
          </cell>
        </row>
        <row r="57">
          <cell r="A57" t="str">
            <v>TRAN-Z2</v>
          </cell>
          <cell r="B57">
            <v>54</v>
          </cell>
          <cell r="C57">
            <v>2.36</v>
          </cell>
          <cell r="D57">
            <v>2.2799999999999998</v>
          </cell>
          <cell r="E57">
            <v>1.88</v>
          </cell>
          <cell r="F57">
            <v>1.6</v>
          </cell>
          <cell r="G57">
            <v>1.86</v>
          </cell>
          <cell r="H57">
            <v>2.16</v>
          </cell>
          <cell r="I57">
            <v>2.69</v>
          </cell>
          <cell r="J57">
            <v>2.11</v>
          </cell>
          <cell r="K57">
            <v>1.93</v>
          </cell>
          <cell r="L57">
            <v>2.0499999999999998</v>
          </cell>
          <cell r="M57">
            <v>2.36</v>
          </cell>
          <cell r="N57">
            <v>2.06</v>
          </cell>
          <cell r="O57">
            <v>2.11</v>
          </cell>
          <cell r="P57">
            <v>2.37</v>
          </cell>
          <cell r="Q57">
            <v>2.0299999999999998</v>
          </cell>
          <cell r="R57">
            <v>2.36</v>
          </cell>
          <cell r="S57">
            <v>2.36</v>
          </cell>
          <cell r="T57">
            <v>1.97</v>
          </cell>
          <cell r="U57">
            <v>2.04</v>
          </cell>
          <cell r="V57">
            <v>1.83</v>
          </cell>
          <cell r="W57">
            <v>1.93</v>
          </cell>
          <cell r="X57">
            <v>1.8</v>
          </cell>
          <cell r="Y57">
            <v>1.47</v>
          </cell>
          <cell r="Z57">
            <v>1.39</v>
          </cell>
          <cell r="AA57">
            <v>1.66</v>
          </cell>
          <cell r="AB57">
            <v>1.66</v>
          </cell>
          <cell r="AC57">
            <v>1.59</v>
          </cell>
          <cell r="AD57">
            <v>1.4</v>
          </cell>
          <cell r="AE57">
            <v>1.42</v>
          </cell>
          <cell r="AF57">
            <v>1.53</v>
          </cell>
          <cell r="AG57">
            <v>1.64</v>
          </cell>
          <cell r="AH57">
            <v>1.7</v>
          </cell>
          <cell r="AI57">
            <v>1.48</v>
          </cell>
          <cell r="AJ57">
            <v>1.33</v>
          </cell>
          <cell r="AK57">
            <v>1.55</v>
          </cell>
          <cell r="AL57">
            <v>1.61</v>
          </cell>
          <cell r="AM57">
            <v>1.77</v>
          </cell>
          <cell r="AN57">
            <v>2.23</v>
          </cell>
          <cell r="AO57">
            <v>3.29</v>
          </cell>
          <cell r="AP57">
            <v>2.2999999999999998</v>
          </cell>
          <cell r="AQ57">
            <v>2.7</v>
          </cell>
          <cell r="AR57">
            <v>2.58</v>
          </cell>
          <cell r="AS57">
            <v>2.16</v>
          </cell>
          <cell r="AT57">
            <v>2.31</v>
          </cell>
          <cell r="AU57">
            <v>2.6</v>
          </cell>
          <cell r="AV57">
            <v>2.27</v>
          </cell>
          <cell r="AW57">
            <v>1.77</v>
          </cell>
          <cell r="AX57">
            <v>1.8</v>
          </cell>
          <cell r="AY57">
            <v>2.64</v>
          </cell>
          <cell r="AZ57">
            <v>3.77</v>
          </cell>
          <cell r="BA57">
            <v>3.9</v>
          </cell>
          <cell r="BB57">
            <v>2.87</v>
          </cell>
          <cell r="BC57">
            <v>1.71</v>
          </cell>
          <cell r="BD57">
            <v>1.77</v>
          </cell>
          <cell r="BE57">
            <v>2.09</v>
          </cell>
          <cell r="BF57">
            <v>2.25</v>
          </cell>
          <cell r="BG57">
            <v>2.1</v>
          </cell>
          <cell r="BH57">
            <v>2.13</v>
          </cell>
          <cell r="BI57">
            <v>2.48</v>
          </cell>
          <cell r="BJ57">
            <v>3.02</v>
          </cell>
          <cell r="BK57">
            <v>3.21</v>
          </cell>
          <cell r="BL57">
            <v>2.4900000000000002</v>
          </cell>
          <cell r="BM57">
            <v>2.2200000000000002</v>
          </cell>
          <cell r="BN57">
            <v>1.97</v>
          </cell>
          <cell r="BO57">
            <v>2.2200000000000002</v>
          </cell>
          <cell r="BP57">
            <v>2.2799999999999998</v>
          </cell>
          <cell r="BQ57">
            <v>2.25</v>
          </cell>
          <cell r="BR57">
            <v>2</v>
          </cell>
          <cell r="BS57">
            <v>2.33</v>
          </cell>
          <cell r="BT57">
            <v>1.89</v>
          </cell>
          <cell r="BU57">
            <v>1.6</v>
          </cell>
          <cell r="BV57">
            <v>2.04</v>
          </cell>
          <cell r="BW57">
            <v>1.95</v>
          </cell>
          <cell r="BX57">
            <v>2.08</v>
          </cell>
          <cell r="BY57">
            <v>1.74</v>
          </cell>
          <cell r="BZ57">
            <v>1.78</v>
          </cell>
          <cell r="CA57">
            <v>1.61</v>
          </cell>
          <cell r="CB57">
            <v>1.84</v>
          </cell>
          <cell r="CC57">
            <v>2.3199999999999998</v>
          </cell>
          <cell r="CD57">
            <v>2.19</v>
          </cell>
          <cell r="CE57">
            <v>2.2400000000000002</v>
          </cell>
          <cell r="CF57">
            <v>2.58</v>
          </cell>
          <cell r="CG57">
            <v>2.86</v>
          </cell>
        </row>
        <row r="58">
          <cell r="A58" t="str">
            <v>TRAN-Z3</v>
          </cell>
          <cell r="B58">
            <v>55</v>
          </cell>
          <cell r="C58">
            <v>2.38</v>
          </cell>
          <cell r="D58">
            <v>2.29</v>
          </cell>
          <cell r="E58">
            <v>1.9</v>
          </cell>
          <cell r="F58">
            <v>1.62</v>
          </cell>
          <cell r="G58">
            <v>1.86</v>
          </cell>
          <cell r="H58">
            <v>2.19</v>
          </cell>
          <cell r="I58">
            <v>2.7</v>
          </cell>
          <cell r="J58">
            <v>2.16</v>
          </cell>
          <cell r="K58">
            <v>1.95</v>
          </cell>
          <cell r="L58">
            <v>2.0699999999999998</v>
          </cell>
          <cell r="M58">
            <v>2.37</v>
          </cell>
          <cell r="N58">
            <v>2.08</v>
          </cell>
          <cell r="O58">
            <v>2.15</v>
          </cell>
          <cell r="P58">
            <v>2.38</v>
          </cell>
          <cell r="Q58">
            <v>2.0499999999999998</v>
          </cell>
          <cell r="R58">
            <v>2.38</v>
          </cell>
          <cell r="S58">
            <v>2.38</v>
          </cell>
          <cell r="T58">
            <v>2</v>
          </cell>
          <cell r="U58">
            <v>2.06</v>
          </cell>
          <cell r="V58">
            <v>1.86</v>
          </cell>
          <cell r="W58">
            <v>1.96</v>
          </cell>
          <cell r="X58">
            <v>1.82</v>
          </cell>
          <cell r="Y58">
            <v>1.48</v>
          </cell>
          <cell r="Z58">
            <v>1.42</v>
          </cell>
          <cell r="AA58">
            <v>1.7</v>
          </cell>
          <cell r="AB58">
            <v>1.69</v>
          </cell>
          <cell r="AC58">
            <v>1.62</v>
          </cell>
          <cell r="AD58">
            <v>1.43</v>
          </cell>
          <cell r="AE58">
            <v>1.46</v>
          </cell>
          <cell r="AF58">
            <v>1.56</v>
          </cell>
          <cell r="AG58">
            <v>1.67</v>
          </cell>
          <cell r="AH58">
            <v>1.73</v>
          </cell>
          <cell r="AI58">
            <v>1.5</v>
          </cell>
          <cell r="AJ58">
            <v>1.36</v>
          </cell>
          <cell r="AK58">
            <v>1.59</v>
          </cell>
          <cell r="AL58">
            <v>1.64</v>
          </cell>
          <cell r="AM58">
            <v>1.8</v>
          </cell>
          <cell r="AN58">
            <v>2.27</v>
          </cell>
          <cell r="AO58">
            <v>3.38</v>
          </cell>
          <cell r="AP58">
            <v>2.36</v>
          </cell>
          <cell r="AQ58">
            <v>2.81</v>
          </cell>
          <cell r="AR58">
            <v>2.69</v>
          </cell>
          <cell r="AS58">
            <v>2.2000000000000002</v>
          </cell>
          <cell r="AT58">
            <v>2.37</v>
          </cell>
          <cell r="AU58">
            <v>2.65</v>
          </cell>
          <cell r="AV58">
            <v>2.2999999999999998</v>
          </cell>
          <cell r="AW58">
            <v>1.81</v>
          </cell>
          <cell r="AX58">
            <v>1.85</v>
          </cell>
          <cell r="AY58">
            <v>2.69</v>
          </cell>
          <cell r="AZ58">
            <v>3.82</v>
          </cell>
          <cell r="BA58">
            <v>3.98</v>
          </cell>
          <cell r="BB58">
            <v>2.9</v>
          </cell>
          <cell r="BC58">
            <v>1.77</v>
          </cell>
          <cell r="BD58">
            <v>1.81</v>
          </cell>
          <cell r="BE58">
            <v>2.15</v>
          </cell>
          <cell r="BF58">
            <v>2.2999999999999998</v>
          </cell>
          <cell r="BG58">
            <v>2.15</v>
          </cell>
          <cell r="BH58">
            <v>2.17</v>
          </cell>
          <cell r="BI58">
            <v>2.5299999999999998</v>
          </cell>
          <cell r="BJ58">
            <v>3.1</v>
          </cell>
          <cell r="BK58">
            <v>3.27</v>
          </cell>
          <cell r="BL58">
            <v>2.54</v>
          </cell>
          <cell r="BM58">
            <v>2.2799999999999998</v>
          </cell>
          <cell r="BN58">
            <v>2.0299999999999998</v>
          </cell>
          <cell r="BO58">
            <v>2.27</v>
          </cell>
          <cell r="BP58">
            <v>2.3199999999999998</v>
          </cell>
          <cell r="BQ58">
            <v>2.29</v>
          </cell>
          <cell r="BR58">
            <v>2.0299999999999998</v>
          </cell>
          <cell r="BS58">
            <v>2.37</v>
          </cell>
          <cell r="BT58">
            <v>1.93</v>
          </cell>
          <cell r="BU58">
            <v>1.63</v>
          </cell>
          <cell r="BV58">
            <v>2.08</v>
          </cell>
          <cell r="BW58">
            <v>2.0099999999999998</v>
          </cell>
          <cell r="BX58">
            <v>2.11</v>
          </cell>
          <cell r="BY58">
            <v>1.78</v>
          </cell>
          <cell r="BZ58">
            <v>1.81</v>
          </cell>
          <cell r="CA58">
            <v>1.63</v>
          </cell>
          <cell r="CB58">
            <v>1.88</v>
          </cell>
          <cell r="CC58">
            <v>2.36</v>
          </cell>
          <cell r="CD58">
            <v>2.23</v>
          </cell>
          <cell r="CE58">
            <v>2.2599999999999998</v>
          </cell>
          <cell r="CF58">
            <v>2.61</v>
          </cell>
          <cell r="CG58">
            <v>2.89</v>
          </cell>
        </row>
        <row r="59">
          <cell r="A59" t="str">
            <v>TRAN-Z4</v>
          </cell>
          <cell r="B59">
            <v>56</v>
          </cell>
          <cell r="C59">
            <v>2.44</v>
          </cell>
          <cell r="D59">
            <v>2.3199999999999998</v>
          </cell>
          <cell r="E59">
            <v>1.91</v>
          </cell>
          <cell r="F59">
            <v>1.66</v>
          </cell>
          <cell r="G59">
            <v>1.92</v>
          </cell>
          <cell r="H59">
            <v>2.23</v>
          </cell>
          <cell r="I59">
            <v>2.72</v>
          </cell>
          <cell r="J59">
            <v>2.1</v>
          </cell>
          <cell r="K59">
            <v>1.94</v>
          </cell>
          <cell r="L59">
            <v>2.11</v>
          </cell>
          <cell r="M59">
            <v>2.39</v>
          </cell>
          <cell r="N59">
            <v>2.09</v>
          </cell>
          <cell r="O59">
            <v>2.17</v>
          </cell>
          <cell r="P59">
            <v>2.42</v>
          </cell>
          <cell r="Q59">
            <v>2.0699999999999998</v>
          </cell>
          <cell r="R59">
            <v>2.41</v>
          </cell>
          <cell r="S59">
            <v>2.4</v>
          </cell>
          <cell r="T59">
            <v>2</v>
          </cell>
          <cell r="U59">
            <v>2.08</v>
          </cell>
          <cell r="V59">
            <v>1.85</v>
          </cell>
          <cell r="W59">
            <v>1.98</v>
          </cell>
          <cell r="X59">
            <v>1.82</v>
          </cell>
          <cell r="Y59">
            <v>1.49</v>
          </cell>
          <cell r="Z59">
            <v>1.44</v>
          </cell>
          <cell r="AA59">
            <v>1.71</v>
          </cell>
          <cell r="AB59">
            <v>1.69</v>
          </cell>
          <cell r="AC59">
            <v>1.62</v>
          </cell>
          <cell r="AD59">
            <v>1.45</v>
          </cell>
          <cell r="AE59">
            <v>1.45</v>
          </cell>
          <cell r="AF59">
            <v>1.58</v>
          </cell>
          <cell r="AG59">
            <v>1.68</v>
          </cell>
          <cell r="AH59">
            <v>1.74</v>
          </cell>
          <cell r="AI59">
            <v>1.51</v>
          </cell>
          <cell r="AJ59">
            <v>1.39</v>
          </cell>
          <cell r="AK59">
            <v>1.59</v>
          </cell>
          <cell r="AL59">
            <v>1.65</v>
          </cell>
          <cell r="AM59">
            <v>1.82</v>
          </cell>
          <cell r="AN59">
            <v>2.29</v>
          </cell>
          <cell r="AO59">
            <v>3.44</v>
          </cell>
          <cell r="AP59">
            <v>2.41</v>
          </cell>
          <cell r="AQ59">
            <v>2.82</v>
          </cell>
          <cell r="AR59">
            <v>2.74</v>
          </cell>
          <cell r="AS59">
            <v>2.2000000000000002</v>
          </cell>
          <cell r="AT59">
            <v>2.38</v>
          </cell>
          <cell r="AU59">
            <v>2.66</v>
          </cell>
          <cell r="AV59">
            <v>2.34</v>
          </cell>
          <cell r="AW59">
            <v>1.8</v>
          </cell>
          <cell r="AX59">
            <v>1.83</v>
          </cell>
          <cell r="AY59">
            <v>2.69</v>
          </cell>
          <cell r="AZ59">
            <v>3.84</v>
          </cell>
          <cell r="BA59">
            <v>3.8</v>
          </cell>
          <cell r="BB59">
            <v>2.9</v>
          </cell>
          <cell r="BC59">
            <v>1.76</v>
          </cell>
          <cell r="BD59">
            <v>1.81</v>
          </cell>
          <cell r="BE59">
            <v>2.15</v>
          </cell>
          <cell r="BF59">
            <v>2.31</v>
          </cell>
          <cell r="BG59">
            <v>2.15</v>
          </cell>
          <cell r="BH59">
            <v>2.1800000000000002</v>
          </cell>
          <cell r="BI59">
            <v>2.5</v>
          </cell>
          <cell r="BJ59">
            <v>3.01</v>
          </cell>
          <cell r="BK59">
            <v>3.27</v>
          </cell>
          <cell r="BL59">
            <v>2.58</v>
          </cell>
          <cell r="BM59">
            <v>2.34</v>
          </cell>
          <cell r="BN59">
            <v>2.08</v>
          </cell>
          <cell r="BO59">
            <v>2.2999999999999998</v>
          </cell>
          <cell r="BP59">
            <v>2.33</v>
          </cell>
          <cell r="BQ59">
            <v>2.29</v>
          </cell>
          <cell r="BR59">
            <v>2.02</v>
          </cell>
          <cell r="BS59">
            <v>2.37</v>
          </cell>
          <cell r="BT59">
            <v>1.94</v>
          </cell>
          <cell r="BU59">
            <v>1.63</v>
          </cell>
          <cell r="BV59">
            <v>2.09</v>
          </cell>
          <cell r="BW59">
            <v>2.02</v>
          </cell>
          <cell r="BX59">
            <v>2.12</v>
          </cell>
          <cell r="BY59">
            <v>1.81</v>
          </cell>
          <cell r="BZ59">
            <v>1.84</v>
          </cell>
          <cell r="CA59">
            <v>1.66</v>
          </cell>
          <cell r="CB59">
            <v>1.88</v>
          </cell>
          <cell r="CC59">
            <v>2.37</v>
          </cell>
          <cell r="CD59">
            <v>2.2400000000000002</v>
          </cell>
          <cell r="CE59">
            <v>2.27</v>
          </cell>
          <cell r="CF59">
            <v>2.62</v>
          </cell>
          <cell r="CG59">
            <v>2.9</v>
          </cell>
        </row>
        <row r="60">
          <cell r="A60" t="str">
            <v>TRAN-Z6</v>
          </cell>
          <cell r="B60">
            <v>57</v>
          </cell>
          <cell r="AU60">
            <v>2.93</v>
          </cell>
          <cell r="AV60">
            <v>2.58</v>
          </cell>
          <cell r="AW60">
            <v>2.0499999999999998</v>
          </cell>
          <cell r="AX60">
            <v>2.1</v>
          </cell>
          <cell r="AY60">
            <v>3.33</v>
          </cell>
          <cell r="AZ60">
            <v>5.14</v>
          </cell>
          <cell r="BA60">
            <v>5.25</v>
          </cell>
          <cell r="BB60">
            <v>3.65</v>
          </cell>
          <cell r="BC60">
            <v>2.15</v>
          </cell>
          <cell r="BD60">
            <v>2.15</v>
          </cell>
          <cell r="BE60">
            <v>2.42</v>
          </cell>
          <cell r="BF60">
            <v>2.59</v>
          </cell>
          <cell r="BG60">
            <v>2.4300000000000002</v>
          </cell>
          <cell r="BH60">
            <v>2.42</v>
          </cell>
          <cell r="BI60">
            <v>2.75</v>
          </cell>
          <cell r="BJ60">
            <v>3.47</v>
          </cell>
          <cell r="BK60">
            <v>3.76</v>
          </cell>
          <cell r="BL60">
            <v>3.29</v>
          </cell>
          <cell r="BM60">
            <v>2.95</v>
          </cell>
          <cell r="BN60">
            <v>2.4</v>
          </cell>
          <cell r="BO60">
            <v>2.4900000000000002</v>
          </cell>
          <cell r="BP60">
            <v>2.56</v>
          </cell>
          <cell r="BQ60">
            <v>2.5299999999999998</v>
          </cell>
          <cell r="BR60">
            <v>2.2599999999999998</v>
          </cell>
          <cell r="BS60">
            <v>2.59</v>
          </cell>
          <cell r="BT60">
            <v>2.17</v>
          </cell>
          <cell r="BU60">
            <v>1.8</v>
          </cell>
          <cell r="BV60">
            <v>2.2999999999999998</v>
          </cell>
          <cell r="BW60">
            <v>2.41</v>
          </cell>
          <cell r="BX60">
            <v>2.5</v>
          </cell>
          <cell r="BY60">
            <v>2.36</v>
          </cell>
          <cell r="BZ60">
            <v>2.31</v>
          </cell>
          <cell r="CA60">
            <v>1.96</v>
          </cell>
          <cell r="CB60">
            <v>2.15</v>
          </cell>
          <cell r="CC60">
            <v>2.56</v>
          </cell>
          <cell r="CD60">
            <v>2.42</v>
          </cell>
          <cell r="CE60">
            <v>2.5</v>
          </cell>
          <cell r="CF60">
            <v>2.9</v>
          </cell>
          <cell r="CG60">
            <v>3.14</v>
          </cell>
        </row>
        <row r="61">
          <cell r="A61" t="str">
            <v>TRUNK-FZ</v>
          </cell>
          <cell r="B61">
            <v>58</v>
          </cell>
          <cell r="C61">
            <v>2.2599999999999998</v>
          </cell>
          <cell r="D61">
            <v>2.2000000000000002</v>
          </cell>
          <cell r="E61">
            <v>1.9</v>
          </cell>
          <cell r="F61">
            <v>1.6</v>
          </cell>
          <cell r="G61">
            <v>1.85</v>
          </cell>
          <cell r="H61">
            <v>2.15</v>
          </cell>
          <cell r="I61">
            <v>2.67</v>
          </cell>
          <cell r="J61">
            <v>1.95</v>
          </cell>
          <cell r="K61">
            <v>1.92</v>
          </cell>
          <cell r="L61">
            <v>2.0299999999999998</v>
          </cell>
          <cell r="M61">
            <v>2.2999999999999998</v>
          </cell>
          <cell r="N61">
            <v>2</v>
          </cell>
          <cell r="O61">
            <v>2.08</v>
          </cell>
          <cell r="P61">
            <v>2.35</v>
          </cell>
          <cell r="Q61">
            <v>1.99</v>
          </cell>
          <cell r="R61">
            <v>2.2799999999999998</v>
          </cell>
          <cell r="S61">
            <v>2.2999999999999998</v>
          </cell>
          <cell r="T61">
            <v>1.94</v>
          </cell>
          <cell r="U61">
            <v>2.0099999999999998</v>
          </cell>
          <cell r="V61">
            <v>1.75</v>
          </cell>
          <cell r="W61">
            <v>1.87</v>
          </cell>
          <cell r="X61">
            <v>1.71</v>
          </cell>
          <cell r="Y61">
            <v>1.41</v>
          </cell>
          <cell r="Z61">
            <v>1.37</v>
          </cell>
          <cell r="AA61">
            <v>1.6</v>
          </cell>
          <cell r="AB61">
            <v>1.6</v>
          </cell>
          <cell r="AC61">
            <v>1.53</v>
          </cell>
          <cell r="AD61">
            <v>1.33</v>
          </cell>
          <cell r="AE61">
            <v>1.35</v>
          </cell>
          <cell r="AF61">
            <v>1.5</v>
          </cell>
          <cell r="AG61">
            <v>1.61</v>
          </cell>
          <cell r="AH61">
            <v>1.65</v>
          </cell>
          <cell r="AI61">
            <v>1.44</v>
          </cell>
          <cell r="AJ61">
            <v>1.3</v>
          </cell>
          <cell r="AK61">
            <v>1.5</v>
          </cell>
          <cell r="AL61">
            <v>1.59</v>
          </cell>
          <cell r="AM61">
            <v>1.73</v>
          </cell>
          <cell r="AN61">
            <v>2.2000000000000002</v>
          </cell>
          <cell r="AO61">
            <v>3.15</v>
          </cell>
          <cell r="AP61">
            <v>2.27</v>
          </cell>
          <cell r="AQ61">
            <v>2.68</v>
          </cell>
          <cell r="BB61">
            <v>2.83</v>
          </cell>
          <cell r="BD61">
            <v>1.73</v>
          </cell>
          <cell r="BE61">
            <v>2.02</v>
          </cell>
          <cell r="BF61">
            <v>2.23</v>
          </cell>
          <cell r="BG61">
            <v>2.08</v>
          </cell>
          <cell r="BH61">
            <v>2.11</v>
          </cell>
          <cell r="BI61">
            <v>2.46</v>
          </cell>
        </row>
        <row r="62">
          <cell r="A62" t="str">
            <v>TRUNK-LA</v>
          </cell>
          <cell r="B62">
            <v>59</v>
          </cell>
          <cell r="AO62">
            <v>3.2</v>
          </cell>
          <cell r="AP62">
            <v>2.3199999999999998</v>
          </cell>
          <cell r="AQ62">
            <v>2.74</v>
          </cell>
          <cell r="AR62">
            <v>2.6</v>
          </cell>
          <cell r="AS62">
            <v>2.16</v>
          </cell>
          <cell r="AT62">
            <v>2.2999999999999998</v>
          </cell>
          <cell r="AU62">
            <v>2.6</v>
          </cell>
          <cell r="AV62">
            <v>2.2599999999999998</v>
          </cell>
          <cell r="AW62">
            <v>1.76</v>
          </cell>
          <cell r="AX62">
            <v>1.77</v>
          </cell>
          <cell r="AY62">
            <v>2.63</v>
          </cell>
          <cell r="AZ62">
            <v>3.74</v>
          </cell>
          <cell r="BA62">
            <v>3.8</v>
          </cell>
          <cell r="BB62">
            <v>2.76</v>
          </cell>
          <cell r="BC62">
            <v>1.67</v>
          </cell>
          <cell r="BD62">
            <v>1.76</v>
          </cell>
          <cell r="BE62">
            <v>2.06</v>
          </cell>
          <cell r="BF62">
            <v>2.2400000000000002</v>
          </cell>
          <cell r="BG62">
            <v>2.08</v>
          </cell>
          <cell r="BH62">
            <v>2.13</v>
          </cell>
          <cell r="BI62">
            <v>2.4700000000000002</v>
          </cell>
          <cell r="BJ62">
            <v>3.07</v>
          </cell>
          <cell r="BK62">
            <v>3.18</v>
          </cell>
          <cell r="BL62">
            <v>2.44</v>
          </cell>
          <cell r="BM62">
            <v>2.16</v>
          </cell>
          <cell r="BN62">
            <v>1.93</v>
          </cell>
          <cell r="BO62">
            <v>2.1800000000000002</v>
          </cell>
          <cell r="BP62">
            <v>2.2200000000000002</v>
          </cell>
          <cell r="BQ62">
            <v>2.19</v>
          </cell>
          <cell r="BR62">
            <v>1.94</v>
          </cell>
          <cell r="BS62">
            <v>2.2799999999999998</v>
          </cell>
          <cell r="BT62">
            <v>1.84</v>
          </cell>
          <cell r="BU62">
            <v>1.53</v>
          </cell>
          <cell r="BV62">
            <v>1.94</v>
          </cell>
          <cell r="BW62">
            <v>1.91</v>
          </cell>
          <cell r="BX62">
            <v>2.0499999999999998</v>
          </cell>
          <cell r="BY62">
            <v>1.71</v>
          </cell>
          <cell r="BZ62">
            <v>1.75</v>
          </cell>
          <cell r="CA62">
            <v>1.56</v>
          </cell>
          <cell r="CB62">
            <v>1.83</v>
          </cell>
          <cell r="CC62">
            <v>2.2999999999999998</v>
          </cell>
          <cell r="CD62">
            <v>2.16</v>
          </cell>
          <cell r="CE62">
            <v>2.2200000000000002</v>
          </cell>
          <cell r="CF62">
            <v>2.56</v>
          </cell>
          <cell r="CG62">
            <v>2.85</v>
          </cell>
        </row>
        <row r="63">
          <cell r="A63" t="str">
            <v>TRUNK-TX</v>
          </cell>
          <cell r="B63">
            <v>60</v>
          </cell>
          <cell r="AO63">
            <v>2.0499999999999998</v>
          </cell>
          <cell r="AP63">
            <v>1.78</v>
          </cell>
          <cell r="AQ63">
            <v>1.92</v>
          </cell>
          <cell r="AR63">
            <v>2.23</v>
          </cell>
          <cell r="AS63">
            <v>2.11</v>
          </cell>
          <cell r="AT63">
            <v>2.2599999999999998</v>
          </cell>
          <cell r="AU63">
            <v>2.5299999999999998</v>
          </cell>
          <cell r="AV63">
            <v>2.21</v>
          </cell>
          <cell r="AW63">
            <v>1.7</v>
          </cell>
          <cell r="AX63">
            <v>1.74</v>
          </cell>
          <cell r="AY63">
            <v>2.61</v>
          </cell>
          <cell r="AZ63">
            <v>3.68</v>
          </cell>
          <cell r="BA63">
            <v>3.59</v>
          </cell>
          <cell r="BB63">
            <v>2.7</v>
          </cell>
          <cell r="BC63">
            <v>1.64</v>
          </cell>
          <cell r="BD63">
            <v>1.73</v>
          </cell>
          <cell r="BE63">
            <v>2.02</v>
          </cell>
          <cell r="BF63">
            <v>2.2200000000000002</v>
          </cell>
          <cell r="BG63">
            <v>2.0699999999999998</v>
          </cell>
          <cell r="BH63">
            <v>2.11</v>
          </cell>
          <cell r="BI63">
            <v>2.46</v>
          </cell>
          <cell r="BJ63">
            <v>3</v>
          </cell>
          <cell r="BK63">
            <v>3.16</v>
          </cell>
          <cell r="BL63">
            <v>2.35</v>
          </cell>
          <cell r="BM63">
            <v>2.15</v>
          </cell>
          <cell r="BN63">
            <v>1.92</v>
          </cell>
          <cell r="BO63">
            <v>2.17</v>
          </cell>
          <cell r="BP63">
            <v>2.2200000000000002</v>
          </cell>
          <cell r="BQ63">
            <v>2.2000000000000002</v>
          </cell>
          <cell r="BR63">
            <v>1.95</v>
          </cell>
          <cell r="BS63">
            <v>2.2799999999999998</v>
          </cell>
          <cell r="BT63">
            <v>1.83</v>
          </cell>
          <cell r="BU63">
            <v>1.54</v>
          </cell>
          <cell r="BV63">
            <v>1.94</v>
          </cell>
          <cell r="BW63">
            <v>1.89</v>
          </cell>
          <cell r="BX63">
            <v>2.0299999999999998</v>
          </cell>
          <cell r="BY63">
            <v>1.69</v>
          </cell>
          <cell r="BZ63">
            <v>1.74</v>
          </cell>
          <cell r="CA63">
            <v>1.56</v>
          </cell>
          <cell r="CB63">
            <v>1.82</v>
          </cell>
          <cell r="CC63">
            <v>2.2799999999999998</v>
          </cell>
          <cell r="CD63">
            <v>2.14</v>
          </cell>
          <cell r="CE63">
            <v>2.2000000000000002</v>
          </cell>
          <cell r="CF63">
            <v>2.5299999999999998</v>
          </cell>
          <cell r="CG63">
            <v>2.81</v>
          </cell>
        </row>
        <row r="64">
          <cell r="A64" t="str">
            <v>TW-PERM</v>
          </cell>
          <cell r="B64">
            <v>61</v>
          </cell>
          <cell r="C64">
            <v>2.11</v>
          </cell>
          <cell r="D64">
            <v>2.0299999999999998</v>
          </cell>
          <cell r="E64">
            <v>2.0299999999999998</v>
          </cell>
          <cell r="F64">
            <v>1.57</v>
          </cell>
          <cell r="G64">
            <v>1.84</v>
          </cell>
          <cell r="H64">
            <v>1.9</v>
          </cell>
          <cell r="I64">
            <v>2.21</v>
          </cell>
          <cell r="J64">
            <v>1.65</v>
          </cell>
          <cell r="K64">
            <v>1.76</v>
          </cell>
          <cell r="L64">
            <v>1.88</v>
          </cell>
          <cell r="M64">
            <v>2.0299999999999998</v>
          </cell>
          <cell r="N64">
            <v>1.73</v>
          </cell>
          <cell r="O64">
            <v>1.76</v>
          </cell>
          <cell r="P64">
            <v>2.27</v>
          </cell>
          <cell r="Q64">
            <v>1.91</v>
          </cell>
          <cell r="R64">
            <v>1.88</v>
          </cell>
          <cell r="S64">
            <v>2.0099999999999998</v>
          </cell>
          <cell r="T64">
            <v>1.73</v>
          </cell>
          <cell r="U64">
            <v>1.73</v>
          </cell>
          <cell r="V64">
            <v>1.48</v>
          </cell>
          <cell r="W64">
            <v>1.64</v>
          </cell>
          <cell r="X64">
            <v>1.56</v>
          </cell>
          <cell r="Y64">
            <v>1.38</v>
          </cell>
          <cell r="Z64">
            <v>1.21</v>
          </cell>
          <cell r="AA64">
            <v>1.47</v>
          </cell>
          <cell r="AB64">
            <v>1.63</v>
          </cell>
          <cell r="AC64">
            <v>1.44</v>
          </cell>
          <cell r="AD64">
            <v>1.1599999999999999</v>
          </cell>
          <cell r="AE64">
            <v>1.18</v>
          </cell>
          <cell r="AF64">
            <v>1.26</v>
          </cell>
          <cell r="AG64">
            <v>1.35</v>
          </cell>
          <cell r="AH64">
            <v>1.38</v>
          </cell>
          <cell r="AI64">
            <v>1.19</v>
          </cell>
          <cell r="AJ64">
            <v>1.18</v>
          </cell>
          <cell r="AK64">
            <v>1.36</v>
          </cell>
          <cell r="AL64">
            <v>1.42</v>
          </cell>
          <cell r="AM64">
            <v>1.53</v>
          </cell>
          <cell r="AN64">
            <v>1.74</v>
          </cell>
          <cell r="AO64">
            <v>1.89</v>
          </cell>
          <cell r="AP64">
            <v>1.66</v>
          </cell>
          <cell r="AQ64">
            <v>1.76</v>
          </cell>
          <cell r="AR64">
            <v>1.96</v>
          </cell>
          <cell r="AS64">
            <v>1.89</v>
          </cell>
          <cell r="AT64">
            <v>1.95</v>
          </cell>
          <cell r="AU64">
            <v>2.02</v>
          </cell>
          <cell r="AV64">
            <v>2.0099999999999998</v>
          </cell>
          <cell r="AW64">
            <v>1.55</v>
          </cell>
          <cell r="AX64">
            <v>1.62</v>
          </cell>
          <cell r="AY64">
            <v>2.44</v>
          </cell>
          <cell r="AZ64">
            <v>3.5</v>
          </cell>
          <cell r="BA64">
            <v>4.0999999999999996</v>
          </cell>
          <cell r="BB64">
            <v>2.5</v>
          </cell>
          <cell r="BC64">
            <v>1.52</v>
          </cell>
          <cell r="BD64">
            <v>1.61</v>
          </cell>
          <cell r="BE64">
            <v>1.89</v>
          </cell>
          <cell r="BF64">
            <v>2.0499999999999998</v>
          </cell>
          <cell r="BG64">
            <v>1.99</v>
          </cell>
          <cell r="BH64">
            <v>2.0499999999999998</v>
          </cell>
          <cell r="BI64">
            <v>2.35</v>
          </cell>
          <cell r="BJ64">
            <v>2.84</v>
          </cell>
          <cell r="BK64">
            <v>3.06</v>
          </cell>
          <cell r="BL64">
            <v>2.2000000000000002</v>
          </cell>
          <cell r="BM64">
            <v>2.09</v>
          </cell>
          <cell r="BN64">
            <v>1.87</v>
          </cell>
          <cell r="BO64">
            <v>2.0699999999999998</v>
          </cell>
          <cell r="BP64">
            <v>2.15</v>
          </cell>
          <cell r="BQ64">
            <v>2.12</v>
          </cell>
          <cell r="BR64">
            <v>1.89</v>
          </cell>
          <cell r="BS64">
            <v>2.17</v>
          </cell>
          <cell r="BT64">
            <v>1.94</v>
          </cell>
          <cell r="BU64">
            <v>1.59</v>
          </cell>
          <cell r="BV64">
            <v>1.83</v>
          </cell>
          <cell r="BW64">
            <v>1.99</v>
          </cell>
          <cell r="BX64">
            <v>1.99</v>
          </cell>
          <cell r="BY64">
            <v>1.74</v>
          </cell>
          <cell r="BZ64">
            <v>1.67</v>
          </cell>
          <cell r="CA64">
            <v>1.57</v>
          </cell>
          <cell r="CB64">
            <v>1.66</v>
          </cell>
          <cell r="CC64">
            <v>2.16</v>
          </cell>
          <cell r="CD64">
            <v>2.08</v>
          </cell>
          <cell r="CE64">
            <v>2.17</v>
          </cell>
          <cell r="CF64">
            <v>2.4500000000000002</v>
          </cell>
          <cell r="CG64">
            <v>2.77</v>
          </cell>
        </row>
        <row r="65">
          <cell r="A65" t="str">
            <v>TXG-Z1</v>
          </cell>
          <cell r="B65">
            <v>62</v>
          </cell>
          <cell r="C65">
            <v>2.33</v>
          </cell>
          <cell r="D65">
            <v>2.25</v>
          </cell>
          <cell r="E65">
            <v>1.92</v>
          </cell>
          <cell r="F65">
            <v>1.61</v>
          </cell>
          <cell r="G65">
            <v>1.85</v>
          </cell>
          <cell r="H65">
            <v>2.16</v>
          </cell>
          <cell r="I65">
            <v>2.65</v>
          </cell>
          <cell r="J65">
            <v>2</v>
          </cell>
          <cell r="K65">
            <v>1.89</v>
          </cell>
          <cell r="L65">
            <v>2.04</v>
          </cell>
          <cell r="M65">
            <v>2.2999999999999998</v>
          </cell>
          <cell r="N65">
            <v>1.98</v>
          </cell>
          <cell r="O65">
            <v>2.09</v>
          </cell>
          <cell r="P65">
            <v>2.2999999999999998</v>
          </cell>
          <cell r="Q65">
            <v>2.02</v>
          </cell>
          <cell r="R65">
            <v>2.2999999999999998</v>
          </cell>
          <cell r="S65">
            <v>2.33</v>
          </cell>
          <cell r="T65">
            <v>1.94</v>
          </cell>
          <cell r="U65">
            <v>2.02</v>
          </cell>
          <cell r="V65">
            <v>1.78</v>
          </cell>
          <cell r="W65">
            <v>1.91</v>
          </cell>
          <cell r="X65">
            <v>1.76</v>
          </cell>
          <cell r="Y65">
            <v>1.44</v>
          </cell>
          <cell r="Z65">
            <v>1.39</v>
          </cell>
          <cell r="AA65">
            <v>1.63</v>
          </cell>
          <cell r="AB65">
            <v>1.64</v>
          </cell>
          <cell r="AC65">
            <v>1.58</v>
          </cell>
          <cell r="AD65">
            <v>1.38</v>
          </cell>
          <cell r="AE65">
            <v>1.41</v>
          </cell>
          <cell r="AF65">
            <v>1.51</v>
          </cell>
          <cell r="AG65">
            <v>1.62</v>
          </cell>
          <cell r="AH65">
            <v>1.66</v>
          </cell>
          <cell r="AI65">
            <v>1.46</v>
          </cell>
          <cell r="AJ65">
            <v>1.33</v>
          </cell>
          <cell r="AK65">
            <v>1.53</v>
          </cell>
          <cell r="AL65">
            <v>1.62</v>
          </cell>
          <cell r="AM65">
            <v>1.76</v>
          </cell>
          <cell r="AN65">
            <v>2.25</v>
          </cell>
          <cell r="AO65">
            <v>3.32</v>
          </cell>
          <cell r="AP65">
            <v>2.35</v>
          </cell>
          <cell r="AQ65">
            <v>2.74</v>
          </cell>
          <cell r="AR65">
            <v>2.7</v>
          </cell>
          <cell r="AS65">
            <v>2.17</v>
          </cell>
          <cell r="AT65">
            <v>2.2999999999999998</v>
          </cell>
          <cell r="AU65">
            <v>2.61</v>
          </cell>
          <cell r="AV65">
            <v>2.2799999999999998</v>
          </cell>
          <cell r="AW65">
            <v>1.81</v>
          </cell>
          <cell r="AX65">
            <v>1.8</v>
          </cell>
          <cell r="AY65">
            <v>2.62</v>
          </cell>
          <cell r="AZ65">
            <v>3.81</v>
          </cell>
          <cell r="BA65">
            <v>4.01</v>
          </cell>
          <cell r="BB65">
            <v>2.88</v>
          </cell>
          <cell r="BC65">
            <v>1.76</v>
          </cell>
          <cell r="BD65">
            <v>1.78</v>
          </cell>
          <cell r="BE65">
            <v>2.08</v>
          </cell>
          <cell r="BF65">
            <v>2.2999999999999998</v>
          </cell>
          <cell r="BG65">
            <v>2.13</v>
          </cell>
          <cell r="BH65">
            <v>2.17</v>
          </cell>
          <cell r="BI65">
            <v>2.54</v>
          </cell>
          <cell r="BJ65">
            <v>3.08</v>
          </cell>
          <cell r="BK65">
            <v>3.24</v>
          </cell>
          <cell r="BL65">
            <v>2.4700000000000002</v>
          </cell>
          <cell r="BM65">
            <v>2.2400000000000002</v>
          </cell>
          <cell r="BN65">
            <v>1.99</v>
          </cell>
          <cell r="BO65">
            <v>2.2200000000000002</v>
          </cell>
          <cell r="BP65">
            <v>2.2400000000000002</v>
          </cell>
          <cell r="BQ65">
            <v>2.25</v>
          </cell>
          <cell r="BR65">
            <v>2</v>
          </cell>
          <cell r="BS65">
            <v>2.33</v>
          </cell>
          <cell r="BT65">
            <v>1.91</v>
          </cell>
          <cell r="BU65">
            <v>1.59</v>
          </cell>
          <cell r="BV65">
            <v>2.0299999999999998</v>
          </cell>
          <cell r="BW65">
            <v>1.98</v>
          </cell>
          <cell r="BX65">
            <v>2.09</v>
          </cell>
          <cell r="BY65">
            <v>1.74</v>
          </cell>
          <cell r="BZ65">
            <v>1.81</v>
          </cell>
          <cell r="CA65">
            <v>1.62</v>
          </cell>
          <cell r="CB65">
            <v>1.87</v>
          </cell>
          <cell r="CC65">
            <v>2.35</v>
          </cell>
          <cell r="CD65">
            <v>2.21</v>
          </cell>
          <cell r="CE65">
            <v>2.25</v>
          </cell>
          <cell r="CF65">
            <v>2.6</v>
          </cell>
          <cell r="CG65">
            <v>2.88</v>
          </cell>
        </row>
        <row r="66">
          <cell r="A66" t="str">
            <v>TXG-ZSL</v>
          </cell>
          <cell r="B66">
            <v>63</v>
          </cell>
          <cell r="C66">
            <v>2.3199999999999998</v>
          </cell>
          <cell r="D66">
            <v>2.2400000000000002</v>
          </cell>
          <cell r="E66">
            <v>1.9</v>
          </cell>
          <cell r="F66">
            <v>1.6</v>
          </cell>
          <cell r="G66">
            <v>1.85</v>
          </cell>
          <cell r="H66">
            <v>2.15</v>
          </cell>
          <cell r="I66">
            <v>2.65</v>
          </cell>
          <cell r="J66">
            <v>1.98</v>
          </cell>
          <cell r="K66">
            <v>1.87</v>
          </cell>
          <cell r="L66">
            <v>2.0499999999999998</v>
          </cell>
          <cell r="M66">
            <v>2.3199999999999998</v>
          </cell>
          <cell r="N66">
            <v>1.98</v>
          </cell>
          <cell r="O66">
            <v>2.09</v>
          </cell>
          <cell r="P66">
            <v>2.3199999999999998</v>
          </cell>
          <cell r="Q66">
            <v>2.0299999999999998</v>
          </cell>
          <cell r="R66">
            <v>2.3199999999999998</v>
          </cell>
          <cell r="S66">
            <v>2.3199999999999998</v>
          </cell>
          <cell r="T66">
            <v>1.93</v>
          </cell>
          <cell r="U66">
            <v>2.0299999999999998</v>
          </cell>
          <cell r="V66">
            <v>1.77</v>
          </cell>
          <cell r="W66">
            <v>1.91</v>
          </cell>
          <cell r="X66">
            <v>1.75</v>
          </cell>
          <cell r="Y66">
            <v>1.44</v>
          </cell>
          <cell r="Z66">
            <v>1.37</v>
          </cell>
          <cell r="AA66">
            <v>1.63</v>
          </cell>
          <cell r="AB66">
            <v>1.64</v>
          </cell>
          <cell r="AC66">
            <v>1.57</v>
          </cell>
          <cell r="AD66">
            <v>1.38</v>
          </cell>
          <cell r="AE66">
            <v>1.4</v>
          </cell>
          <cell r="AF66">
            <v>1.51</v>
          </cell>
          <cell r="AG66">
            <v>1.62</v>
          </cell>
          <cell r="AH66">
            <v>1.67</v>
          </cell>
          <cell r="AI66">
            <v>1.46</v>
          </cell>
          <cell r="AJ66">
            <v>1.32</v>
          </cell>
          <cell r="AK66">
            <v>1.53</v>
          </cell>
          <cell r="AL66">
            <v>1.61</v>
          </cell>
          <cell r="AM66">
            <v>1.76</v>
          </cell>
          <cell r="AN66">
            <v>2.2400000000000002</v>
          </cell>
          <cell r="AO66">
            <v>3.35</v>
          </cell>
          <cell r="AP66">
            <v>2.35</v>
          </cell>
          <cell r="AQ66">
            <v>2.8</v>
          </cell>
          <cell r="AR66">
            <v>2.72</v>
          </cell>
          <cell r="AS66">
            <v>2.19</v>
          </cell>
          <cell r="AT66">
            <v>2.3199999999999998</v>
          </cell>
          <cell r="AU66">
            <v>2.62</v>
          </cell>
          <cell r="AV66">
            <v>2.2999999999999998</v>
          </cell>
          <cell r="AW66">
            <v>1.79</v>
          </cell>
          <cell r="AX66">
            <v>1.81</v>
          </cell>
          <cell r="AY66">
            <v>2.64</v>
          </cell>
          <cell r="AZ66">
            <v>3.84</v>
          </cell>
          <cell r="BA66">
            <v>4.0199999999999996</v>
          </cell>
          <cell r="BB66">
            <v>2.88</v>
          </cell>
          <cell r="BC66">
            <v>1.77</v>
          </cell>
          <cell r="BD66">
            <v>1.79</v>
          </cell>
          <cell r="BE66">
            <v>2.1</v>
          </cell>
          <cell r="BF66">
            <v>2.31</v>
          </cell>
          <cell r="BG66">
            <v>2.13</v>
          </cell>
          <cell r="BH66">
            <v>2.16</v>
          </cell>
          <cell r="BI66">
            <v>2.5299999999999998</v>
          </cell>
          <cell r="BJ66">
            <v>3.08</v>
          </cell>
          <cell r="BK66">
            <v>3.26</v>
          </cell>
          <cell r="BL66">
            <v>2.5099999999999998</v>
          </cell>
          <cell r="BM66">
            <v>2.25</v>
          </cell>
          <cell r="BN66">
            <v>1.99</v>
          </cell>
          <cell r="BO66">
            <v>2.23</v>
          </cell>
          <cell r="BP66">
            <v>2.2200000000000002</v>
          </cell>
          <cell r="BQ66">
            <v>2.25</v>
          </cell>
          <cell r="BR66">
            <v>2</v>
          </cell>
          <cell r="BS66">
            <v>2.33</v>
          </cell>
          <cell r="BT66">
            <v>1.91</v>
          </cell>
          <cell r="BU66">
            <v>1.58</v>
          </cell>
          <cell r="BV66">
            <v>2.02</v>
          </cell>
          <cell r="BW66">
            <v>1.96</v>
          </cell>
          <cell r="BX66">
            <v>2.0699999999999998</v>
          </cell>
          <cell r="BY66">
            <v>1.74</v>
          </cell>
          <cell r="BZ66">
            <v>1.79</v>
          </cell>
          <cell r="CA66">
            <v>1.61</v>
          </cell>
          <cell r="CB66">
            <v>1.87</v>
          </cell>
          <cell r="CC66">
            <v>2.34</v>
          </cell>
          <cell r="CD66">
            <v>2.2000000000000002</v>
          </cell>
          <cell r="CE66">
            <v>2.2400000000000002</v>
          </cell>
          <cell r="CF66">
            <v>2.59</v>
          </cell>
          <cell r="CG66">
            <v>2.87</v>
          </cell>
        </row>
        <row r="67">
          <cell r="A67" t="str">
            <v>VAL-TX</v>
          </cell>
          <cell r="B67">
            <v>64</v>
          </cell>
          <cell r="C67">
            <v>2.04</v>
          </cell>
          <cell r="D67">
            <v>2.0499999999999998</v>
          </cell>
          <cell r="E67">
            <v>1.9</v>
          </cell>
          <cell r="F67">
            <v>1.56</v>
          </cell>
          <cell r="G67">
            <v>1.8</v>
          </cell>
          <cell r="H67">
            <v>2.15</v>
          </cell>
          <cell r="I67">
            <v>2.5</v>
          </cell>
          <cell r="J67">
            <v>1.81</v>
          </cell>
          <cell r="K67">
            <v>1.82</v>
          </cell>
          <cell r="L67">
            <v>2.02</v>
          </cell>
          <cell r="M67">
            <v>2.2400000000000002</v>
          </cell>
          <cell r="N67">
            <v>1.85</v>
          </cell>
          <cell r="O67">
            <v>1.95</v>
          </cell>
          <cell r="P67">
            <v>2.2999999999999998</v>
          </cell>
          <cell r="Q67">
            <v>1.91</v>
          </cell>
          <cell r="R67">
            <v>2</v>
          </cell>
          <cell r="S67">
            <v>2.09</v>
          </cell>
          <cell r="T67">
            <v>1.84</v>
          </cell>
          <cell r="U67">
            <v>1.9</v>
          </cell>
          <cell r="V67">
            <v>1.64</v>
          </cell>
          <cell r="W67">
            <v>1.85</v>
          </cell>
          <cell r="X67">
            <v>1.65</v>
          </cell>
          <cell r="Y67">
            <v>1.39</v>
          </cell>
          <cell r="Z67">
            <v>1.29</v>
          </cell>
          <cell r="AA67">
            <v>1.56</v>
          </cell>
          <cell r="AB67">
            <v>1.58</v>
          </cell>
          <cell r="AC67">
            <v>1.45</v>
          </cell>
          <cell r="AD67">
            <v>1.26</v>
          </cell>
          <cell r="AE67">
            <v>1.28</v>
          </cell>
          <cell r="AF67">
            <v>1.38</v>
          </cell>
          <cell r="AG67">
            <v>1.5</v>
          </cell>
          <cell r="AH67">
            <v>1.53</v>
          </cell>
          <cell r="AI67">
            <v>1.36</v>
          </cell>
          <cell r="AJ67">
            <v>1.26</v>
          </cell>
          <cell r="AK67">
            <v>1.43</v>
          </cell>
          <cell r="AL67">
            <v>1.5</v>
          </cell>
          <cell r="AM67">
            <v>1.61</v>
          </cell>
          <cell r="AN67">
            <v>1.97</v>
          </cell>
          <cell r="AO67">
            <v>2.04</v>
          </cell>
          <cell r="AP67">
            <v>1.77</v>
          </cell>
          <cell r="AQ67">
            <v>1.89</v>
          </cell>
          <cell r="AR67">
            <v>2.1800000000000002</v>
          </cell>
          <cell r="AS67">
            <v>2.06</v>
          </cell>
          <cell r="AT67">
            <v>2.1800000000000002</v>
          </cell>
          <cell r="AU67">
            <v>2.37</v>
          </cell>
          <cell r="AV67">
            <v>2.16</v>
          </cell>
          <cell r="AW67">
            <v>1.74</v>
          </cell>
          <cell r="AX67">
            <v>1.71</v>
          </cell>
          <cell r="AY67">
            <v>2.4900000000000002</v>
          </cell>
          <cell r="AZ67">
            <v>3.55</v>
          </cell>
          <cell r="BA67">
            <v>3.76</v>
          </cell>
          <cell r="BB67">
            <v>2.64</v>
          </cell>
          <cell r="BC67">
            <v>1.6</v>
          </cell>
          <cell r="BD67">
            <v>1.69</v>
          </cell>
          <cell r="BE67">
            <v>1.96</v>
          </cell>
          <cell r="BF67">
            <v>2.17</v>
          </cell>
          <cell r="BG67">
            <v>2.0299999999999998</v>
          </cell>
          <cell r="BH67">
            <v>2.0699999999999998</v>
          </cell>
          <cell r="BI67">
            <v>2.38</v>
          </cell>
          <cell r="BJ67">
            <v>3</v>
          </cell>
          <cell r="BK67">
            <v>3.15</v>
          </cell>
          <cell r="BL67">
            <v>2.31</v>
          </cell>
          <cell r="BM67">
            <v>2.09</v>
          </cell>
          <cell r="BN67">
            <v>1.88</v>
          </cell>
          <cell r="BO67">
            <v>2.11</v>
          </cell>
          <cell r="BP67">
            <v>2.1800000000000002</v>
          </cell>
          <cell r="BQ67">
            <v>2.17</v>
          </cell>
          <cell r="BR67">
            <v>1.93</v>
          </cell>
        </row>
        <row r="68">
          <cell r="A68" t="str">
            <v>WILL-TOK</v>
          </cell>
          <cell r="B68">
            <v>65</v>
          </cell>
          <cell r="C68">
            <v>1.98</v>
          </cell>
          <cell r="D68">
            <v>2</v>
          </cell>
          <cell r="E68">
            <v>2.0299999999999998</v>
          </cell>
          <cell r="F68">
            <v>1.65</v>
          </cell>
          <cell r="G68">
            <v>1.85</v>
          </cell>
          <cell r="H68">
            <v>2.0699999999999998</v>
          </cell>
          <cell r="I68">
            <v>2.57</v>
          </cell>
          <cell r="J68">
            <v>1.75</v>
          </cell>
          <cell r="K68">
            <v>1.73</v>
          </cell>
          <cell r="L68">
            <v>1.86</v>
          </cell>
          <cell r="M68">
            <v>2.1</v>
          </cell>
          <cell r="N68">
            <v>1.83</v>
          </cell>
          <cell r="O68">
            <v>1.83</v>
          </cell>
          <cell r="P68">
            <v>2.25</v>
          </cell>
          <cell r="Q68">
            <v>1.94</v>
          </cell>
          <cell r="R68">
            <v>2.1</v>
          </cell>
          <cell r="S68">
            <v>2.11</v>
          </cell>
          <cell r="T68">
            <v>1.76</v>
          </cell>
          <cell r="U68">
            <v>1.77</v>
          </cell>
          <cell r="V68">
            <v>1.53</v>
          </cell>
          <cell r="W68">
            <v>1.61</v>
          </cell>
          <cell r="X68">
            <v>1.55</v>
          </cell>
          <cell r="Y68">
            <v>1.33</v>
          </cell>
          <cell r="Z68">
            <v>1.24</v>
          </cell>
          <cell r="AA68">
            <v>1.45</v>
          </cell>
          <cell r="AB68">
            <v>1.6</v>
          </cell>
          <cell r="AC68">
            <v>1.51</v>
          </cell>
          <cell r="AD68">
            <v>1.23</v>
          </cell>
          <cell r="AE68">
            <v>1.24</v>
          </cell>
          <cell r="AF68">
            <v>1.27</v>
          </cell>
          <cell r="AG68">
            <v>1.4</v>
          </cell>
          <cell r="AH68">
            <v>1.44</v>
          </cell>
          <cell r="AI68">
            <v>1.23</v>
          </cell>
          <cell r="AJ68">
            <v>1.18</v>
          </cell>
          <cell r="AK68">
            <v>1.42</v>
          </cell>
          <cell r="AL68">
            <v>1.49</v>
          </cell>
          <cell r="AM68">
            <v>1.6</v>
          </cell>
          <cell r="AN68">
            <v>1.88</v>
          </cell>
          <cell r="AO68">
            <v>2.0299999999999998</v>
          </cell>
          <cell r="AP68">
            <v>1.84</v>
          </cell>
          <cell r="AQ68">
            <v>1.9</v>
          </cell>
          <cell r="AR68">
            <v>2.15</v>
          </cell>
          <cell r="AS68">
            <v>2</v>
          </cell>
          <cell r="AT68">
            <v>2.0299999999999998</v>
          </cell>
          <cell r="AU68">
            <v>2.1800000000000002</v>
          </cell>
          <cell r="AV68">
            <v>2.14</v>
          </cell>
          <cell r="AW68">
            <v>1.67</v>
          </cell>
          <cell r="AX68">
            <v>1.68</v>
          </cell>
          <cell r="AY68">
            <v>2.5</v>
          </cell>
          <cell r="AZ68">
            <v>3.68</v>
          </cell>
          <cell r="BA68">
            <v>4.3</v>
          </cell>
          <cell r="BB68">
            <v>2.81</v>
          </cell>
          <cell r="BC68">
            <v>2.81</v>
          </cell>
          <cell r="BD68">
            <v>1.7</v>
          </cell>
          <cell r="BE68">
            <v>1.92</v>
          </cell>
          <cell r="BG68">
            <v>2.04</v>
          </cell>
          <cell r="BH68">
            <v>2.0499999999999998</v>
          </cell>
          <cell r="BI68">
            <v>2.38</v>
          </cell>
          <cell r="BJ68">
            <v>2.98</v>
          </cell>
          <cell r="BK68">
            <v>3.15</v>
          </cell>
          <cell r="BL68">
            <v>2.37</v>
          </cell>
          <cell r="BM68">
            <v>2.15</v>
          </cell>
          <cell r="BN68">
            <v>1.92</v>
          </cell>
          <cell r="BO68">
            <v>2.15</v>
          </cell>
          <cell r="BP68">
            <v>2.1800000000000002</v>
          </cell>
          <cell r="BQ68">
            <v>2.16</v>
          </cell>
          <cell r="BR68">
            <v>1.93</v>
          </cell>
          <cell r="BS68">
            <v>2.27</v>
          </cell>
          <cell r="BT68">
            <v>1.85</v>
          </cell>
          <cell r="BU68">
            <v>1.56</v>
          </cell>
          <cell r="BV68">
            <v>1.9</v>
          </cell>
          <cell r="BW68">
            <v>1.94</v>
          </cell>
          <cell r="BX68">
            <v>2.0499999999999998</v>
          </cell>
          <cell r="BY68">
            <v>1.78</v>
          </cell>
          <cell r="BZ68">
            <v>1.75</v>
          </cell>
          <cell r="CA68">
            <v>1.57</v>
          </cell>
          <cell r="CB68">
            <v>1.74</v>
          </cell>
          <cell r="CC68">
            <v>2.2200000000000002</v>
          </cell>
          <cell r="CD68">
            <v>2.12</v>
          </cell>
          <cell r="CE68">
            <v>2.17</v>
          </cell>
          <cell r="CF68">
            <v>2.5</v>
          </cell>
          <cell r="CG68">
            <v>2.77</v>
          </cell>
        </row>
      </sheetData>
      <sheetData sheetId="1" refreshError="1">
        <row r="2">
          <cell r="A2">
            <v>33909</v>
          </cell>
          <cell r="B2">
            <v>3</v>
          </cell>
          <cell r="D2" t="str">
            <v>3D</v>
          </cell>
          <cell r="E2" t="str">
            <v>3D Avg</v>
          </cell>
          <cell r="F2">
            <v>2</v>
          </cell>
        </row>
        <row r="3">
          <cell r="A3">
            <v>33939</v>
          </cell>
          <cell r="B3">
            <v>4</v>
          </cell>
          <cell r="D3" t="str">
            <v>2D</v>
          </cell>
          <cell r="E3" t="str">
            <v>2D Avg</v>
          </cell>
          <cell r="F3">
            <v>3</v>
          </cell>
        </row>
        <row r="4">
          <cell r="A4">
            <v>33970</v>
          </cell>
          <cell r="B4">
            <v>5</v>
          </cell>
          <cell r="D4" t="str">
            <v>FD</v>
          </cell>
          <cell r="E4" t="str">
            <v>Settle</v>
          </cell>
          <cell r="F4">
            <v>4</v>
          </cell>
        </row>
        <row r="5">
          <cell r="A5">
            <v>34001</v>
          </cell>
          <cell r="B5">
            <v>6</v>
          </cell>
          <cell r="D5" t="str">
            <v>AECO-NT</v>
          </cell>
          <cell r="E5" t="str">
            <v>AECO Hub</v>
          </cell>
          <cell r="F5">
            <v>5</v>
          </cell>
        </row>
        <row r="6">
          <cell r="A6">
            <v>34029</v>
          </cell>
          <cell r="B6">
            <v>7</v>
          </cell>
          <cell r="D6" t="str">
            <v>ANR-LA</v>
          </cell>
          <cell r="E6" t="str">
            <v>ANR-Louisiana</v>
          </cell>
          <cell r="F6">
            <v>6</v>
          </cell>
        </row>
        <row r="7">
          <cell r="A7">
            <v>34060</v>
          </cell>
          <cell r="B7">
            <v>8</v>
          </cell>
          <cell r="D7" t="str">
            <v>ANR-OFF</v>
          </cell>
          <cell r="E7" t="str">
            <v>ANR-Offshore</v>
          </cell>
          <cell r="F7">
            <v>7</v>
          </cell>
        </row>
        <row r="8">
          <cell r="A8">
            <v>34090</v>
          </cell>
          <cell r="B8">
            <v>9</v>
          </cell>
          <cell r="D8" t="str">
            <v>ANR-OK</v>
          </cell>
          <cell r="E8" t="str">
            <v>ANR-Oklahoma</v>
          </cell>
          <cell r="F8">
            <v>8</v>
          </cell>
        </row>
        <row r="9">
          <cell r="A9">
            <v>34121</v>
          </cell>
          <cell r="B9">
            <v>10</v>
          </cell>
          <cell r="D9" t="str">
            <v>CG-APP</v>
          </cell>
          <cell r="E9" t="str">
            <v>Columbia Gas-App</v>
          </cell>
          <cell r="F9">
            <v>9</v>
          </cell>
        </row>
        <row r="10">
          <cell r="A10">
            <v>34151</v>
          </cell>
          <cell r="B10">
            <v>11</v>
          </cell>
          <cell r="D10" t="str">
            <v>CGLF-LA</v>
          </cell>
          <cell r="E10" t="str">
            <v>Columbia Gulf-Louisiana</v>
          </cell>
          <cell r="F10">
            <v>10</v>
          </cell>
        </row>
        <row r="11">
          <cell r="A11">
            <v>34182</v>
          </cell>
          <cell r="B11">
            <v>12</v>
          </cell>
          <cell r="D11" t="str">
            <v>CGLF-OFS</v>
          </cell>
          <cell r="E11" t="str">
            <v>Columbia Gulf-Offshore</v>
          </cell>
          <cell r="F11">
            <v>11</v>
          </cell>
        </row>
        <row r="12">
          <cell r="A12">
            <v>34213</v>
          </cell>
          <cell r="B12">
            <v>13</v>
          </cell>
          <cell r="D12" t="str">
            <v>CHIC</v>
          </cell>
          <cell r="E12" t="str">
            <v>Chicago City Gate</v>
          </cell>
          <cell r="F12">
            <v>12</v>
          </cell>
        </row>
        <row r="13">
          <cell r="A13">
            <v>34243</v>
          </cell>
          <cell r="B13">
            <v>14</v>
          </cell>
          <cell r="D13" t="str">
            <v>CIG-ROCK</v>
          </cell>
          <cell r="E13" t="str">
            <v>CIG-Rocky Mtn</v>
          </cell>
          <cell r="F13">
            <v>13</v>
          </cell>
        </row>
        <row r="14">
          <cell r="A14">
            <v>34274</v>
          </cell>
          <cell r="B14">
            <v>15</v>
          </cell>
          <cell r="D14" t="str">
            <v>CNG</v>
          </cell>
          <cell r="E14" t="str">
            <v>CNG-Appalacian</v>
          </cell>
          <cell r="F14">
            <v>14</v>
          </cell>
        </row>
        <row r="15">
          <cell r="A15">
            <v>34304</v>
          </cell>
          <cell r="B15">
            <v>16</v>
          </cell>
          <cell r="D15" t="str">
            <v>EPNG-ANAD</v>
          </cell>
          <cell r="E15" t="str">
            <v>El Paso-Anadarko</v>
          </cell>
          <cell r="F15">
            <v>15</v>
          </cell>
        </row>
        <row r="16">
          <cell r="A16">
            <v>34335</v>
          </cell>
          <cell r="B16">
            <v>17</v>
          </cell>
          <cell r="D16" t="str">
            <v>EPNG-PERM</v>
          </cell>
          <cell r="E16" t="str">
            <v>El Paso-Permian</v>
          </cell>
          <cell r="F16">
            <v>16</v>
          </cell>
        </row>
        <row r="17">
          <cell r="A17">
            <v>34366</v>
          </cell>
          <cell r="B17">
            <v>18</v>
          </cell>
          <cell r="D17" t="str">
            <v>EPNG-SJ</v>
          </cell>
          <cell r="E17" t="str">
            <v>El Paso-San Juan</v>
          </cell>
          <cell r="F17">
            <v>17</v>
          </cell>
        </row>
        <row r="18">
          <cell r="A18">
            <v>34394</v>
          </cell>
          <cell r="B18">
            <v>19</v>
          </cell>
          <cell r="D18" t="str">
            <v>FGT-Z1</v>
          </cell>
          <cell r="E18" t="str">
            <v>Florida-Zone 1</v>
          </cell>
          <cell r="F18">
            <v>18</v>
          </cell>
        </row>
        <row r="19">
          <cell r="A19">
            <v>34425</v>
          </cell>
          <cell r="B19">
            <v>20</v>
          </cell>
          <cell r="D19" t="str">
            <v>FGT-Z2</v>
          </cell>
          <cell r="E19" t="str">
            <v>Florida-Zone 2</v>
          </cell>
          <cell r="F19">
            <v>19</v>
          </cell>
        </row>
        <row r="20">
          <cell r="A20">
            <v>34455</v>
          </cell>
          <cell r="B20">
            <v>21</v>
          </cell>
          <cell r="D20" t="str">
            <v>FGT-Z3</v>
          </cell>
          <cell r="E20" t="str">
            <v>Florida-Zone 3</v>
          </cell>
          <cell r="F20">
            <v>20</v>
          </cell>
        </row>
        <row r="21">
          <cell r="A21">
            <v>34486</v>
          </cell>
          <cell r="B21">
            <v>22</v>
          </cell>
          <cell r="D21" t="str">
            <v>HSC</v>
          </cell>
          <cell r="E21" t="str">
            <v>Hous Ship Chan</v>
          </cell>
          <cell r="F21">
            <v>21</v>
          </cell>
        </row>
        <row r="22">
          <cell r="A22">
            <v>34516</v>
          </cell>
          <cell r="B22">
            <v>23</v>
          </cell>
          <cell r="D22" t="str">
            <v>HUB</v>
          </cell>
          <cell r="E22" t="str">
            <v>Henry Hub</v>
          </cell>
          <cell r="F22">
            <v>22</v>
          </cell>
        </row>
        <row r="23">
          <cell r="A23">
            <v>34547</v>
          </cell>
          <cell r="B23">
            <v>24</v>
          </cell>
          <cell r="D23" t="str">
            <v>KERN</v>
          </cell>
          <cell r="E23" t="str">
            <v>Kern River</v>
          </cell>
          <cell r="F23">
            <v>23</v>
          </cell>
        </row>
        <row r="24">
          <cell r="A24">
            <v>34578</v>
          </cell>
          <cell r="B24">
            <v>25</v>
          </cell>
          <cell r="D24" t="str">
            <v>KERN-NGI</v>
          </cell>
          <cell r="E24" t="str">
            <v>Kern River-NGI</v>
          </cell>
          <cell r="F24">
            <v>24</v>
          </cell>
        </row>
        <row r="25">
          <cell r="A25">
            <v>34608</v>
          </cell>
          <cell r="B25">
            <v>26</v>
          </cell>
          <cell r="D25" t="str">
            <v>KOCH-LA</v>
          </cell>
          <cell r="E25" t="str">
            <v>Koch Gateway-LA</v>
          </cell>
          <cell r="F25">
            <v>25</v>
          </cell>
        </row>
        <row r="26">
          <cell r="A26">
            <v>34639</v>
          </cell>
          <cell r="B26">
            <v>27</v>
          </cell>
          <cell r="D26" t="str">
            <v>KOCH-TX</v>
          </cell>
          <cell r="E26" t="str">
            <v>Koch Gateway-TX</v>
          </cell>
          <cell r="F26">
            <v>26</v>
          </cell>
        </row>
        <row r="27">
          <cell r="A27">
            <v>34669</v>
          </cell>
          <cell r="B27">
            <v>28</v>
          </cell>
          <cell r="D27" t="str">
            <v>MALIN-400</v>
          </cell>
          <cell r="E27" t="str">
            <v>Malin-400 Border</v>
          </cell>
          <cell r="F27">
            <v>27</v>
          </cell>
        </row>
        <row r="28">
          <cell r="A28">
            <v>34700</v>
          </cell>
          <cell r="B28">
            <v>29</v>
          </cell>
          <cell r="D28" t="str">
            <v>MALIN-401</v>
          </cell>
          <cell r="E28" t="str">
            <v>Malin-401 Border</v>
          </cell>
          <cell r="F28">
            <v>28</v>
          </cell>
        </row>
        <row r="29">
          <cell r="A29">
            <v>34731</v>
          </cell>
          <cell r="B29">
            <v>30</v>
          </cell>
          <cell r="D29" t="str">
            <v>MICH</v>
          </cell>
          <cell r="E29" t="str">
            <v>MichCon</v>
          </cell>
          <cell r="F29">
            <v>29</v>
          </cell>
        </row>
        <row r="30">
          <cell r="A30">
            <v>34759</v>
          </cell>
          <cell r="B30">
            <v>31</v>
          </cell>
          <cell r="D30" t="str">
            <v>MRC</v>
          </cell>
          <cell r="E30" t="str">
            <v>Miss River Corr</v>
          </cell>
          <cell r="F30">
            <v>30</v>
          </cell>
        </row>
        <row r="31">
          <cell r="A31">
            <v>34790</v>
          </cell>
          <cell r="B31">
            <v>32</v>
          </cell>
          <cell r="D31" t="str">
            <v>NGPL-LA</v>
          </cell>
          <cell r="E31" t="str">
            <v>NGPL-Louisiana</v>
          </cell>
          <cell r="F31">
            <v>31</v>
          </cell>
        </row>
        <row r="32">
          <cell r="A32">
            <v>34820</v>
          </cell>
          <cell r="B32">
            <v>33</v>
          </cell>
          <cell r="D32" t="str">
            <v>NGPL-MC</v>
          </cell>
          <cell r="E32" t="str">
            <v>NGPL-MidContinent</v>
          </cell>
          <cell r="F32">
            <v>32</v>
          </cell>
        </row>
        <row r="33">
          <cell r="A33">
            <v>34851</v>
          </cell>
          <cell r="B33">
            <v>34</v>
          </cell>
          <cell r="D33" t="str">
            <v>NGPL-OK</v>
          </cell>
          <cell r="E33" t="str">
            <v>NGPL-Oklahoma</v>
          </cell>
          <cell r="F33">
            <v>33</v>
          </cell>
        </row>
        <row r="34">
          <cell r="A34">
            <v>34881</v>
          </cell>
          <cell r="B34">
            <v>35</v>
          </cell>
          <cell r="D34" t="str">
            <v>NGPL-STX</v>
          </cell>
          <cell r="E34" t="str">
            <v>NGPL-Texas</v>
          </cell>
          <cell r="F34">
            <v>34</v>
          </cell>
        </row>
        <row r="35">
          <cell r="A35">
            <v>34912</v>
          </cell>
          <cell r="B35">
            <v>36</v>
          </cell>
          <cell r="D35" t="str">
            <v>NNG-DEMARC</v>
          </cell>
          <cell r="E35" t="str">
            <v>Northern-Demarc</v>
          </cell>
          <cell r="F35">
            <v>35</v>
          </cell>
        </row>
        <row r="36">
          <cell r="A36">
            <v>34943</v>
          </cell>
          <cell r="B36">
            <v>37</v>
          </cell>
          <cell r="D36" t="str">
            <v>NNG-TOK</v>
          </cell>
          <cell r="E36" t="str">
            <v>Northern-TOK</v>
          </cell>
          <cell r="F36">
            <v>36</v>
          </cell>
        </row>
        <row r="37">
          <cell r="A37">
            <v>34973</v>
          </cell>
          <cell r="B37">
            <v>38</v>
          </cell>
          <cell r="D37" t="str">
            <v>NNG-VENT</v>
          </cell>
          <cell r="E37" t="str">
            <v>Northern-Ventura</v>
          </cell>
          <cell r="F37">
            <v>37</v>
          </cell>
        </row>
        <row r="38">
          <cell r="A38">
            <v>35004</v>
          </cell>
          <cell r="B38">
            <v>39</v>
          </cell>
          <cell r="D38" t="str">
            <v>NOR-AM</v>
          </cell>
          <cell r="E38" t="str">
            <v>Noram</v>
          </cell>
          <cell r="F38">
            <v>38</v>
          </cell>
        </row>
        <row r="39">
          <cell r="A39">
            <v>35034</v>
          </cell>
          <cell r="B39">
            <v>40</v>
          </cell>
          <cell r="D39" t="str">
            <v>NOR-EAST</v>
          </cell>
          <cell r="E39" t="str">
            <v>Noram East</v>
          </cell>
          <cell r="F39">
            <v>39</v>
          </cell>
        </row>
        <row r="40">
          <cell r="A40">
            <v>35065</v>
          </cell>
          <cell r="B40">
            <v>41</v>
          </cell>
          <cell r="D40" t="str">
            <v>NOR-WEST</v>
          </cell>
          <cell r="E40" t="str">
            <v>Noram West</v>
          </cell>
          <cell r="F40">
            <v>40</v>
          </cell>
        </row>
        <row r="41">
          <cell r="A41">
            <v>35096</v>
          </cell>
          <cell r="B41">
            <v>42</v>
          </cell>
          <cell r="D41" t="str">
            <v>NWPL-CAN</v>
          </cell>
          <cell r="E41" t="str">
            <v>Northwest-Canada</v>
          </cell>
          <cell r="F41">
            <v>41</v>
          </cell>
        </row>
        <row r="42">
          <cell r="A42">
            <v>35125</v>
          </cell>
          <cell r="B42">
            <v>43</v>
          </cell>
          <cell r="D42" t="str">
            <v>NWPL-ROCK</v>
          </cell>
          <cell r="E42" t="str">
            <v>Northwest-Rock Mtn</v>
          </cell>
          <cell r="F42">
            <v>42</v>
          </cell>
        </row>
        <row r="43">
          <cell r="A43">
            <v>35156</v>
          </cell>
          <cell r="B43">
            <v>44</v>
          </cell>
          <cell r="D43" t="str">
            <v>ONG-OKL</v>
          </cell>
          <cell r="E43" t="str">
            <v>ONG-Oklahoma</v>
          </cell>
          <cell r="F43">
            <v>43</v>
          </cell>
        </row>
        <row r="44">
          <cell r="A44">
            <v>35186</v>
          </cell>
          <cell r="B44">
            <v>45</v>
          </cell>
          <cell r="D44" t="str">
            <v>PEPL-FZ</v>
          </cell>
          <cell r="E44" t="str">
            <v>Panhandle-Field Zone</v>
          </cell>
          <cell r="F44">
            <v>44</v>
          </cell>
        </row>
        <row r="45">
          <cell r="A45">
            <v>35217</v>
          </cell>
          <cell r="B45">
            <v>46</v>
          </cell>
          <cell r="D45" t="str">
            <v>QUEST</v>
          </cell>
          <cell r="E45" t="str">
            <v>Questar</v>
          </cell>
          <cell r="F45">
            <v>45</v>
          </cell>
        </row>
        <row r="46">
          <cell r="A46">
            <v>35247</v>
          </cell>
          <cell r="B46">
            <v>47</v>
          </cell>
          <cell r="D46" t="str">
            <v>NGI-Socal</v>
          </cell>
          <cell r="E46" t="str">
            <v>So Cal Border</v>
          </cell>
          <cell r="F46">
            <v>46</v>
          </cell>
        </row>
        <row r="47">
          <cell r="A47">
            <v>35278</v>
          </cell>
          <cell r="B47">
            <v>48</v>
          </cell>
          <cell r="D47" t="str">
            <v>SONAT-LA</v>
          </cell>
          <cell r="E47" t="str">
            <v>Southern-Louisiana</v>
          </cell>
          <cell r="F47">
            <v>47</v>
          </cell>
        </row>
        <row r="48">
          <cell r="A48">
            <v>35309</v>
          </cell>
          <cell r="B48">
            <v>49</v>
          </cell>
          <cell r="D48" t="str">
            <v>TANG</v>
          </cell>
          <cell r="E48" t="str">
            <v>Transamerican</v>
          </cell>
          <cell r="F48">
            <v>48</v>
          </cell>
        </row>
        <row r="49">
          <cell r="A49">
            <v>35339</v>
          </cell>
          <cell r="B49">
            <v>50</v>
          </cell>
          <cell r="D49" t="str">
            <v>TENN-Z0</v>
          </cell>
          <cell r="E49" t="str">
            <v>Tennessee-Zone 0</v>
          </cell>
          <cell r="F49">
            <v>49</v>
          </cell>
        </row>
        <row r="50">
          <cell r="A50">
            <v>35370</v>
          </cell>
          <cell r="B50">
            <v>51</v>
          </cell>
          <cell r="D50" t="str">
            <v>TENN-Z1</v>
          </cell>
          <cell r="E50" t="str">
            <v>Tennessee-Zone 1</v>
          </cell>
          <cell r="F50">
            <v>50</v>
          </cell>
        </row>
        <row r="51">
          <cell r="A51">
            <v>35400</v>
          </cell>
          <cell r="B51">
            <v>52</v>
          </cell>
          <cell r="D51" t="str">
            <v>TET-ELA</v>
          </cell>
          <cell r="E51" t="str">
            <v>Texas Eastern-ELA</v>
          </cell>
          <cell r="F51">
            <v>51</v>
          </cell>
        </row>
        <row r="52">
          <cell r="A52">
            <v>35431</v>
          </cell>
          <cell r="B52">
            <v>53</v>
          </cell>
          <cell r="D52" t="str">
            <v>TET-ETX</v>
          </cell>
          <cell r="E52" t="str">
            <v>Texas Eastern-ETX</v>
          </cell>
          <cell r="F52">
            <v>52</v>
          </cell>
        </row>
        <row r="53">
          <cell r="A53">
            <v>35462</v>
          </cell>
          <cell r="B53">
            <v>54</v>
          </cell>
          <cell r="D53" t="str">
            <v>TET-M3</v>
          </cell>
          <cell r="E53" t="str">
            <v>Texas Eastern-M3</v>
          </cell>
          <cell r="F53">
            <v>53</v>
          </cell>
        </row>
        <row r="54">
          <cell r="A54">
            <v>35490</v>
          </cell>
          <cell r="B54">
            <v>55</v>
          </cell>
          <cell r="D54" t="str">
            <v>TET-STX</v>
          </cell>
          <cell r="E54" t="str">
            <v>Texas Eastern-STX</v>
          </cell>
          <cell r="F54">
            <v>54</v>
          </cell>
        </row>
        <row r="55">
          <cell r="A55">
            <v>35521</v>
          </cell>
          <cell r="B55">
            <v>56</v>
          </cell>
          <cell r="D55" t="str">
            <v>TET-WLA</v>
          </cell>
          <cell r="E55" t="str">
            <v>Texas Eastern-WLA</v>
          </cell>
          <cell r="F55">
            <v>55</v>
          </cell>
        </row>
        <row r="56">
          <cell r="A56">
            <v>35551</v>
          </cell>
          <cell r="B56">
            <v>57</v>
          </cell>
          <cell r="D56" t="str">
            <v>TRAN-Z1</v>
          </cell>
          <cell r="E56" t="str">
            <v>Transco-Zone 1</v>
          </cell>
          <cell r="F56">
            <v>56</v>
          </cell>
        </row>
        <row r="57">
          <cell r="A57">
            <v>35582</v>
          </cell>
          <cell r="B57">
            <v>58</v>
          </cell>
          <cell r="D57" t="str">
            <v>TRAN-Z2</v>
          </cell>
          <cell r="E57" t="str">
            <v>Transco-Zone 2</v>
          </cell>
          <cell r="F57">
            <v>57</v>
          </cell>
        </row>
        <row r="58">
          <cell r="A58">
            <v>35612</v>
          </cell>
          <cell r="B58">
            <v>59</v>
          </cell>
          <cell r="D58" t="str">
            <v>TRAN-Z3</v>
          </cell>
          <cell r="E58" t="str">
            <v>Transco-Zone 3</v>
          </cell>
          <cell r="F58">
            <v>58</v>
          </cell>
        </row>
        <row r="59">
          <cell r="A59">
            <v>35643</v>
          </cell>
          <cell r="B59">
            <v>60</v>
          </cell>
          <cell r="D59" t="str">
            <v>TRAN-Z4</v>
          </cell>
          <cell r="E59" t="str">
            <v>Transco-Zone 4</v>
          </cell>
          <cell r="F59">
            <v>59</v>
          </cell>
        </row>
        <row r="60">
          <cell r="A60">
            <v>35674</v>
          </cell>
          <cell r="B60">
            <v>61</v>
          </cell>
          <cell r="D60" t="str">
            <v>TRAN-Z6</v>
          </cell>
          <cell r="E60" t="str">
            <v>Transco-Zone 6</v>
          </cell>
          <cell r="F60">
            <v>60</v>
          </cell>
        </row>
        <row r="61">
          <cell r="A61">
            <v>35704</v>
          </cell>
          <cell r="B61">
            <v>62</v>
          </cell>
          <cell r="D61" t="str">
            <v>TRUNK-FZ</v>
          </cell>
          <cell r="E61" t="str">
            <v>Trunkline-Field Zone</v>
          </cell>
          <cell r="F61">
            <v>61</v>
          </cell>
        </row>
        <row r="62">
          <cell r="A62">
            <v>35735</v>
          </cell>
          <cell r="B62">
            <v>63</v>
          </cell>
          <cell r="D62" t="str">
            <v>TRUNK-LA</v>
          </cell>
          <cell r="E62" t="str">
            <v>Trunkline-Louisiana</v>
          </cell>
          <cell r="F62">
            <v>62</v>
          </cell>
        </row>
        <row r="63">
          <cell r="A63">
            <v>35765</v>
          </cell>
          <cell r="B63">
            <v>64</v>
          </cell>
          <cell r="D63" t="str">
            <v>TRUNK-TX</v>
          </cell>
          <cell r="E63" t="str">
            <v>Trunkline-Texas</v>
          </cell>
          <cell r="F63">
            <v>63</v>
          </cell>
        </row>
        <row r="64">
          <cell r="A64">
            <v>35796</v>
          </cell>
          <cell r="B64">
            <v>65</v>
          </cell>
          <cell r="D64" t="str">
            <v>TW-PERM</v>
          </cell>
          <cell r="E64" t="str">
            <v>Transwestern-Permian</v>
          </cell>
          <cell r="F64">
            <v>64</v>
          </cell>
        </row>
        <row r="65">
          <cell r="A65">
            <v>35827</v>
          </cell>
          <cell r="B65">
            <v>66</v>
          </cell>
          <cell r="D65" t="str">
            <v>TXG-Z1</v>
          </cell>
          <cell r="E65" t="str">
            <v>Texas Gas-Zone 1</v>
          </cell>
          <cell r="F65">
            <v>65</v>
          </cell>
        </row>
        <row r="66">
          <cell r="A66">
            <v>35855</v>
          </cell>
          <cell r="B66">
            <v>67</v>
          </cell>
          <cell r="D66" t="str">
            <v>TXG-ZSL</v>
          </cell>
          <cell r="E66" t="str">
            <v>Texas Gas-Zone SL</v>
          </cell>
          <cell r="F66">
            <v>66</v>
          </cell>
        </row>
        <row r="67">
          <cell r="A67">
            <v>35886</v>
          </cell>
          <cell r="B67">
            <v>68</v>
          </cell>
          <cell r="D67" t="str">
            <v>VAL-TX</v>
          </cell>
          <cell r="E67" t="str">
            <v>Valero-TX</v>
          </cell>
          <cell r="F67">
            <v>67</v>
          </cell>
        </row>
        <row r="68">
          <cell r="A68">
            <v>35916</v>
          </cell>
          <cell r="B68">
            <v>69</v>
          </cell>
          <cell r="D68" t="str">
            <v>KRS (SOCAL)-NGI</v>
          </cell>
          <cell r="E68" t="str">
            <v>Kern River Station</v>
          </cell>
          <cell r="F68">
            <v>68</v>
          </cell>
        </row>
        <row r="69">
          <cell r="A69">
            <v>35947</v>
          </cell>
          <cell r="B69">
            <v>70</v>
          </cell>
        </row>
        <row r="70">
          <cell r="A70">
            <v>35977</v>
          </cell>
          <cell r="B70">
            <v>71</v>
          </cell>
        </row>
        <row r="71">
          <cell r="A71">
            <v>36008</v>
          </cell>
          <cell r="B71">
            <v>72</v>
          </cell>
        </row>
        <row r="72">
          <cell r="A72">
            <v>36039</v>
          </cell>
          <cell r="B72">
            <v>73</v>
          </cell>
        </row>
        <row r="73">
          <cell r="A73">
            <v>36069</v>
          </cell>
          <cell r="B73">
            <v>74</v>
          </cell>
        </row>
        <row r="74">
          <cell r="A74">
            <v>36100</v>
          </cell>
          <cell r="B74">
            <v>75</v>
          </cell>
        </row>
        <row r="75">
          <cell r="A75">
            <v>36130</v>
          </cell>
          <cell r="B75">
            <v>76</v>
          </cell>
        </row>
        <row r="76">
          <cell r="A76">
            <v>36161</v>
          </cell>
          <cell r="B76">
            <v>77</v>
          </cell>
        </row>
        <row r="77">
          <cell r="A77">
            <v>36192</v>
          </cell>
          <cell r="B77">
            <v>78</v>
          </cell>
        </row>
        <row r="78">
          <cell r="A78">
            <v>36220</v>
          </cell>
          <cell r="B78">
            <v>79</v>
          </cell>
        </row>
        <row r="79">
          <cell r="A79">
            <v>36251</v>
          </cell>
          <cell r="B79">
            <v>80</v>
          </cell>
        </row>
        <row r="80">
          <cell r="A80">
            <v>36281</v>
          </cell>
          <cell r="B80">
            <v>81</v>
          </cell>
        </row>
        <row r="81">
          <cell r="A81">
            <v>36312</v>
          </cell>
          <cell r="B81">
            <v>82</v>
          </cell>
        </row>
        <row r="82">
          <cell r="A82">
            <v>36342</v>
          </cell>
          <cell r="B82">
            <v>83</v>
          </cell>
        </row>
        <row r="83">
          <cell r="A83">
            <v>36373</v>
          </cell>
          <cell r="B83">
            <v>84</v>
          </cell>
        </row>
        <row r="84">
          <cell r="A84">
            <v>36404</v>
          </cell>
          <cell r="B84">
            <v>85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WtoGTdirectSetup_"/>
      <sheetName val="_UnregulatedCurves_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S1150"/>
  <sheetViews>
    <sheetView tabSelected="1"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B17" sqref="B17"/>
    </sheetView>
  </sheetViews>
  <sheetFormatPr defaultColWidth="7.109375" defaultRowHeight="15"/>
  <cols>
    <col min="1" max="1" width="7.5546875" style="2" bestFit="1" customWidth="1"/>
    <col min="2" max="5" width="10" style="1" customWidth="1"/>
    <col min="6" max="6" width="9.33203125" style="2" customWidth="1"/>
    <col min="7" max="7" width="13.33203125" style="1" customWidth="1"/>
    <col min="8" max="8" width="12.6640625" style="2" customWidth="1"/>
    <col min="9" max="9" width="10" style="1" customWidth="1"/>
    <col min="10" max="10" width="9.6640625" style="1" customWidth="1"/>
    <col min="11" max="11" width="13.33203125" style="1" customWidth="1"/>
    <col min="12" max="12" width="7.21875" style="1" bestFit="1" customWidth="1"/>
    <col min="13" max="13" width="13.6640625" style="1" bestFit="1" customWidth="1"/>
    <col min="14" max="14" width="6.109375" style="1" bestFit="1" customWidth="1"/>
    <col min="15" max="15" width="10.21875" style="1" customWidth="1"/>
    <col min="16" max="16" width="9.21875" style="1" customWidth="1"/>
    <col min="17" max="17" width="9.88671875" style="1" customWidth="1"/>
    <col min="18" max="18" width="9.33203125" style="1" customWidth="1"/>
    <col min="19" max="19" width="9.21875" style="1" customWidth="1"/>
    <col min="20" max="20" width="10.21875" style="1" customWidth="1"/>
    <col min="21" max="21" width="11.77734375" style="1" customWidth="1"/>
    <col min="22" max="22" width="7.109375" style="1" customWidth="1"/>
    <col min="23" max="23" width="8.77734375" style="1" customWidth="1"/>
    <col min="24" max="24" width="9.21875" style="1" customWidth="1"/>
    <col min="25" max="25" width="11.77734375" style="1" customWidth="1"/>
    <col min="26" max="26" width="7.109375" style="1" customWidth="1"/>
    <col min="27" max="27" width="9.21875" style="1" customWidth="1"/>
    <col min="28" max="28" width="9.33203125" style="1" customWidth="1"/>
    <col min="29" max="29" width="8.21875" style="1" customWidth="1"/>
    <col min="30" max="30" width="9" style="1" customWidth="1"/>
    <col min="31" max="16384" width="7.109375" style="1"/>
  </cols>
  <sheetData>
    <row r="1" spans="1:19" ht="15.75">
      <c r="A1" s="84" t="s">
        <v>64</v>
      </c>
    </row>
    <row r="2" spans="1:19" ht="15.75">
      <c r="A2" s="84" t="s">
        <v>65</v>
      </c>
    </row>
    <row r="3" spans="1:19" ht="15.75">
      <c r="A3" s="84" t="s">
        <v>66</v>
      </c>
    </row>
    <row r="4" spans="1:19" ht="15.75">
      <c r="A4" s="84" t="s">
        <v>67</v>
      </c>
    </row>
    <row r="5" spans="1:19" ht="15.75">
      <c r="A5" s="84" t="s">
        <v>69</v>
      </c>
    </row>
    <row r="6" spans="1:19" ht="15.75">
      <c r="A6" s="84" t="s">
        <v>68</v>
      </c>
    </row>
    <row r="8" spans="1:19" ht="24.75" customHeight="1">
      <c r="A8" s="31" t="s">
        <v>26</v>
      </c>
    </row>
    <row r="9" spans="1:19" ht="15" customHeight="1">
      <c r="A9" s="30" t="s">
        <v>25</v>
      </c>
    </row>
    <row r="10" spans="1:19" ht="15" customHeight="1">
      <c r="A10" s="1"/>
      <c r="G10" s="29"/>
      <c r="N10" s="28"/>
    </row>
    <row r="11" spans="1:19" ht="15" customHeight="1">
      <c r="C11" s="27" t="s">
        <v>24</v>
      </c>
      <c r="D11" s="26">
        <f>1-0.198</f>
        <v>0.80200000000000005</v>
      </c>
      <c r="E11" s="27" t="s">
        <v>23</v>
      </c>
      <c r="F11" s="26">
        <f>1+0.198</f>
        <v>1.198</v>
      </c>
    </row>
    <row r="12" spans="1:19" ht="15" customHeight="1">
      <c r="A12" s="1"/>
    </row>
    <row r="13" spans="1:19" ht="15" customHeight="1">
      <c r="D13" s="10"/>
      <c r="E13" s="10"/>
      <c r="F13" s="10"/>
      <c r="G13" s="10"/>
      <c r="I13" s="10"/>
      <c r="K13" s="25"/>
      <c r="L13" s="85" t="s">
        <v>22</v>
      </c>
      <c r="M13" s="85"/>
      <c r="N13" s="85"/>
      <c r="O13" s="85"/>
      <c r="P13" s="85"/>
      <c r="Q13" s="85"/>
      <c r="R13" s="85"/>
      <c r="S13" s="85"/>
    </row>
    <row r="14" spans="1:19" ht="15" customHeight="1">
      <c r="B14" s="10"/>
      <c r="C14" s="10"/>
      <c r="D14" s="10"/>
      <c r="E14" s="10"/>
      <c r="F14" s="10"/>
      <c r="G14" s="10"/>
      <c r="I14" s="10"/>
      <c r="K14" s="24"/>
      <c r="L14" s="85" t="s">
        <v>21</v>
      </c>
      <c r="M14" s="85"/>
      <c r="N14" s="85"/>
      <c r="O14" s="85"/>
      <c r="P14" s="85"/>
      <c r="Q14" s="85"/>
      <c r="R14" s="85"/>
      <c r="S14" s="85"/>
    </row>
    <row r="15" spans="1:19" s="18" customFormat="1" ht="112.5" customHeight="1">
      <c r="B15" s="21" t="s">
        <v>20</v>
      </c>
      <c r="C15" s="21" t="s">
        <v>19</v>
      </c>
      <c r="D15" s="21" t="s">
        <v>18</v>
      </c>
      <c r="E15" s="21" t="s">
        <v>17</v>
      </c>
      <c r="F15" s="20" t="s">
        <v>16</v>
      </c>
      <c r="G15" s="21" t="s">
        <v>15</v>
      </c>
      <c r="H15" s="20" t="s">
        <v>14</v>
      </c>
      <c r="I15" s="21" t="s">
        <v>13</v>
      </c>
      <c r="J15" s="20" t="s">
        <v>12</v>
      </c>
      <c r="K15" s="23" t="s">
        <v>11</v>
      </c>
      <c r="L15" s="19" t="s">
        <v>10</v>
      </c>
      <c r="M15" s="19" t="s">
        <v>9</v>
      </c>
      <c r="N15" s="19" t="s">
        <v>8</v>
      </c>
      <c r="O15" s="19" t="s">
        <v>7</v>
      </c>
      <c r="P15" s="19" t="s">
        <v>6</v>
      </c>
      <c r="Q15" s="19" t="s">
        <v>5</v>
      </c>
      <c r="R15" s="19" t="s">
        <v>4</v>
      </c>
      <c r="S15" s="22" t="s">
        <v>3</v>
      </c>
    </row>
    <row r="16" spans="1:19" s="18" customFormat="1" ht="15" customHeight="1">
      <c r="A16" s="20" t="s">
        <v>2</v>
      </c>
      <c r="B16" s="21" t="s">
        <v>1</v>
      </c>
      <c r="C16" s="21" t="s">
        <v>1</v>
      </c>
      <c r="D16" s="21" t="s">
        <v>1</v>
      </c>
      <c r="E16" s="21" t="s">
        <v>1</v>
      </c>
      <c r="F16" s="20" t="s">
        <v>1</v>
      </c>
      <c r="G16" s="21" t="s">
        <v>1</v>
      </c>
      <c r="H16" s="20" t="s">
        <v>1</v>
      </c>
      <c r="I16" s="21" t="s">
        <v>1</v>
      </c>
      <c r="J16" s="20" t="s">
        <v>1</v>
      </c>
      <c r="K16" s="20" t="s">
        <v>1</v>
      </c>
      <c r="L16" s="19" t="s">
        <v>0</v>
      </c>
      <c r="M16" s="19" t="s">
        <v>0</v>
      </c>
      <c r="N16" s="19" t="s">
        <v>0</v>
      </c>
      <c r="O16" s="19" t="s">
        <v>0</v>
      </c>
      <c r="P16" s="19" t="s">
        <v>0</v>
      </c>
      <c r="Q16" s="19" t="s">
        <v>0</v>
      </c>
      <c r="R16" s="19" t="s">
        <v>0</v>
      </c>
      <c r="S16" s="19" t="s">
        <v>0</v>
      </c>
    </row>
    <row r="17" spans="1:19" ht="15" customHeight="1">
      <c r="A17" s="13">
        <v>42005</v>
      </c>
      <c r="B17" s="8">
        <f>3.3366 * CHOOSE(CONTROL!$C$15, $D$11, 100%, $F$11)</f>
        <v>3.3365999999999998</v>
      </c>
      <c r="C17" s="8">
        <f>3.3474 * CHOOSE(CONTROL!$C$15, $D$11, 100%, $F$11)</f>
        <v>3.3473999999999999</v>
      </c>
      <c r="D17" s="8">
        <f>3.3493 * CHOOSE( CONTROL!$C$15, $D$11, 100%, $F$11)</f>
        <v>3.3492999999999999</v>
      </c>
      <c r="E17" s="12">
        <f>3.3475 * CHOOSE( CONTROL!$C$15, $D$11, 100%, $F$11)</f>
        <v>3.3475000000000001</v>
      </c>
      <c r="F17" s="4">
        <f>3.9925 * CHOOSE(CONTROL!$C$15, $D$11, 100%, $F$11)</f>
        <v>3.9925000000000002</v>
      </c>
      <c r="G17" s="8">
        <f>3.2669 * CHOOSE( CONTROL!$C$15, $D$11, 100%, $F$11)</f>
        <v>3.2669000000000001</v>
      </c>
      <c r="H17" s="4">
        <f>4.1376 * CHOOSE(CONTROL!$C$15, $D$11, 100%, $F$11)</f>
        <v>4.1375999999999999</v>
      </c>
      <c r="I17" s="8">
        <f>3.3042 * CHOOSE(CONTROL!$C$15, $D$11, 100%, $F$11)</f>
        <v>3.3041999999999998</v>
      </c>
      <c r="J17" s="4">
        <f>3.189 * CHOOSE(CONTROL!$C$15, $D$11, 100%, $F$11)</f>
        <v>3.1890000000000001</v>
      </c>
      <c r="K17" s="4">
        <f>3.2683 * CHOOSE(CONTROL!$C$15, $D$11, 100%, $F$11)</f>
        <v>3.2683</v>
      </c>
      <c r="L17" s="9">
        <v>28.872</v>
      </c>
      <c r="M17" s="9">
        <v>12.063700000000001</v>
      </c>
      <c r="N17" s="9">
        <v>4.9444999999999997</v>
      </c>
      <c r="O17" s="9">
        <v>0.61570000000000003</v>
      </c>
      <c r="P17" s="9">
        <v>0</v>
      </c>
      <c r="Q17" s="9"/>
      <c r="R17" s="9">
        <f t="shared" ref="R17:R44" si="0">(0.12*2500000)/1000000</f>
        <v>0.3</v>
      </c>
      <c r="S17" s="17">
        <v>1.0592999999999999</v>
      </c>
    </row>
    <row r="18" spans="1:19" ht="15" customHeight="1">
      <c r="A18" s="13">
        <v>42036</v>
      </c>
      <c r="B18" s="8">
        <f>3.0002 * CHOOSE(CONTROL!$C$15, $D$11, 100%, $F$11)</f>
        <v>3.0002</v>
      </c>
      <c r="C18" s="8">
        <f>3.0109 * CHOOSE(CONTROL!$C$15, $D$11, 100%, $F$11)</f>
        <v>3.0108999999999999</v>
      </c>
      <c r="D18" s="8">
        <f>3.0148 * CHOOSE( CONTROL!$C$15, $D$11, 100%, $F$11)</f>
        <v>3.0148000000000001</v>
      </c>
      <c r="E18" s="12">
        <f>3.0122 * CHOOSE( CONTROL!$C$15, $D$11, 100%, $F$11)</f>
        <v>3.0122</v>
      </c>
      <c r="F18" s="4">
        <f>3.6639 * CHOOSE(CONTROL!$C$15, $D$11, 100%, $F$11)</f>
        <v>3.6638999999999999</v>
      </c>
      <c r="G18" s="8">
        <f>2.94 * CHOOSE( CONTROL!$C$15, $D$11, 100%, $F$11)</f>
        <v>2.94</v>
      </c>
      <c r="H18" s="4">
        <f>3.8163 * CHOOSE(CONTROL!$C$15, $D$11, 100%, $F$11)</f>
        <v>3.8163</v>
      </c>
      <c r="I18" s="8">
        <f>2.982 * CHOOSE(CONTROL!$C$15, $D$11, 100%, $F$11)</f>
        <v>2.9820000000000002</v>
      </c>
      <c r="J18" s="4">
        <f>2.866 * CHOOSE(CONTROL!$C$15, $D$11, 100%, $F$11)</f>
        <v>2.8660000000000001</v>
      </c>
      <c r="K18" s="4">
        <f>2.9392 * CHOOSE(CONTROL!$C$15, $D$11, 100%, $F$11)</f>
        <v>2.9392</v>
      </c>
      <c r="L18" s="9">
        <v>26.0779</v>
      </c>
      <c r="M18" s="9">
        <v>10.8962</v>
      </c>
      <c r="N18" s="9">
        <v>4.4660000000000002</v>
      </c>
      <c r="O18" s="9">
        <v>0.55610000000000004</v>
      </c>
      <c r="P18" s="9">
        <v>0</v>
      </c>
      <c r="Q18" s="9"/>
      <c r="R18" s="9">
        <f t="shared" si="0"/>
        <v>0.3</v>
      </c>
      <c r="S18" s="17">
        <v>1.0592999999999999</v>
      </c>
    </row>
    <row r="19" spans="1:19" ht="15" customHeight="1">
      <c r="A19" s="13">
        <v>42064</v>
      </c>
      <c r="B19" s="8">
        <f>3.0293 * CHOOSE(CONTROL!$C$15, $D$11, 100%, $F$11)</f>
        <v>3.0293000000000001</v>
      </c>
      <c r="C19" s="8">
        <f>3.0401 * CHOOSE(CONTROL!$C$15, $D$11, 100%, $F$11)</f>
        <v>3.0400999999999998</v>
      </c>
      <c r="D19" s="8">
        <f>3.0547 * CHOOSE( CONTROL!$C$15, $D$11, 100%, $F$11)</f>
        <v>3.0547</v>
      </c>
      <c r="E19" s="12">
        <f>3.0482 * CHOOSE( CONTROL!$C$15, $D$11, 100%, $F$11)</f>
        <v>3.0482</v>
      </c>
      <c r="F19" s="4">
        <f>3.7035 * CHOOSE(CONTROL!$C$15, $D$11, 100%, $F$11)</f>
        <v>3.7035</v>
      </c>
      <c r="G19" s="8">
        <f>2.9787 * CHOOSE( CONTROL!$C$15, $D$11, 100%, $F$11)</f>
        <v>2.9786999999999999</v>
      </c>
      <c r="H19" s="4">
        <f>3.855 * CHOOSE(CONTROL!$C$15, $D$11, 100%, $F$11)</f>
        <v>3.855</v>
      </c>
      <c r="I19" s="8">
        <f>2.9903 * CHOOSE(CONTROL!$C$15, $D$11, 100%, $F$11)</f>
        <v>2.9903</v>
      </c>
      <c r="J19" s="4">
        <f>2.894 * CHOOSE(CONTROL!$C$15, $D$11, 100%, $F$11)</f>
        <v>2.8940000000000001</v>
      </c>
      <c r="K19" s="4">
        <f>2.974 * CHOOSE(CONTROL!$C$15, $D$11, 100%, $F$11)</f>
        <v>2.9740000000000002</v>
      </c>
      <c r="L19" s="9">
        <v>28.872</v>
      </c>
      <c r="M19" s="9">
        <v>12.063700000000001</v>
      </c>
      <c r="N19" s="9">
        <v>4.9444999999999997</v>
      </c>
      <c r="O19" s="9">
        <v>0.61570000000000003</v>
      </c>
      <c r="P19" s="9">
        <v>0</v>
      </c>
      <c r="Q19" s="9"/>
      <c r="R19" s="9">
        <f t="shared" si="0"/>
        <v>0.3</v>
      </c>
      <c r="S19" s="17">
        <v>1.0592999999999999</v>
      </c>
    </row>
    <row r="20" spans="1:19" ht="15" customHeight="1">
      <c r="A20" s="13">
        <v>42095</v>
      </c>
      <c r="B20" s="8">
        <f>2.7127 * CHOOSE(CONTROL!$C$15, $D$11, 100%, $F$11)</f>
        <v>2.7126999999999999</v>
      </c>
      <c r="C20" s="8">
        <f>2.7234 * CHOOSE(CONTROL!$C$15, $D$11, 100%, $F$11)</f>
        <v>2.7233999999999998</v>
      </c>
      <c r="D20" s="8">
        <f>2.7084 * CHOOSE( CONTROL!$C$15, $D$11, 100%, $F$11)</f>
        <v>2.7084000000000001</v>
      </c>
      <c r="E20" s="12">
        <f>2.7121 * CHOOSE( CONTROL!$C$15, $D$11, 100%, $F$11)</f>
        <v>2.7121</v>
      </c>
      <c r="F20" s="4">
        <f>3.3868 * CHOOSE(CONTROL!$C$15, $D$11, 100%, $F$11)</f>
        <v>3.3868</v>
      </c>
      <c r="G20" s="8">
        <f>2.6337 * CHOOSE( CONTROL!$C$15, $D$11, 100%, $F$11)</f>
        <v>2.6337000000000002</v>
      </c>
      <c r="H20" s="4">
        <f>3.5454 * CHOOSE(CONTROL!$C$15, $D$11, 100%, $F$11)</f>
        <v>3.5453999999999999</v>
      </c>
      <c r="I20" s="8">
        <f>2.6501 * CHOOSE(CONTROL!$C$15, $D$11, 100%, $F$11)</f>
        <v>2.6501000000000001</v>
      </c>
      <c r="J20" s="4">
        <f>2.59 * CHOOSE(CONTROL!$C$15, $D$11, 100%, $F$11)</f>
        <v>2.59</v>
      </c>
      <c r="K20" s="4">
        <f>2.6424 * CHOOSE(CONTROL!$C$15, $D$11, 100%, $F$11)</f>
        <v>2.6423999999999999</v>
      </c>
      <c r="L20" s="9">
        <v>30.092199999999998</v>
      </c>
      <c r="M20" s="9">
        <v>11.6745</v>
      </c>
      <c r="N20" s="9">
        <v>4.7850000000000001</v>
      </c>
      <c r="O20" s="9">
        <v>0.59589999999999999</v>
      </c>
      <c r="P20" s="9">
        <v>2.0339999999999998</v>
      </c>
      <c r="Q20" s="9"/>
      <c r="R20" s="9">
        <f t="shared" si="0"/>
        <v>0.3</v>
      </c>
      <c r="S20" s="17">
        <v>1.0592999999999999</v>
      </c>
    </row>
    <row r="21" spans="1:19" ht="15" customHeight="1">
      <c r="A21" s="13">
        <v>42125</v>
      </c>
      <c r="B21" s="8">
        <f>CHOOSE( CONTROL!$C$32, 2.7774, 2.7751) * CHOOSE(CONTROL!$C$15, $D$11, 100%, $F$11)</f>
        <v>2.7774000000000001</v>
      </c>
      <c r="C21" s="8">
        <f>CHOOSE( CONTROL!$C$32, 2.788, 2.7856) * CHOOSE(CONTROL!$C$15, $D$11, 100%, $F$11)</f>
        <v>2.7879999999999998</v>
      </c>
      <c r="D21" s="8">
        <f>CHOOSE( CONTROL!$C$32, 2.7791, 2.7767) * CHOOSE( CONTROL!$C$15, $D$11, 100%, $F$11)</f>
        <v>2.7791000000000001</v>
      </c>
      <c r="E21" s="12">
        <f>CHOOSE( CONTROL!$C$32, 2.7806, 2.7782) * CHOOSE( CONTROL!$C$15, $D$11, 100%, $F$11)</f>
        <v>2.7806000000000002</v>
      </c>
      <c r="F21" s="4">
        <f>CHOOSE( CONTROL!$C$32, 3.4595, 3.4571) * CHOOSE(CONTROL!$C$15, $D$11, 100%, $F$11)</f>
        <v>3.4594999999999998</v>
      </c>
      <c r="G21" s="8">
        <f>CHOOSE( CONTROL!$C$32, 2.6989, 2.6966) * CHOOSE( CONTROL!$C$15, $D$11, 100%, $F$11)</f>
        <v>2.6989000000000001</v>
      </c>
      <c r="H21" s="4">
        <f>CHOOSE( CONTROL!$C$32, 3.6165, 3.6142) * CHOOSE(CONTROL!$C$15, $D$11, 100%, $F$11)</f>
        <v>3.6164999999999998</v>
      </c>
      <c r="I21" s="8">
        <f>CHOOSE( CONTROL!$C$32, 2.7172, 2.7149) * CHOOSE(CONTROL!$C$15, $D$11, 100%, $F$11)</f>
        <v>2.7172000000000001</v>
      </c>
      <c r="J21" s="4">
        <f>CHOOSE( CONTROL!$C$32, 2.6523, 2.65) * CHOOSE(CONTROL!$C$15, $D$11, 100%, $F$11)</f>
        <v>2.6522999999999999</v>
      </c>
      <c r="K21" s="4">
        <f>CHOOSE( CONTROL!$C$32, 2.7112, 2.7089) * CHOOSE(CONTROL!$C$15, $D$11, 100%, $F$11)</f>
        <v>2.7111999999999998</v>
      </c>
      <c r="L21" s="9">
        <v>33.7545</v>
      </c>
      <c r="M21" s="9">
        <v>12.063700000000001</v>
      </c>
      <c r="N21" s="9">
        <v>4.9444999999999997</v>
      </c>
      <c r="O21" s="9">
        <v>0.61570000000000003</v>
      </c>
      <c r="P21" s="9">
        <v>1.4925999999999999</v>
      </c>
      <c r="Q21" s="9"/>
      <c r="R21" s="9">
        <f t="shared" si="0"/>
        <v>0.3</v>
      </c>
      <c r="S21" s="17">
        <v>1.0592999999999999</v>
      </c>
    </row>
    <row r="22" spans="1:19" ht="15" customHeight="1">
      <c r="A22" s="13">
        <v>42156</v>
      </c>
      <c r="B22" s="8">
        <f>CHOOSE( CONTROL!$C$32, 2.8274, 2.825) * CHOOSE(CONTROL!$C$15, $D$11, 100%, $F$11)</f>
        <v>2.8273999999999999</v>
      </c>
      <c r="C22" s="8">
        <f>CHOOSE( CONTROL!$C$32, 2.838, 2.8356) * CHOOSE(CONTROL!$C$15, $D$11, 100%, $F$11)</f>
        <v>2.8380000000000001</v>
      </c>
      <c r="D22" s="8">
        <f>CHOOSE( CONTROL!$C$32, 2.8377, 2.8353) * CHOOSE( CONTROL!$C$15, $D$11, 100%, $F$11)</f>
        <v>2.8376999999999999</v>
      </c>
      <c r="E22" s="12">
        <f>CHOOSE( CONTROL!$C$32, 2.8363, 2.8339) * CHOOSE( CONTROL!$C$15, $D$11, 100%, $F$11)</f>
        <v>2.8363</v>
      </c>
      <c r="F22" s="4">
        <f>CHOOSE( CONTROL!$C$32, 3.5408, 3.5384) * CHOOSE(CONTROL!$C$15, $D$11, 100%, $F$11)</f>
        <v>3.5407999999999999</v>
      </c>
      <c r="G22" s="8">
        <f>CHOOSE( CONTROL!$C$32, 2.7532, 2.7509) * CHOOSE( CONTROL!$C$15, $D$11, 100%, $F$11)</f>
        <v>2.7532000000000001</v>
      </c>
      <c r="H22" s="4">
        <f>CHOOSE( CONTROL!$C$32, 3.6959, 3.6936) * CHOOSE(CONTROL!$C$15, $D$11, 100%, $F$11)</f>
        <v>3.6959</v>
      </c>
      <c r="I22" s="8">
        <f>CHOOSE( CONTROL!$C$32, 2.7709, 2.7686) * CHOOSE(CONTROL!$C$15, $D$11, 100%, $F$11)</f>
        <v>2.7709000000000001</v>
      </c>
      <c r="J22" s="4">
        <f>CHOOSE( CONTROL!$C$32, 2.7003, 2.698) * CHOOSE(CONTROL!$C$15, $D$11, 100%, $F$11)</f>
        <v>2.7002999999999999</v>
      </c>
      <c r="K22" s="4">
        <f>CHOOSE( CONTROL!$C$32, 2.7493, 2.747) * CHOOSE(CONTROL!$C$15, $D$11, 100%, $F$11)</f>
        <v>2.7492999999999999</v>
      </c>
      <c r="L22" s="9">
        <v>32.665700000000001</v>
      </c>
      <c r="M22" s="9">
        <v>11.6745</v>
      </c>
      <c r="N22" s="9">
        <v>4.7850000000000001</v>
      </c>
      <c r="O22" s="9">
        <v>0.59589999999999999</v>
      </c>
      <c r="P22" s="9">
        <v>1.4443999999999999</v>
      </c>
      <c r="Q22" s="9"/>
      <c r="R22" s="9">
        <f t="shared" si="0"/>
        <v>0.3</v>
      </c>
      <c r="S22" s="16">
        <v>1.0722</v>
      </c>
    </row>
    <row r="23" spans="1:19" ht="15" customHeight="1">
      <c r="A23" s="13">
        <v>42186</v>
      </c>
      <c r="B23" s="8">
        <f>CHOOSE( CONTROL!$C$32, 2.8889, 2.8865) * CHOOSE(CONTROL!$C$15, $D$11, 100%, $F$11)</f>
        <v>2.8889</v>
      </c>
      <c r="C23" s="8">
        <f>CHOOSE( CONTROL!$C$32, 2.8995, 2.8971) * CHOOSE(CONTROL!$C$15, $D$11, 100%, $F$11)</f>
        <v>2.8995000000000002</v>
      </c>
      <c r="D23" s="8">
        <f>CHOOSE( CONTROL!$C$32, 2.8946, 2.8922) * CHOOSE( CONTROL!$C$15, $D$11, 100%, $F$11)</f>
        <v>2.8946000000000001</v>
      </c>
      <c r="E23" s="12">
        <f>CHOOSE( CONTROL!$C$32, 2.8947, 2.8923) * CHOOSE( CONTROL!$C$15, $D$11, 100%, $F$11)</f>
        <v>2.8946999999999998</v>
      </c>
      <c r="F23" s="4">
        <f>CHOOSE( CONTROL!$C$32, 3.6022, 3.5998) * CHOOSE(CONTROL!$C$15, $D$11, 100%, $F$11)</f>
        <v>3.6021999999999998</v>
      </c>
      <c r="G23" s="8">
        <f>CHOOSE( CONTROL!$C$32, 2.8083, 2.806) * CHOOSE( CONTROL!$C$15, $D$11, 100%, $F$11)</f>
        <v>2.8083</v>
      </c>
      <c r="H23" s="4">
        <f>CHOOSE( CONTROL!$C$32, 3.756, 3.7537) * CHOOSE(CONTROL!$C$15, $D$11, 100%, $F$11)</f>
        <v>3.7559999999999998</v>
      </c>
      <c r="I23" s="8">
        <f>CHOOSE( CONTROL!$C$32, 2.8317, 2.8294) * CHOOSE(CONTROL!$C$15, $D$11, 100%, $F$11)</f>
        <v>2.8317000000000001</v>
      </c>
      <c r="J23" s="4">
        <f>CHOOSE( CONTROL!$C$32, 2.7593, 2.757) * CHOOSE(CONTROL!$C$15, $D$11, 100%, $F$11)</f>
        <v>2.7593000000000001</v>
      </c>
      <c r="K23" s="4">
        <f>CHOOSE( CONTROL!$C$32, 2.8097, 2.8074) * CHOOSE(CONTROL!$C$15, $D$11, 100%, $F$11)</f>
        <v>2.8096999999999999</v>
      </c>
      <c r="L23" s="9">
        <v>33.7545</v>
      </c>
      <c r="M23" s="9">
        <v>12.063700000000001</v>
      </c>
      <c r="N23" s="9">
        <v>4.9444999999999997</v>
      </c>
      <c r="O23" s="9">
        <v>0.61570000000000003</v>
      </c>
      <c r="P23" s="9">
        <v>1.4925999999999999</v>
      </c>
      <c r="Q23" s="9"/>
      <c r="R23" s="9">
        <f t="shared" si="0"/>
        <v>0.3</v>
      </c>
      <c r="S23" s="15">
        <v>1.0738000000000001</v>
      </c>
    </row>
    <row r="24" spans="1:19" ht="15" customHeight="1">
      <c r="A24" s="13">
        <v>42217</v>
      </c>
      <c r="B24" s="8">
        <f>CHOOSE( CONTROL!$C$32, 2.9201, 2.9177) * CHOOSE(CONTROL!$C$15, $D$11, 100%, $F$11)</f>
        <v>2.9201000000000001</v>
      </c>
      <c r="C24" s="8">
        <f>CHOOSE( CONTROL!$C$32, 2.9307, 2.9283) * CHOOSE(CONTROL!$C$15, $D$11, 100%, $F$11)</f>
        <v>2.9306999999999999</v>
      </c>
      <c r="D24" s="8">
        <f>CHOOSE( CONTROL!$C$32, 2.9261, 2.9237) * CHOOSE( CONTROL!$C$15, $D$11, 100%, $F$11)</f>
        <v>2.9260999999999999</v>
      </c>
      <c r="E24" s="12">
        <f>CHOOSE( CONTROL!$C$32, 2.9261, 2.9237) * CHOOSE( CONTROL!$C$15, $D$11, 100%, $F$11)</f>
        <v>2.9260999999999999</v>
      </c>
      <c r="F24" s="4">
        <f>CHOOSE( CONTROL!$C$32, 3.6335, 3.6311) * CHOOSE(CONTROL!$C$15, $D$11, 100%, $F$11)</f>
        <v>3.6335000000000002</v>
      </c>
      <c r="G24" s="8">
        <f>CHOOSE( CONTROL!$C$32, 2.8391, 2.8368) * CHOOSE( CONTROL!$C$15, $D$11, 100%, $F$11)</f>
        <v>2.8391000000000002</v>
      </c>
      <c r="H24" s="4">
        <f>CHOOSE( CONTROL!$C$32, 3.7866, 3.7842) * CHOOSE(CONTROL!$C$15, $D$11, 100%, $F$11)</f>
        <v>3.7866</v>
      </c>
      <c r="I24" s="8">
        <f>CHOOSE( CONTROL!$C$32, 2.8626, 2.8603) * CHOOSE(CONTROL!$C$15, $D$11, 100%, $F$11)</f>
        <v>2.8626</v>
      </c>
      <c r="J24" s="4">
        <f>CHOOSE( CONTROL!$C$32, 2.7893, 2.787) * CHOOSE(CONTROL!$C$15, $D$11, 100%, $F$11)</f>
        <v>2.7892999999999999</v>
      </c>
      <c r="K24" s="4">
        <f>CHOOSE( CONTROL!$C$32, 2.8404, 2.8381) * CHOOSE(CONTROL!$C$15, $D$11, 100%, $F$11)</f>
        <v>2.8403999999999998</v>
      </c>
      <c r="L24" s="9">
        <v>33.7545</v>
      </c>
      <c r="M24" s="9">
        <v>12.063700000000001</v>
      </c>
      <c r="N24" s="9">
        <v>4.9444999999999997</v>
      </c>
      <c r="O24" s="9">
        <v>0.61570000000000003</v>
      </c>
      <c r="P24" s="9">
        <v>1.4925999999999999</v>
      </c>
      <c r="Q24" s="9"/>
      <c r="R24" s="9">
        <f t="shared" si="0"/>
        <v>0.3</v>
      </c>
      <c r="S24" s="15">
        <v>1.0738000000000001</v>
      </c>
    </row>
    <row r="25" spans="1:19" ht="15" customHeight="1">
      <c r="A25" s="13">
        <v>42248</v>
      </c>
      <c r="B25" s="8">
        <f>CHOOSE( CONTROL!$C$32, 2.9253, 2.923) * CHOOSE(CONTROL!$C$15, $D$11, 100%, $F$11)</f>
        <v>2.9253</v>
      </c>
      <c r="C25" s="8">
        <f>CHOOSE( CONTROL!$C$32, 2.9359, 2.9335) * CHOOSE(CONTROL!$C$15, $D$11, 100%, $F$11)</f>
        <v>2.9359000000000002</v>
      </c>
      <c r="D25" s="8">
        <f>CHOOSE( CONTROL!$C$32, 2.9313, 2.9289) * CHOOSE( CONTROL!$C$15, $D$11, 100%, $F$11)</f>
        <v>2.9312999999999998</v>
      </c>
      <c r="E25" s="12">
        <f>CHOOSE( CONTROL!$C$32, 2.9313, 2.929) * CHOOSE( CONTROL!$C$15, $D$11, 100%, $F$11)</f>
        <v>2.9312999999999998</v>
      </c>
      <c r="F25" s="4">
        <f>CHOOSE( CONTROL!$C$32, 3.6387, 3.6363) * CHOOSE(CONTROL!$C$15, $D$11, 100%, $F$11)</f>
        <v>3.6387</v>
      </c>
      <c r="G25" s="8">
        <f>CHOOSE( CONTROL!$C$32, 2.8443, 2.8419) * CHOOSE( CONTROL!$C$15, $D$11, 100%, $F$11)</f>
        <v>2.8443000000000001</v>
      </c>
      <c r="H25" s="4">
        <f>CHOOSE( CONTROL!$C$32, 3.7917, 3.7893) * CHOOSE(CONTROL!$C$15, $D$11, 100%, $F$11)</f>
        <v>3.7917000000000001</v>
      </c>
      <c r="I25" s="8">
        <f>CHOOSE( CONTROL!$C$32, 2.8677, 2.8654) * CHOOSE(CONTROL!$C$15, $D$11, 100%, $F$11)</f>
        <v>2.8677000000000001</v>
      </c>
      <c r="J25" s="4">
        <f>CHOOSE( CONTROL!$C$32, 2.7943, 2.792) * CHOOSE(CONTROL!$C$15, $D$11, 100%, $F$11)</f>
        <v>2.7942999999999998</v>
      </c>
      <c r="K25" s="4">
        <f>CHOOSE( CONTROL!$C$32, 2.8455, 2.8432) * CHOOSE(CONTROL!$C$15, $D$11, 100%, $F$11)</f>
        <v>2.8454999999999999</v>
      </c>
      <c r="L25" s="9">
        <v>32.665700000000001</v>
      </c>
      <c r="M25" s="9">
        <v>11.6745</v>
      </c>
      <c r="N25" s="9">
        <v>4.7850000000000001</v>
      </c>
      <c r="O25" s="9">
        <v>0.59589999999999999</v>
      </c>
      <c r="P25" s="9">
        <v>1.4443999999999999</v>
      </c>
      <c r="Q25" s="9"/>
      <c r="R25" s="9">
        <f t="shared" si="0"/>
        <v>0.3</v>
      </c>
      <c r="S25" s="15">
        <v>1.0738000000000001</v>
      </c>
    </row>
    <row r="26" spans="1:19" ht="15" customHeight="1">
      <c r="A26" s="13">
        <v>42278</v>
      </c>
      <c r="B26" s="8">
        <f>2.9533 * CHOOSE(CONTROL!$C$15, $D$11, 100%, $F$11)</f>
        <v>2.9533</v>
      </c>
      <c r="C26" s="8">
        <f>2.964 * CHOOSE(CONTROL!$C$15, $D$11, 100%, $F$11)</f>
        <v>2.964</v>
      </c>
      <c r="D26" s="8">
        <f>2.9525 * CHOOSE( CONTROL!$C$15, $D$11, 100%, $F$11)</f>
        <v>2.9525000000000001</v>
      </c>
      <c r="E26" s="12">
        <f>2.9552 * CHOOSE( CONTROL!$C$15, $D$11, 100%, $F$11)</f>
        <v>2.9552</v>
      </c>
      <c r="F26" s="4">
        <f>3.6665 * CHOOSE(CONTROL!$C$15, $D$11, 100%, $F$11)</f>
        <v>3.6665000000000001</v>
      </c>
      <c r="G26" s="8">
        <f>2.8712 * CHOOSE( CONTROL!$C$15, $D$11, 100%, $F$11)</f>
        <v>2.8712</v>
      </c>
      <c r="H26" s="4">
        <f>3.8189 * CHOOSE(CONTROL!$C$15, $D$11, 100%, $F$11)</f>
        <v>3.8189000000000002</v>
      </c>
      <c r="I26" s="8">
        <f>2.8953 * CHOOSE(CONTROL!$C$15, $D$11, 100%, $F$11)</f>
        <v>2.8953000000000002</v>
      </c>
      <c r="J26" s="4">
        <f>2.821 * CHOOSE(CONTROL!$C$15, $D$11, 100%, $F$11)</f>
        <v>2.8210000000000002</v>
      </c>
      <c r="K26" s="4">
        <f>2.8729 * CHOOSE(CONTROL!$C$15, $D$11, 100%, $F$11)</f>
        <v>2.8729</v>
      </c>
      <c r="L26" s="9">
        <v>31.095300000000002</v>
      </c>
      <c r="M26" s="9">
        <v>12.063700000000001</v>
      </c>
      <c r="N26" s="9">
        <v>4.9444999999999997</v>
      </c>
      <c r="O26" s="9">
        <v>0.61570000000000003</v>
      </c>
      <c r="P26" s="9">
        <v>2.1017999999999999</v>
      </c>
      <c r="Q26" s="9"/>
      <c r="R26" s="9">
        <f t="shared" si="0"/>
        <v>0.3</v>
      </c>
      <c r="S26" s="15">
        <v>1.0738000000000001</v>
      </c>
    </row>
    <row r="27" spans="1:19" ht="15" customHeight="1">
      <c r="A27" s="13">
        <v>42309</v>
      </c>
      <c r="B27" s="8">
        <f>3.0647 * CHOOSE(CONTROL!$C$15, $D$11, 100%, $F$11)</f>
        <v>3.0647000000000002</v>
      </c>
      <c r="C27" s="8">
        <f>3.0755 * CHOOSE(CONTROL!$C$15, $D$11, 100%, $F$11)</f>
        <v>3.0754999999999999</v>
      </c>
      <c r="D27" s="8">
        <f>3.0535 * CHOOSE( CONTROL!$C$15, $D$11, 100%, $F$11)</f>
        <v>3.0535000000000001</v>
      </c>
      <c r="E27" s="12">
        <f>3.0604 * CHOOSE( CONTROL!$C$15, $D$11, 100%, $F$11)</f>
        <v>3.0604</v>
      </c>
      <c r="F27" s="4">
        <f>3.7232 * CHOOSE(CONTROL!$C$15, $D$11, 100%, $F$11)</f>
        <v>3.7231999999999998</v>
      </c>
      <c r="G27" s="8">
        <f>2.9876 * CHOOSE( CONTROL!$C$15, $D$11, 100%, $F$11)</f>
        <v>2.9876</v>
      </c>
      <c r="H27" s="4">
        <f>3.8743 * CHOOSE(CONTROL!$C$15, $D$11, 100%, $F$11)</f>
        <v>3.8742999999999999</v>
      </c>
      <c r="I27" s="8">
        <f>3.0407 * CHOOSE(CONTROL!$C$15, $D$11, 100%, $F$11)</f>
        <v>3.0407000000000002</v>
      </c>
      <c r="J27" s="4">
        <f>2.928 * CHOOSE(CONTROL!$C$15, $D$11, 100%, $F$11)</f>
        <v>2.9279999999999999</v>
      </c>
      <c r="K27" s="4">
        <f>3.0047 * CHOOSE(CONTROL!$C$15, $D$11, 100%, $F$11)</f>
        <v>3.0047000000000001</v>
      </c>
      <c r="L27" s="9">
        <v>28.360600000000002</v>
      </c>
      <c r="M27" s="9">
        <v>11.6745</v>
      </c>
      <c r="N27" s="9">
        <v>4.7850000000000001</v>
      </c>
      <c r="O27" s="9">
        <v>0.59589999999999999</v>
      </c>
      <c r="P27" s="9">
        <v>1.2509999999999999</v>
      </c>
      <c r="Q27" s="9"/>
      <c r="R27" s="9">
        <f t="shared" si="0"/>
        <v>0.3</v>
      </c>
      <c r="S27" s="15">
        <v>1.0738000000000001</v>
      </c>
    </row>
    <row r="28" spans="1:19" ht="15" customHeight="1">
      <c r="A28" s="13">
        <v>42339</v>
      </c>
      <c r="B28" s="8">
        <f>3.2397 * CHOOSE(CONTROL!$C$15, $D$11, 100%, $F$11)</f>
        <v>3.2397</v>
      </c>
      <c r="C28" s="8">
        <f>3.2505 * CHOOSE(CONTROL!$C$15, $D$11, 100%, $F$11)</f>
        <v>3.2505000000000002</v>
      </c>
      <c r="D28" s="8">
        <f>3.2302 * CHOOSE( CONTROL!$C$15, $D$11, 100%, $F$11)</f>
        <v>3.2302</v>
      </c>
      <c r="E28" s="12">
        <f>3.2365 * CHOOSE( CONTROL!$C$15, $D$11, 100%, $F$11)</f>
        <v>3.2364999999999999</v>
      </c>
      <c r="F28" s="4">
        <f>3.8982 * CHOOSE(CONTROL!$C$15, $D$11, 100%, $F$11)</f>
        <v>3.8982000000000001</v>
      </c>
      <c r="G28" s="8">
        <f>3.1598 * CHOOSE( CONTROL!$C$15, $D$11, 100%, $F$11)</f>
        <v>3.1598000000000002</v>
      </c>
      <c r="H28" s="4">
        <f>4.0454 * CHOOSE(CONTROL!$C$15, $D$11, 100%, $F$11)</f>
        <v>4.0453999999999999</v>
      </c>
      <c r="I28" s="8">
        <f>3.2136 * CHOOSE(CONTROL!$C$15, $D$11, 100%, $F$11)</f>
        <v>3.2136</v>
      </c>
      <c r="J28" s="4">
        <f>3.096 * CHOOSE(CONTROL!$C$15, $D$11, 100%, $F$11)</f>
        <v>3.0960000000000001</v>
      </c>
      <c r="K28" s="4">
        <f>3.1767 * CHOOSE(CONTROL!$C$15, $D$11, 100%, $F$11)</f>
        <v>3.1766999999999999</v>
      </c>
      <c r="L28" s="9">
        <v>29.306000000000001</v>
      </c>
      <c r="M28" s="9">
        <v>12.063700000000001</v>
      </c>
      <c r="N28" s="9">
        <v>4.9444999999999997</v>
      </c>
      <c r="O28" s="9">
        <v>0.61570000000000003</v>
      </c>
      <c r="P28" s="9">
        <v>1.2927</v>
      </c>
      <c r="Q28" s="9"/>
      <c r="R28" s="9">
        <f t="shared" si="0"/>
        <v>0.3</v>
      </c>
      <c r="S28" s="15">
        <v>1.0738000000000001</v>
      </c>
    </row>
    <row r="29" spans="1:19" ht="15" customHeight="1">
      <c r="A29" s="13">
        <v>42370</v>
      </c>
      <c r="B29" s="8">
        <f>3.3491 * CHOOSE(CONTROL!$C$15, $D$11, 100%, $F$11)</f>
        <v>3.3491</v>
      </c>
      <c r="C29" s="8">
        <f>3.3599 * CHOOSE(CONTROL!$C$15, $D$11, 100%, $F$11)</f>
        <v>3.3599000000000001</v>
      </c>
      <c r="D29" s="8">
        <f>3.3405 * CHOOSE( CONTROL!$C$15, $D$11, 100%, $F$11)</f>
        <v>3.3405</v>
      </c>
      <c r="E29" s="12">
        <f>3.3464 * CHOOSE( CONTROL!$C$15, $D$11, 100%, $F$11)</f>
        <v>3.3464</v>
      </c>
      <c r="F29" s="4">
        <f>4.0076 * CHOOSE(CONTROL!$C$15, $D$11, 100%, $F$11)</f>
        <v>4.0076000000000001</v>
      </c>
      <c r="G29" s="8">
        <f>3.2674 * CHOOSE( CONTROL!$C$15, $D$11, 100%, $F$11)</f>
        <v>3.2673999999999999</v>
      </c>
      <c r="H29" s="4">
        <f>4.1524 * CHOOSE(CONTROL!$C$15, $D$11, 100%, $F$11)</f>
        <v>4.1524000000000001</v>
      </c>
      <c r="I29" s="8">
        <f>3.3217 * CHOOSE(CONTROL!$C$15, $D$11, 100%, $F$11)</f>
        <v>3.3216999999999999</v>
      </c>
      <c r="J29" s="4">
        <f>3.201 * CHOOSE(CONTROL!$C$15, $D$11, 100%, $F$11)</f>
        <v>3.2010000000000001</v>
      </c>
      <c r="K29" s="4"/>
      <c r="L29" s="9">
        <v>29.306000000000001</v>
      </c>
      <c r="M29" s="9">
        <v>12.063700000000001</v>
      </c>
      <c r="N29" s="9">
        <v>4.9444999999999997</v>
      </c>
      <c r="O29" s="9">
        <v>0.61570000000000003</v>
      </c>
      <c r="P29" s="9">
        <v>1.2927</v>
      </c>
      <c r="Q29" s="9"/>
      <c r="R29" s="9">
        <f t="shared" si="0"/>
        <v>0.3</v>
      </c>
      <c r="S29" s="11"/>
    </row>
    <row r="30" spans="1:19" ht="15" customHeight="1">
      <c r="A30" s="13">
        <v>42401</v>
      </c>
      <c r="B30" s="8">
        <f>3.3387 * CHOOSE(CONTROL!$C$15, $D$11, 100%, $F$11)</f>
        <v>3.3386999999999998</v>
      </c>
      <c r="C30" s="8">
        <f>3.3494 * CHOOSE(CONTROL!$C$15, $D$11, 100%, $F$11)</f>
        <v>3.3494000000000002</v>
      </c>
      <c r="D30" s="8">
        <f>3.33 * CHOOSE( CONTROL!$C$15, $D$11, 100%, $F$11)</f>
        <v>3.33</v>
      </c>
      <c r="E30" s="12">
        <f>3.336 * CHOOSE( CONTROL!$C$15, $D$11, 100%, $F$11)</f>
        <v>3.3359999999999999</v>
      </c>
      <c r="F30" s="4">
        <f>3.9972 * CHOOSE(CONTROL!$C$15, $D$11, 100%, $F$11)</f>
        <v>3.9971999999999999</v>
      </c>
      <c r="G30" s="8">
        <f>3.2572 * CHOOSE( CONTROL!$C$15, $D$11, 100%, $F$11)</f>
        <v>3.2572000000000001</v>
      </c>
      <c r="H30" s="4">
        <f>4.1422 * CHOOSE(CONTROL!$C$15, $D$11, 100%, $F$11)</f>
        <v>4.1421999999999999</v>
      </c>
      <c r="I30" s="8">
        <f>3.3114 * CHOOSE(CONTROL!$C$15, $D$11, 100%, $F$11)</f>
        <v>3.3113999999999999</v>
      </c>
      <c r="J30" s="4">
        <f>3.191 * CHOOSE(CONTROL!$C$15, $D$11, 100%, $F$11)</f>
        <v>3.1909999999999998</v>
      </c>
      <c r="K30" s="4"/>
      <c r="L30" s="9">
        <v>27.415299999999998</v>
      </c>
      <c r="M30" s="9">
        <v>11.285299999999999</v>
      </c>
      <c r="N30" s="9">
        <v>4.6254999999999997</v>
      </c>
      <c r="O30" s="9">
        <v>0.57599999999999996</v>
      </c>
      <c r="P30" s="9">
        <v>1.2093</v>
      </c>
      <c r="Q30" s="9"/>
      <c r="R30" s="9">
        <f t="shared" si="0"/>
        <v>0.3</v>
      </c>
      <c r="S30" s="11"/>
    </row>
    <row r="31" spans="1:19" ht="15" customHeight="1">
      <c r="A31" s="13">
        <v>42430</v>
      </c>
      <c r="B31" s="8">
        <f>3.2845 * CHOOSE(CONTROL!$C$15, $D$11, 100%, $F$11)</f>
        <v>3.2845</v>
      </c>
      <c r="C31" s="8">
        <f>3.2953 * CHOOSE(CONTROL!$C$15, $D$11, 100%, $F$11)</f>
        <v>3.2953000000000001</v>
      </c>
      <c r="D31" s="8">
        <f>3.2754 * CHOOSE( CONTROL!$C$15, $D$11, 100%, $F$11)</f>
        <v>3.2753999999999999</v>
      </c>
      <c r="E31" s="12">
        <f>3.2815 * CHOOSE( CONTROL!$C$15, $D$11, 100%, $F$11)</f>
        <v>3.2814999999999999</v>
      </c>
      <c r="F31" s="4">
        <f>3.943 * CHOOSE(CONTROL!$C$15, $D$11, 100%, $F$11)</f>
        <v>3.9430000000000001</v>
      </c>
      <c r="G31" s="8">
        <f>3.2038 * CHOOSE( CONTROL!$C$15, $D$11, 100%, $F$11)</f>
        <v>3.2038000000000002</v>
      </c>
      <c r="H31" s="4">
        <f>4.0892 * CHOOSE(CONTROL!$C$15, $D$11, 100%, $F$11)</f>
        <v>4.0891999999999999</v>
      </c>
      <c r="I31" s="8">
        <f>3.2579 * CHOOSE(CONTROL!$C$15, $D$11, 100%, $F$11)</f>
        <v>3.2578999999999998</v>
      </c>
      <c r="J31" s="4">
        <f>3.139 * CHOOSE(CONTROL!$C$15, $D$11, 100%, $F$11)</f>
        <v>3.1389999999999998</v>
      </c>
      <c r="K31" s="4"/>
      <c r="L31" s="9">
        <v>29.306000000000001</v>
      </c>
      <c r="M31" s="9">
        <v>12.063700000000001</v>
      </c>
      <c r="N31" s="9">
        <v>4.9444999999999997</v>
      </c>
      <c r="O31" s="9">
        <v>0.61570000000000003</v>
      </c>
      <c r="P31" s="9">
        <v>1.2927</v>
      </c>
      <c r="Q31" s="9"/>
      <c r="R31" s="9">
        <f t="shared" si="0"/>
        <v>0.3</v>
      </c>
      <c r="S31" s="11"/>
    </row>
    <row r="32" spans="1:19" ht="15" customHeight="1">
      <c r="A32" s="13">
        <v>42461</v>
      </c>
      <c r="B32" s="8">
        <f>3.1386 * CHOOSE(CONTROL!$C$15, $D$11, 100%, $F$11)</f>
        <v>3.1385999999999998</v>
      </c>
      <c r="C32" s="8">
        <f>3.1494 * CHOOSE(CONTROL!$C$15, $D$11, 100%, $F$11)</f>
        <v>3.1494</v>
      </c>
      <c r="D32" s="8">
        <f>3.1488 * CHOOSE( CONTROL!$C$15, $D$11, 100%, $F$11)</f>
        <v>3.1488</v>
      </c>
      <c r="E32" s="12">
        <f>3.1478 * CHOOSE( CONTROL!$C$15, $D$11, 100%, $F$11)</f>
        <v>3.1478000000000002</v>
      </c>
      <c r="F32" s="4">
        <f>3.8779 * CHOOSE(CONTROL!$C$15, $D$11, 100%, $F$11)</f>
        <v>3.8778999999999999</v>
      </c>
      <c r="G32" s="8">
        <f>3.0631 * CHOOSE( CONTROL!$C$15, $D$11, 100%, $F$11)</f>
        <v>3.0630999999999999</v>
      </c>
      <c r="H32" s="4">
        <f>4.0256 * CHOOSE(CONTROL!$C$15, $D$11, 100%, $F$11)</f>
        <v>4.0255999999999998</v>
      </c>
      <c r="I32" s="8">
        <f>3.1097 * CHOOSE(CONTROL!$C$15, $D$11, 100%, $F$11)</f>
        <v>3.1097000000000001</v>
      </c>
      <c r="J32" s="4">
        <f>2.999 * CHOOSE(CONTROL!$C$15, $D$11, 100%, $F$11)</f>
        <v>2.9990000000000001</v>
      </c>
      <c r="K32" s="4"/>
      <c r="L32" s="9">
        <v>30.092199999999998</v>
      </c>
      <c r="M32" s="9">
        <v>11.6745</v>
      </c>
      <c r="N32" s="9">
        <v>4.7850000000000001</v>
      </c>
      <c r="O32" s="9">
        <v>0.59589999999999999</v>
      </c>
      <c r="P32" s="9">
        <v>2.0339999999999998</v>
      </c>
      <c r="Q32" s="9"/>
      <c r="R32" s="9">
        <f t="shared" si="0"/>
        <v>0.3</v>
      </c>
      <c r="S32" s="11"/>
    </row>
    <row r="33" spans="1:19" ht="15" customHeight="1">
      <c r="A33" s="13">
        <v>42491</v>
      </c>
      <c r="B33" s="8">
        <f>CHOOSE( CONTROL!$C$32, 3.1441, 3.1417) * CHOOSE(CONTROL!$C$15, $D$11, 100%, $F$11)</f>
        <v>3.1440999999999999</v>
      </c>
      <c r="C33" s="8">
        <f>CHOOSE( CONTROL!$C$32, 3.1546, 3.1523) * CHOOSE(CONTROL!$C$15, $D$11, 100%, $F$11)</f>
        <v>3.1545999999999998</v>
      </c>
      <c r="D33" s="8">
        <f>CHOOSE( CONTROL!$C$32, 3.1725, 3.1701) * CHOOSE( CONTROL!$C$15, $D$11, 100%, $F$11)</f>
        <v>3.1724999999999999</v>
      </c>
      <c r="E33" s="12">
        <f>CHOOSE( CONTROL!$C$32, 3.165, 3.1626) * CHOOSE( CONTROL!$C$15, $D$11, 100%, $F$11)</f>
        <v>3.165</v>
      </c>
      <c r="F33" s="4">
        <f>CHOOSE( CONTROL!$C$32, 3.8834, 3.881) * CHOOSE(CONTROL!$C$15, $D$11, 100%, $F$11)</f>
        <v>3.8834</v>
      </c>
      <c r="G33" s="8">
        <f>CHOOSE( CONTROL!$C$32, 3.0658, 3.0634) * CHOOSE( CONTROL!$C$15, $D$11, 100%, $F$11)</f>
        <v>3.0657999999999999</v>
      </c>
      <c r="H33" s="4">
        <f>CHOOSE( CONTROL!$C$32, 4.031, 4.0286) * CHOOSE(CONTROL!$C$15, $D$11, 100%, $F$11)</f>
        <v>4.0309999999999997</v>
      </c>
      <c r="I33" s="8">
        <f>CHOOSE( CONTROL!$C$32, 3.115, 3.1127) * CHOOSE(CONTROL!$C$15, $D$11, 100%, $F$11)</f>
        <v>3.1150000000000002</v>
      </c>
      <c r="J33" s="4">
        <f>CHOOSE( CONTROL!$C$32, 3.0043, 3.002) * CHOOSE(CONTROL!$C$15, $D$11, 100%, $F$11)</f>
        <v>3.0043000000000002</v>
      </c>
      <c r="K33" s="4"/>
      <c r="L33" s="9">
        <v>33.7545</v>
      </c>
      <c r="M33" s="9">
        <v>12.063700000000001</v>
      </c>
      <c r="N33" s="9">
        <v>4.9444999999999997</v>
      </c>
      <c r="O33" s="9">
        <v>0.37409999999999999</v>
      </c>
      <c r="P33" s="9">
        <v>1.4925999999999999</v>
      </c>
      <c r="Q33" s="9"/>
      <c r="R33" s="9">
        <f t="shared" si="0"/>
        <v>0.3</v>
      </c>
      <c r="S33" s="11"/>
    </row>
    <row r="34" spans="1:19" ht="15" customHeight="1">
      <c r="A34" s="13">
        <v>42522</v>
      </c>
      <c r="B34" s="8">
        <f>CHOOSE( CONTROL!$C$32, 3.1774, 3.175) * CHOOSE(CONTROL!$C$15, $D$11, 100%, $F$11)</f>
        <v>3.1774</v>
      </c>
      <c r="C34" s="8">
        <f>CHOOSE( CONTROL!$C$32, 3.188, 3.1856) * CHOOSE(CONTROL!$C$15, $D$11, 100%, $F$11)</f>
        <v>3.1880000000000002</v>
      </c>
      <c r="D34" s="8">
        <f>CHOOSE( CONTROL!$C$32, 3.2061, 3.2037) * CHOOSE( CONTROL!$C$15, $D$11, 100%, $F$11)</f>
        <v>3.2061000000000002</v>
      </c>
      <c r="E34" s="12">
        <f>CHOOSE( CONTROL!$C$32, 3.1985, 3.1961) * CHOOSE( CONTROL!$C$15, $D$11, 100%, $F$11)</f>
        <v>3.1985000000000001</v>
      </c>
      <c r="F34" s="4">
        <f>CHOOSE( CONTROL!$C$32, 3.9168, 3.9144) * CHOOSE(CONTROL!$C$15, $D$11, 100%, $F$11)</f>
        <v>3.9167999999999998</v>
      </c>
      <c r="G34" s="8">
        <f>CHOOSE( CONTROL!$C$32, 3.0987, 3.0963) * CHOOSE( CONTROL!$C$15, $D$11, 100%, $F$11)</f>
        <v>3.0987</v>
      </c>
      <c r="H34" s="4">
        <f>CHOOSE( CONTROL!$C$32, 4.0636, 4.0612) * CHOOSE(CONTROL!$C$15, $D$11, 100%, $F$11)</f>
        <v>4.0636000000000001</v>
      </c>
      <c r="I34" s="8">
        <f>CHOOSE( CONTROL!$C$32, 3.148, 3.1457) * CHOOSE(CONTROL!$C$15, $D$11, 100%, $F$11)</f>
        <v>3.1480000000000001</v>
      </c>
      <c r="J34" s="4">
        <f>CHOOSE( CONTROL!$C$32, 3.0363, 3.034) * CHOOSE(CONTROL!$C$15, $D$11, 100%, $F$11)</f>
        <v>3.0363000000000002</v>
      </c>
      <c r="K34" s="4"/>
      <c r="L34" s="9">
        <v>32.665700000000001</v>
      </c>
      <c r="M34" s="9">
        <v>11.6745</v>
      </c>
      <c r="N34" s="9">
        <v>4.7850000000000001</v>
      </c>
      <c r="O34" s="9">
        <v>0.36199999999999999</v>
      </c>
      <c r="P34" s="9">
        <v>1.4443999999999999</v>
      </c>
      <c r="Q34" s="9"/>
      <c r="R34" s="9">
        <f t="shared" si="0"/>
        <v>0.3</v>
      </c>
      <c r="S34" s="11"/>
    </row>
    <row r="35" spans="1:19" ht="15" customHeight="1">
      <c r="A35" s="13">
        <v>42552</v>
      </c>
      <c r="B35" s="8">
        <f>CHOOSE( CONTROL!$C$32, 3.2139, 3.2115) * CHOOSE(CONTROL!$C$15, $D$11, 100%, $F$11)</f>
        <v>3.2139000000000002</v>
      </c>
      <c r="C35" s="8">
        <f>CHOOSE( CONTROL!$C$32, 3.2244, 3.222) * CHOOSE(CONTROL!$C$15, $D$11, 100%, $F$11)</f>
        <v>3.2244000000000002</v>
      </c>
      <c r="D35" s="8">
        <f>CHOOSE( CONTROL!$C$32, 3.2428, 3.2404) * CHOOSE( CONTROL!$C$15, $D$11, 100%, $F$11)</f>
        <v>3.2427999999999999</v>
      </c>
      <c r="E35" s="12">
        <f>CHOOSE( CONTROL!$C$32, 3.2351, 3.2327) * CHOOSE( CONTROL!$C$15, $D$11, 100%, $F$11)</f>
        <v>3.2351000000000001</v>
      </c>
      <c r="F35" s="4">
        <f>CHOOSE( CONTROL!$C$32, 3.9532, 3.9508) * CHOOSE(CONTROL!$C$15, $D$11, 100%, $F$11)</f>
        <v>3.9531999999999998</v>
      </c>
      <c r="G35" s="8">
        <f>CHOOSE( CONTROL!$C$32, 3.1346, 3.1323) * CHOOSE( CONTROL!$C$15, $D$11, 100%, $F$11)</f>
        <v>3.1345999999999998</v>
      </c>
      <c r="H35" s="4">
        <f>CHOOSE( CONTROL!$C$32, 4.0992, 4.0969) * CHOOSE(CONTROL!$C$15, $D$11, 100%, $F$11)</f>
        <v>4.0991999999999997</v>
      </c>
      <c r="I35" s="8">
        <f>CHOOSE( CONTROL!$C$32, 3.184, 3.1817) * CHOOSE(CONTROL!$C$15, $D$11, 100%, $F$11)</f>
        <v>3.1840000000000002</v>
      </c>
      <c r="J35" s="4">
        <f>CHOOSE( CONTROL!$C$32, 3.0713, 3.069) * CHOOSE(CONTROL!$C$15, $D$11, 100%, $F$11)</f>
        <v>3.0712999999999999</v>
      </c>
      <c r="K35" s="4"/>
      <c r="L35" s="9">
        <v>33.7545</v>
      </c>
      <c r="M35" s="9">
        <v>12.063700000000001</v>
      </c>
      <c r="N35" s="9">
        <v>4.9444999999999997</v>
      </c>
      <c r="O35" s="9">
        <v>0.37409999999999999</v>
      </c>
      <c r="P35" s="9">
        <v>1.4925999999999999</v>
      </c>
      <c r="Q35" s="9"/>
      <c r="R35" s="9">
        <f t="shared" si="0"/>
        <v>0.3</v>
      </c>
      <c r="S35" s="11"/>
    </row>
    <row r="36" spans="1:19" ht="15" customHeight="1">
      <c r="A36" s="13">
        <v>42583</v>
      </c>
      <c r="B36" s="8">
        <f>CHOOSE( CONTROL!$C$32, 3.2222, 3.2198) * CHOOSE(CONTROL!$C$15, $D$11, 100%, $F$11)</f>
        <v>3.2222</v>
      </c>
      <c r="C36" s="8">
        <f>CHOOSE( CONTROL!$C$32, 3.2328, 3.2304) * CHOOSE(CONTROL!$C$15, $D$11, 100%, $F$11)</f>
        <v>3.2328000000000001</v>
      </c>
      <c r="D36" s="8">
        <f>CHOOSE( CONTROL!$C$32, 3.2512, 3.2488) * CHOOSE( CONTROL!$C$15, $D$11, 100%, $F$11)</f>
        <v>3.2511999999999999</v>
      </c>
      <c r="E36" s="12">
        <f>CHOOSE( CONTROL!$C$32, 3.2435, 3.2411) * CHOOSE( CONTROL!$C$15, $D$11, 100%, $F$11)</f>
        <v>3.2435</v>
      </c>
      <c r="F36" s="4">
        <f>CHOOSE( CONTROL!$C$32, 3.9616, 3.9592) * CHOOSE(CONTROL!$C$15, $D$11, 100%, $F$11)</f>
        <v>3.9615999999999998</v>
      </c>
      <c r="G36" s="8">
        <f>CHOOSE( CONTROL!$C$32, 3.1428, 3.1405) * CHOOSE( CONTROL!$C$15, $D$11, 100%, $F$11)</f>
        <v>3.1427999999999998</v>
      </c>
      <c r="H36" s="4">
        <f>CHOOSE( CONTROL!$C$32, 4.1073, 4.105) * CHOOSE(CONTROL!$C$15, $D$11, 100%, $F$11)</f>
        <v>4.1073000000000004</v>
      </c>
      <c r="I36" s="8">
        <f>CHOOSE( CONTROL!$C$32, 3.1922, 3.1899) * CHOOSE(CONTROL!$C$15, $D$11, 100%, $F$11)</f>
        <v>3.1922000000000001</v>
      </c>
      <c r="J36" s="4">
        <f>CHOOSE( CONTROL!$C$32, 3.0793, 3.077) * CHOOSE(CONTROL!$C$15, $D$11, 100%, $F$11)</f>
        <v>3.0792999999999999</v>
      </c>
      <c r="K36" s="4"/>
      <c r="L36" s="9">
        <v>33.7545</v>
      </c>
      <c r="M36" s="9">
        <v>12.063700000000001</v>
      </c>
      <c r="N36" s="9">
        <v>4.9444999999999997</v>
      </c>
      <c r="O36" s="9">
        <v>0.37409999999999999</v>
      </c>
      <c r="P36" s="9">
        <v>1.4925999999999999</v>
      </c>
      <c r="Q36" s="9"/>
      <c r="R36" s="9">
        <f t="shared" si="0"/>
        <v>0.3</v>
      </c>
      <c r="S36" s="11"/>
    </row>
    <row r="37" spans="1:19" ht="15" customHeight="1">
      <c r="A37" s="13">
        <v>42614</v>
      </c>
      <c r="B37" s="8">
        <f>CHOOSE( CONTROL!$C$32, 3.2118, 3.2094) * CHOOSE(CONTROL!$C$15, $D$11, 100%, $F$11)</f>
        <v>3.2118000000000002</v>
      </c>
      <c r="C37" s="8">
        <f>CHOOSE( CONTROL!$C$32, 3.2223, 3.22) * CHOOSE(CONTROL!$C$15, $D$11, 100%, $F$11)</f>
        <v>3.2223000000000002</v>
      </c>
      <c r="D37" s="8">
        <f>CHOOSE( CONTROL!$C$32, 3.2407, 3.2383) * CHOOSE( CONTROL!$C$15, $D$11, 100%, $F$11)</f>
        <v>3.2406999999999999</v>
      </c>
      <c r="E37" s="12">
        <f>CHOOSE( CONTROL!$C$32, 3.233, 3.2307) * CHOOSE( CONTROL!$C$15, $D$11, 100%, $F$11)</f>
        <v>3.2330000000000001</v>
      </c>
      <c r="F37" s="4">
        <f>CHOOSE( CONTROL!$C$32, 3.9511, 3.9487) * CHOOSE(CONTROL!$C$15, $D$11, 100%, $F$11)</f>
        <v>3.9510999999999998</v>
      </c>
      <c r="G37" s="8">
        <f>CHOOSE( CONTROL!$C$32, 3.1326, 3.1302) * CHOOSE( CONTROL!$C$15, $D$11, 100%, $F$11)</f>
        <v>3.1326000000000001</v>
      </c>
      <c r="H37" s="4">
        <f>CHOOSE( CONTROL!$C$32, 4.0972, 4.0948) * CHOOSE(CONTROL!$C$15, $D$11, 100%, $F$11)</f>
        <v>4.0972</v>
      </c>
      <c r="I37" s="8">
        <f>CHOOSE( CONTROL!$C$32, 3.182, 3.1797) * CHOOSE(CONTROL!$C$15, $D$11, 100%, $F$11)</f>
        <v>3.1819999999999999</v>
      </c>
      <c r="J37" s="4">
        <f>CHOOSE( CONTROL!$C$32, 3.0693, 3.067) * CHOOSE(CONTROL!$C$15, $D$11, 100%, $F$11)</f>
        <v>3.0693000000000001</v>
      </c>
      <c r="K37" s="4"/>
      <c r="L37" s="9">
        <v>32.665700000000001</v>
      </c>
      <c r="M37" s="9">
        <v>11.6745</v>
      </c>
      <c r="N37" s="9">
        <v>4.7850000000000001</v>
      </c>
      <c r="O37" s="9">
        <v>0.36199999999999999</v>
      </c>
      <c r="P37" s="9">
        <v>1.4443999999999999</v>
      </c>
      <c r="Q37" s="9"/>
      <c r="R37" s="9">
        <f t="shared" si="0"/>
        <v>0.3</v>
      </c>
      <c r="S37" s="11"/>
    </row>
    <row r="38" spans="1:19" ht="15" customHeight="1">
      <c r="A38" s="13">
        <v>42644</v>
      </c>
      <c r="B38" s="8">
        <f>3.2366 * CHOOSE(CONTROL!$C$15, $D$11, 100%, $F$11)</f>
        <v>3.2366000000000001</v>
      </c>
      <c r="C38" s="8">
        <f>3.2473 * CHOOSE(CONTROL!$C$15, $D$11, 100%, $F$11)</f>
        <v>3.2473000000000001</v>
      </c>
      <c r="D38" s="8">
        <f>3.2585 * CHOOSE( CONTROL!$C$15, $D$11, 100%, $F$11)</f>
        <v>3.2585000000000002</v>
      </c>
      <c r="E38" s="12">
        <f>3.2537 * CHOOSE( CONTROL!$C$15, $D$11, 100%, $F$11)</f>
        <v>3.2536999999999998</v>
      </c>
      <c r="F38" s="4">
        <f>3.9758 * CHOOSE(CONTROL!$C$15, $D$11, 100%, $F$11)</f>
        <v>3.9758</v>
      </c>
      <c r="G38" s="8">
        <f>3.1565 * CHOOSE( CONTROL!$C$15, $D$11, 100%, $F$11)</f>
        <v>3.1564999999999999</v>
      </c>
      <c r="H38" s="4">
        <f>4.1213 * CHOOSE(CONTROL!$C$15, $D$11, 100%, $F$11)</f>
        <v>4.1212999999999997</v>
      </c>
      <c r="I38" s="8">
        <f>3.2064 * CHOOSE(CONTROL!$C$15, $D$11, 100%, $F$11)</f>
        <v>3.2063999999999999</v>
      </c>
      <c r="J38" s="4">
        <f>3.093 * CHOOSE(CONTROL!$C$15, $D$11, 100%, $F$11)</f>
        <v>3.093</v>
      </c>
      <c r="K38" s="4"/>
      <c r="L38" s="9">
        <v>31.095300000000002</v>
      </c>
      <c r="M38" s="9">
        <v>12.063700000000001</v>
      </c>
      <c r="N38" s="9">
        <v>4.9444999999999997</v>
      </c>
      <c r="O38" s="9">
        <v>0.37409999999999999</v>
      </c>
      <c r="P38" s="9">
        <v>2.1017999999999999</v>
      </c>
      <c r="Q38" s="9"/>
      <c r="R38" s="9">
        <f t="shared" si="0"/>
        <v>0.3</v>
      </c>
      <c r="S38" s="11"/>
    </row>
    <row r="39" spans="1:19" ht="15" customHeight="1">
      <c r="A39" s="13">
        <v>42675</v>
      </c>
      <c r="B39" s="8">
        <f>3.3147 * CHOOSE(CONTROL!$C$15, $D$11, 100%, $F$11)</f>
        <v>3.3147000000000002</v>
      </c>
      <c r="C39" s="8">
        <f>3.3255 * CHOOSE(CONTROL!$C$15, $D$11, 100%, $F$11)</f>
        <v>3.3254999999999999</v>
      </c>
      <c r="D39" s="8">
        <f>3.3082 * CHOOSE( CONTROL!$C$15, $D$11, 100%, $F$11)</f>
        <v>3.3081999999999998</v>
      </c>
      <c r="E39" s="12">
        <f>3.3134 * CHOOSE( CONTROL!$C$15, $D$11, 100%, $F$11)</f>
        <v>3.3134000000000001</v>
      </c>
      <c r="F39" s="4">
        <f>3.9732 * CHOOSE(CONTROL!$C$15, $D$11, 100%, $F$11)</f>
        <v>3.9731999999999998</v>
      </c>
      <c r="G39" s="8">
        <f>3.2395 * CHOOSE( CONTROL!$C$15, $D$11, 100%, $F$11)</f>
        <v>3.2395</v>
      </c>
      <c r="H39" s="4">
        <f>4.1187 * CHOOSE(CONTROL!$C$15, $D$11, 100%, $F$11)</f>
        <v>4.1186999999999996</v>
      </c>
      <c r="I39" s="8">
        <f>3.3186 * CHOOSE(CONTROL!$C$15, $D$11, 100%, $F$11)</f>
        <v>3.3186</v>
      </c>
      <c r="J39" s="4">
        <f>3.168 * CHOOSE(CONTROL!$C$15, $D$11, 100%, $F$11)</f>
        <v>3.1680000000000001</v>
      </c>
      <c r="K39" s="4"/>
      <c r="L39" s="9">
        <v>28.360600000000002</v>
      </c>
      <c r="M39" s="9">
        <v>11.6745</v>
      </c>
      <c r="N39" s="9">
        <v>4.7850000000000001</v>
      </c>
      <c r="O39" s="9">
        <v>0.36199999999999999</v>
      </c>
      <c r="P39" s="9">
        <v>1.2509999999999999</v>
      </c>
      <c r="Q39" s="9"/>
      <c r="R39" s="9">
        <f t="shared" si="0"/>
        <v>0.3</v>
      </c>
      <c r="S39" s="11"/>
    </row>
    <row r="40" spans="1:19" ht="15" customHeight="1">
      <c r="A40" s="13">
        <v>42705</v>
      </c>
      <c r="B40" s="8">
        <f>3.5022 * CHOOSE(CONTROL!$C$15, $D$11, 100%, $F$11)</f>
        <v>3.5022000000000002</v>
      </c>
      <c r="C40" s="8">
        <f>3.513 * CHOOSE(CONTROL!$C$15, $D$11, 100%, $F$11)</f>
        <v>3.5129999999999999</v>
      </c>
      <c r="D40" s="8">
        <f>3.4974 * CHOOSE( CONTROL!$C$15, $D$11, 100%, $F$11)</f>
        <v>3.4973999999999998</v>
      </c>
      <c r="E40" s="12">
        <f>3.502 * CHOOSE( CONTROL!$C$15, $D$11, 100%, $F$11)</f>
        <v>3.5019999999999998</v>
      </c>
      <c r="F40" s="4">
        <f>4.1607 * CHOOSE(CONTROL!$C$15, $D$11, 100%, $F$11)</f>
        <v>4.1607000000000003</v>
      </c>
      <c r="G40" s="8">
        <f>3.424 * CHOOSE( CONTROL!$C$15, $D$11, 100%, $F$11)</f>
        <v>3.4239999999999999</v>
      </c>
      <c r="H40" s="4">
        <f>4.302 * CHOOSE(CONTROL!$C$15, $D$11, 100%, $F$11)</f>
        <v>4.3019999999999996</v>
      </c>
      <c r="I40" s="8">
        <f>3.5039 * CHOOSE(CONTROL!$C$15, $D$11, 100%, $F$11)</f>
        <v>3.5038999999999998</v>
      </c>
      <c r="J40" s="4">
        <f>3.348 * CHOOSE(CONTROL!$C$15, $D$11, 100%, $F$11)</f>
        <v>3.3479999999999999</v>
      </c>
      <c r="K40" s="4"/>
      <c r="L40" s="9">
        <v>29.306000000000001</v>
      </c>
      <c r="M40" s="9">
        <v>12.063700000000001</v>
      </c>
      <c r="N40" s="9">
        <v>4.9444999999999997</v>
      </c>
      <c r="O40" s="9">
        <v>0.37409999999999999</v>
      </c>
      <c r="P40" s="9">
        <v>1.2927</v>
      </c>
      <c r="Q40" s="9"/>
      <c r="R40" s="9">
        <f t="shared" si="0"/>
        <v>0.3</v>
      </c>
      <c r="S40" s="11"/>
    </row>
    <row r="41" spans="1:19" ht="15" customHeight="1">
      <c r="A41" s="13">
        <v>42736</v>
      </c>
      <c r="B41" s="8">
        <f>3.6584 * CHOOSE(CONTROL!$C$15, $D$11, 100%, $F$11)</f>
        <v>3.6583999999999999</v>
      </c>
      <c r="C41" s="8">
        <f>3.6692 * CHOOSE(CONTROL!$C$15, $D$11, 100%, $F$11)</f>
        <v>3.6692</v>
      </c>
      <c r="D41" s="8">
        <f>3.6506 * CHOOSE( CONTROL!$C$15, $D$11, 100%, $F$11)</f>
        <v>3.6505999999999998</v>
      </c>
      <c r="E41" s="12">
        <f>3.6563 * CHOOSE( CONTROL!$C$15, $D$11, 100%, $F$11)</f>
        <v>3.6562999999999999</v>
      </c>
      <c r="F41" s="4">
        <f>4.3169 * CHOOSE(CONTROL!$C$15, $D$11, 100%, $F$11)</f>
        <v>4.3169000000000004</v>
      </c>
      <c r="G41" s="8">
        <f>3.5692 * CHOOSE( CONTROL!$C$15, $D$11, 100%, $F$11)</f>
        <v>3.5691999999999999</v>
      </c>
      <c r="H41" s="4">
        <f>4.4548 * CHOOSE(CONTROL!$C$15, $D$11, 100%, $F$11)</f>
        <v>4.4547999999999996</v>
      </c>
      <c r="I41" s="8">
        <f>3.6188 * CHOOSE(CONTROL!$C$15, $D$11, 100%, $F$11)</f>
        <v>3.6187999999999998</v>
      </c>
      <c r="J41" s="4">
        <f>3.498 * CHOOSE(CONTROL!$C$15, $D$11, 100%, $F$11)</f>
        <v>3.4980000000000002</v>
      </c>
      <c r="K41" s="4"/>
      <c r="L41" s="9">
        <v>29.306000000000001</v>
      </c>
      <c r="M41" s="9">
        <v>12.063700000000001</v>
      </c>
      <c r="N41" s="9">
        <v>4.9444999999999997</v>
      </c>
      <c r="O41" s="9">
        <v>0.37409999999999999</v>
      </c>
      <c r="P41" s="9">
        <v>1.2927</v>
      </c>
      <c r="Q41" s="9"/>
      <c r="R41" s="9">
        <f t="shared" si="0"/>
        <v>0.3</v>
      </c>
      <c r="S41" s="11"/>
    </row>
    <row r="42" spans="1:19" ht="15" customHeight="1">
      <c r="A42" s="13">
        <v>42767</v>
      </c>
      <c r="B42" s="8">
        <f>3.648 * CHOOSE(CONTROL!$C$15, $D$11, 100%, $F$11)</f>
        <v>3.6480000000000001</v>
      </c>
      <c r="C42" s="8">
        <f>3.6588 * CHOOSE(CONTROL!$C$15, $D$11, 100%, $F$11)</f>
        <v>3.6587999999999998</v>
      </c>
      <c r="D42" s="8">
        <f>3.6401 * CHOOSE( CONTROL!$C$15, $D$11, 100%, $F$11)</f>
        <v>3.6400999999999999</v>
      </c>
      <c r="E42" s="12">
        <f>3.6458 * CHOOSE( CONTROL!$C$15, $D$11, 100%, $F$11)</f>
        <v>3.6457999999999999</v>
      </c>
      <c r="F42" s="4">
        <f>4.3065 * CHOOSE(CONTROL!$C$15, $D$11, 100%, $F$11)</f>
        <v>4.3064999999999998</v>
      </c>
      <c r="G42" s="8">
        <f>3.559 * CHOOSE( CONTROL!$C$15, $D$11, 100%, $F$11)</f>
        <v>3.5590000000000002</v>
      </c>
      <c r="H42" s="4">
        <f>4.4446 * CHOOSE(CONTROL!$C$15, $D$11, 100%, $F$11)</f>
        <v>4.4446000000000003</v>
      </c>
      <c r="I42" s="8">
        <f>3.6086 * CHOOSE(CONTROL!$C$15, $D$11, 100%, $F$11)</f>
        <v>3.6086</v>
      </c>
      <c r="J42" s="4">
        <f>3.488 * CHOOSE(CONTROL!$C$15, $D$11, 100%, $F$11)</f>
        <v>3.488</v>
      </c>
      <c r="K42" s="4"/>
      <c r="L42" s="9">
        <v>26.469899999999999</v>
      </c>
      <c r="M42" s="9">
        <v>10.8962</v>
      </c>
      <c r="N42" s="9">
        <v>4.4660000000000002</v>
      </c>
      <c r="O42" s="9">
        <v>0.33789999999999998</v>
      </c>
      <c r="P42" s="9">
        <v>1.1676</v>
      </c>
      <c r="Q42" s="9"/>
      <c r="R42" s="9">
        <f t="shared" si="0"/>
        <v>0.3</v>
      </c>
      <c r="S42" s="11"/>
    </row>
    <row r="43" spans="1:19" ht="15" customHeight="1">
      <c r="A43" s="13">
        <v>42795</v>
      </c>
      <c r="B43" s="8">
        <f>3.5959 * CHOOSE(CONTROL!$C$15, $D$11, 100%, $F$11)</f>
        <v>3.5958999999999999</v>
      </c>
      <c r="C43" s="8">
        <f>3.6067 * CHOOSE(CONTROL!$C$15, $D$11, 100%, $F$11)</f>
        <v>3.6067</v>
      </c>
      <c r="D43" s="8">
        <f>3.5875 * CHOOSE( CONTROL!$C$15, $D$11, 100%, $F$11)</f>
        <v>3.5874999999999999</v>
      </c>
      <c r="E43" s="12">
        <f>3.5934 * CHOOSE( CONTROL!$C$15, $D$11, 100%, $F$11)</f>
        <v>3.5933999999999999</v>
      </c>
      <c r="F43" s="4">
        <f>4.2544 * CHOOSE(CONTROL!$C$15, $D$11, 100%, $F$11)</f>
        <v>4.2544000000000004</v>
      </c>
      <c r="G43" s="8">
        <f>3.5077 * CHOOSE( CONTROL!$C$15, $D$11, 100%, $F$11)</f>
        <v>3.5076999999999998</v>
      </c>
      <c r="H43" s="4">
        <f>4.3937 * CHOOSE(CONTROL!$C$15, $D$11, 100%, $F$11)</f>
        <v>4.3936999999999999</v>
      </c>
      <c r="I43" s="8">
        <f>3.557 * CHOOSE(CONTROL!$C$15, $D$11, 100%, $F$11)</f>
        <v>3.5569999999999999</v>
      </c>
      <c r="J43" s="4">
        <f>3.438 * CHOOSE(CONTROL!$C$15, $D$11, 100%, $F$11)</f>
        <v>3.4380000000000002</v>
      </c>
      <c r="K43" s="4"/>
      <c r="L43" s="9">
        <v>29.306000000000001</v>
      </c>
      <c r="M43" s="9">
        <v>12.063700000000001</v>
      </c>
      <c r="N43" s="9">
        <v>4.9444999999999997</v>
      </c>
      <c r="O43" s="9">
        <v>0.37409999999999999</v>
      </c>
      <c r="P43" s="9">
        <v>1.2927</v>
      </c>
      <c r="Q43" s="9"/>
      <c r="R43" s="9">
        <f t="shared" si="0"/>
        <v>0.3</v>
      </c>
      <c r="S43" s="11"/>
    </row>
    <row r="44" spans="1:19" ht="15" customHeight="1">
      <c r="A44" s="13">
        <v>42826</v>
      </c>
      <c r="B44" s="8">
        <f>3.3543 * CHOOSE(CONTROL!$C$15, $D$11, 100%, $F$11)</f>
        <v>3.3542999999999998</v>
      </c>
      <c r="C44" s="8">
        <f>3.365 * CHOOSE(CONTROL!$C$15, $D$11, 100%, $F$11)</f>
        <v>3.3650000000000002</v>
      </c>
      <c r="D44" s="8">
        <f>3.3753 * CHOOSE( CONTROL!$C$15, $D$11, 100%, $F$11)</f>
        <v>3.3753000000000002</v>
      </c>
      <c r="E44" s="12">
        <f>3.3707 * CHOOSE( CONTROL!$C$15, $D$11, 100%, $F$11)</f>
        <v>3.3706999999999998</v>
      </c>
      <c r="F44" s="4">
        <f>4.0935 * CHOOSE(CONTROL!$C$15, $D$11, 100%, $F$11)</f>
        <v>4.0934999999999997</v>
      </c>
      <c r="G44" s="8">
        <f>3.2707 * CHOOSE( CONTROL!$C$15, $D$11, 100%, $F$11)</f>
        <v>3.2707000000000002</v>
      </c>
      <c r="H44" s="4">
        <f>4.2364 * CHOOSE(CONTROL!$C$15, $D$11, 100%, $F$11)</f>
        <v>4.2363999999999997</v>
      </c>
      <c r="I44" s="8">
        <f>3.3168 * CHOOSE(CONTROL!$C$15, $D$11, 100%, $F$11)</f>
        <v>3.3168000000000002</v>
      </c>
      <c r="J44" s="4">
        <f>3.206 * CHOOSE(CONTROL!$C$15, $D$11, 100%, $F$11)</f>
        <v>3.206</v>
      </c>
      <c r="K44" s="4"/>
      <c r="L44" s="9">
        <v>30.092199999999998</v>
      </c>
      <c r="M44" s="9">
        <v>11.6745</v>
      </c>
      <c r="N44" s="9">
        <v>4.7850000000000001</v>
      </c>
      <c r="O44" s="9">
        <v>0.36199999999999999</v>
      </c>
      <c r="P44" s="9">
        <v>2.0339999999999998</v>
      </c>
      <c r="Q44" s="9"/>
      <c r="R44" s="9">
        <f t="shared" si="0"/>
        <v>0.3</v>
      </c>
      <c r="S44" s="11"/>
    </row>
    <row r="45" spans="1:19" ht="15" customHeight="1">
      <c r="A45" s="13">
        <v>42856</v>
      </c>
      <c r="B45" s="8">
        <f>CHOOSE( CONTROL!$C$32, 3.3597, 3.3573) * CHOOSE(CONTROL!$C$15, $D$11, 100%, $F$11)</f>
        <v>3.3597000000000001</v>
      </c>
      <c r="C45" s="8">
        <f>CHOOSE( CONTROL!$C$32, 3.3702, 3.3679) * CHOOSE(CONTROL!$C$15, $D$11, 100%, $F$11)</f>
        <v>3.3702000000000001</v>
      </c>
      <c r="D45" s="8">
        <f>CHOOSE( CONTROL!$C$32, 3.3793, 3.3769) * CHOOSE( CONTROL!$C$15, $D$11, 100%, $F$11)</f>
        <v>3.3793000000000002</v>
      </c>
      <c r="E45" s="12">
        <f>CHOOSE( CONTROL!$C$32, 3.3744, 3.372) * CHOOSE( CONTROL!$C$15, $D$11, 100%, $F$11)</f>
        <v>3.3744000000000001</v>
      </c>
      <c r="F45" s="4">
        <f>CHOOSE( CONTROL!$C$32, 4.099, 4.0966) * CHOOSE(CONTROL!$C$15, $D$11, 100%, $F$11)</f>
        <v>4.0990000000000002</v>
      </c>
      <c r="G45" s="8">
        <f>CHOOSE( CONTROL!$C$32, 3.2766, 3.2742) * CHOOSE( CONTROL!$C$15, $D$11, 100%, $F$11)</f>
        <v>3.2766000000000002</v>
      </c>
      <c r="H45" s="4">
        <f>CHOOSE( CONTROL!$C$32, 4.2418, 4.2394) * CHOOSE(CONTROL!$C$15, $D$11, 100%, $F$11)</f>
        <v>4.2417999999999996</v>
      </c>
      <c r="I45" s="8">
        <f>CHOOSE( CONTROL!$C$32, 3.3221, 3.3198) * CHOOSE(CONTROL!$C$15, $D$11, 100%, $F$11)</f>
        <v>3.3220999999999998</v>
      </c>
      <c r="J45" s="4">
        <f>CHOOSE( CONTROL!$C$32, 3.2113, 3.209) * CHOOSE(CONTROL!$C$15, $D$11, 100%, $F$11)</f>
        <v>3.2113</v>
      </c>
      <c r="K45" s="4"/>
      <c r="L45" s="9">
        <v>30.7165</v>
      </c>
      <c r="M45" s="9">
        <v>12.063700000000001</v>
      </c>
      <c r="N45" s="9">
        <v>4.9444999999999997</v>
      </c>
      <c r="O45" s="9">
        <v>0.37409999999999999</v>
      </c>
      <c r="P45" s="9">
        <v>2.1017999999999999</v>
      </c>
      <c r="Q45" s="9">
        <v>25.076499999999999</v>
      </c>
      <c r="R45" s="9"/>
      <c r="S45" s="11"/>
    </row>
    <row r="46" spans="1:19" ht="15" customHeight="1">
      <c r="A46" s="13">
        <v>42887</v>
      </c>
      <c r="B46" s="8">
        <f>CHOOSE( CONTROL!$C$32, 3.3993, 3.3969) * CHOOSE(CONTROL!$C$15, $D$11, 100%, $F$11)</f>
        <v>3.3993000000000002</v>
      </c>
      <c r="C46" s="8">
        <f>CHOOSE( CONTROL!$C$32, 3.4098, 3.4074) * CHOOSE(CONTROL!$C$15, $D$11, 100%, $F$11)</f>
        <v>3.4098000000000002</v>
      </c>
      <c r="D46" s="8">
        <f>CHOOSE( CONTROL!$C$32, 3.4192, 3.4168) * CHOOSE( CONTROL!$C$15, $D$11, 100%, $F$11)</f>
        <v>3.4192</v>
      </c>
      <c r="E46" s="12">
        <f>CHOOSE( CONTROL!$C$32, 3.4142, 3.4118) * CHOOSE( CONTROL!$C$15, $D$11, 100%, $F$11)</f>
        <v>3.4142000000000001</v>
      </c>
      <c r="F46" s="4">
        <f>CHOOSE( CONTROL!$C$32, 4.1386, 4.1362) * CHOOSE(CONTROL!$C$15, $D$11, 100%, $F$11)</f>
        <v>4.1386000000000003</v>
      </c>
      <c r="G46" s="8">
        <f>CHOOSE( CONTROL!$C$32, 3.3156, 3.3132) * CHOOSE( CONTROL!$C$15, $D$11, 100%, $F$11)</f>
        <v>3.3155999999999999</v>
      </c>
      <c r="H46" s="4">
        <f>CHOOSE( CONTROL!$C$32, 4.2805, 4.2781) * CHOOSE(CONTROL!$C$15, $D$11, 100%, $F$11)</f>
        <v>4.2805</v>
      </c>
      <c r="I46" s="8">
        <f>CHOOSE( CONTROL!$C$32, 3.3611, 3.3588) * CHOOSE(CONTROL!$C$15, $D$11, 100%, $F$11)</f>
        <v>3.3611</v>
      </c>
      <c r="J46" s="4">
        <f>CHOOSE( CONTROL!$C$32, 3.2493, 3.247) * CHOOSE(CONTROL!$C$15, $D$11, 100%, $F$11)</f>
        <v>3.2492999999999999</v>
      </c>
      <c r="K46" s="4"/>
      <c r="L46" s="9">
        <v>29.7257</v>
      </c>
      <c r="M46" s="9">
        <v>11.6745</v>
      </c>
      <c r="N46" s="9">
        <v>4.7850000000000001</v>
      </c>
      <c r="O46" s="9">
        <v>0.36199999999999999</v>
      </c>
      <c r="P46" s="9">
        <v>2.0339999999999998</v>
      </c>
      <c r="Q46" s="9">
        <v>24.267600000000002</v>
      </c>
      <c r="R46" s="9"/>
      <c r="S46" s="11"/>
    </row>
    <row r="47" spans="1:19" ht="15" customHeight="1">
      <c r="A47" s="13">
        <v>42917</v>
      </c>
      <c r="B47" s="8">
        <f>CHOOSE( CONTROL!$C$32, 3.442, 3.4396) * CHOOSE(CONTROL!$C$15, $D$11, 100%, $F$11)</f>
        <v>3.4420000000000002</v>
      </c>
      <c r="C47" s="8">
        <f>CHOOSE( CONTROL!$C$32, 3.4525, 3.4501) * CHOOSE(CONTROL!$C$15, $D$11, 100%, $F$11)</f>
        <v>3.4525000000000001</v>
      </c>
      <c r="D47" s="8">
        <f>CHOOSE( CONTROL!$C$32, 3.4622, 3.4598) * CHOOSE( CONTROL!$C$15, $D$11, 100%, $F$11)</f>
        <v>3.4622000000000002</v>
      </c>
      <c r="E47" s="12">
        <f>CHOOSE( CONTROL!$C$32, 3.4571, 3.4547) * CHOOSE( CONTROL!$C$15, $D$11, 100%, $F$11)</f>
        <v>3.4571000000000001</v>
      </c>
      <c r="F47" s="4">
        <f>CHOOSE( CONTROL!$C$32, 4.1813, 4.1789) * CHOOSE(CONTROL!$C$15, $D$11, 100%, $F$11)</f>
        <v>4.1813000000000002</v>
      </c>
      <c r="G47" s="8">
        <f>CHOOSE( CONTROL!$C$32, 3.3576, 3.3553) * CHOOSE( CONTROL!$C$15, $D$11, 100%, $F$11)</f>
        <v>3.3576000000000001</v>
      </c>
      <c r="H47" s="4">
        <f>CHOOSE( CONTROL!$C$32, 4.3222, 4.3199) * CHOOSE(CONTROL!$C$15, $D$11, 100%, $F$11)</f>
        <v>4.3221999999999996</v>
      </c>
      <c r="I47" s="8">
        <f>CHOOSE( CONTROL!$C$32, 3.4031, 3.4008) * CHOOSE(CONTROL!$C$15, $D$11, 100%, $F$11)</f>
        <v>3.4030999999999998</v>
      </c>
      <c r="J47" s="4">
        <f>CHOOSE( CONTROL!$C$32, 3.2903, 3.288) * CHOOSE(CONTROL!$C$15, $D$11, 100%, $F$11)</f>
        <v>3.2902999999999998</v>
      </c>
      <c r="K47" s="4"/>
      <c r="L47" s="9">
        <v>30.7165</v>
      </c>
      <c r="M47" s="9">
        <v>12.063700000000001</v>
      </c>
      <c r="N47" s="9">
        <v>4.9444999999999997</v>
      </c>
      <c r="O47" s="9">
        <v>0.37409999999999999</v>
      </c>
      <c r="P47" s="9">
        <v>2.1017999999999999</v>
      </c>
      <c r="Q47" s="9">
        <v>25.076499999999999</v>
      </c>
      <c r="R47" s="9"/>
      <c r="S47" s="11"/>
    </row>
    <row r="48" spans="1:19" ht="15" customHeight="1">
      <c r="A48" s="13">
        <v>42948</v>
      </c>
      <c r="B48" s="8">
        <f>CHOOSE( CONTROL!$C$32, 3.4534, 3.451) * CHOOSE(CONTROL!$C$15, $D$11, 100%, $F$11)</f>
        <v>3.4533999999999998</v>
      </c>
      <c r="C48" s="8">
        <f>CHOOSE( CONTROL!$C$32, 3.464, 3.4616) * CHOOSE(CONTROL!$C$15, $D$11, 100%, $F$11)</f>
        <v>3.464</v>
      </c>
      <c r="D48" s="8">
        <f>CHOOSE( CONTROL!$C$32, 3.4737, 3.4714) * CHOOSE( CONTROL!$C$15, $D$11, 100%, $F$11)</f>
        <v>3.4737</v>
      </c>
      <c r="E48" s="12">
        <f>CHOOSE( CONTROL!$C$32, 3.4686, 3.4662) * CHOOSE( CONTROL!$C$15, $D$11, 100%, $F$11)</f>
        <v>3.4685999999999999</v>
      </c>
      <c r="F48" s="4">
        <f>CHOOSE( CONTROL!$C$32, 4.1928, 4.1904) * CHOOSE(CONTROL!$C$15, $D$11, 100%, $F$11)</f>
        <v>4.1928000000000001</v>
      </c>
      <c r="G48" s="8">
        <f>CHOOSE( CONTROL!$C$32, 3.3689, 3.3666) * CHOOSE( CONTROL!$C$15, $D$11, 100%, $F$11)</f>
        <v>3.3689</v>
      </c>
      <c r="H48" s="4">
        <f>CHOOSE( CONTROL!$C$32, 4.3334, 4.3311) * CHOOSE(CONTROL!$C$15, $D$11, 100%, $F$11)</f>
        <v>4.3334000000000001</v>
      </c>
      <c r="I48" s="8">
        <f>CHOOSE( CONTROL!$C$32, 3.4144, 3.4121) * CHOOSE(CONTROL!$C$15, $D$11, 100%, $F$11)</f>
        <v>3.4144000000000001</v>
      </c>
      <c r="J48" s="4">
        <f>CHOOSE( CONTROL!$C$32, 3.3013, 3.299) * CHOOSE(CONTROL!$C$15, $D$11, 100%, $F$11)</f>
        <v>3.3012999999999999</v>
      </c>
      <c r="K48" s="4"/>
      <c r="L48" s="9">
        <v>30.7165</v>
      </c>
      <c r="M48" s="9">
        <v>12.063700000000001</v>
      </c>
      <c r="N48" s="9">
        <v>4.9444999999999997</v>
      </c>
      <c r="O48" s="9">
        <v>0.37409999999999999</v>
      </c>
      <c r="P48" s="9">
        <v>2.1017999999999999</v>
      </c>
      <c r="Q48" s="9">
        <v>25.076499999999999</v>
      </c>
      <c r="R48" s="9"/>
      <c r="S48" s="11"/>
    </row>
    <row r="49" spans="1:19" ht="15" customHeight="1">
      <c r="A49" s="13">
        <v>42979</v>
      </c>
      <c r="B49" s="8">
        <f>CHOOSE( CONTROL!$C$32, 3.4409, 3.4385) * CHOOSE(CONTROL!$C$15, $D$11, 100%, $F$11)</f>
        <v>3.4409000000000001</v>
      </c>
      <c r="C49" s="8">
        <f>CHOOSE( CONTROL!$C$32, 3.4515, 3.4491) * CHOOSE(CONTROL!$C$15, $D$11, 100%, $F$11)</f>
        <v>3.4514999999999998</v>
      </c>
      <c r="D49" s="8">
        <f>CHOOSE( CONTROL!$C$32, 3.4612, 3.4588) * CHOOSE( CONTROL!$C$15, $D$11, 100%, $F$11)</f>
        <v>3.4611999999999998</v>
      </c>
      <c r="E49" s="12">
        <f>CHOOSE( CONTROL!$C$32, 3.4561, 3.4537) * CHOOSE( CONTROL!$C$15, $D$11, 100%, $F$11)</f>
        <v>3.4561000000000002</v>
      </c>
      <c r="F49" s="4">
        <f>CHOOSE( CONTROL!$C$32, 4.1803, 4.1779) * CHOOSE(CONTROL!$C$15, $D$11, 100%, $F$11)</f>
        <v>4.1802999999999999</v>
      </c>
      <c r="G49" s="8">
        <f>CHOOSE( CONTROL!$C$32, 3.3566, 3.3543) * CHOOSE( CONTROL!$C$15, $D$11, 100%, $F$11)</f>
        <v>3.3565999999999998</v>
      </c>
      <c r="H49" s="4">
        <f>CHOOSE( CONTROL!$C$32, 4.3212, 4.3189) * CHOOSE(CONTROL!$C$15, $D$11, 100%, $F$11)</f>
        <v>4.3212000000000002</v>
      </c>
      <c r="I49" s="8">
        <f>CHOOSE( CONTROL!$C$32, 3.4021, 3.3998) * CHOOSE(CONTROL!$C$15, $D$11, 100%, $F$11)</f>
        <v>3.4020999999999999</v>
      </c>
      <c r="J49" s="4">
        <f>CHOOSE( CONTROL!$C$32, 3.2893, 3.287) * CHOOSE(CONTROL!$C$15, $D$11, 100%, $F$11)</f>
        <v>3.2892999999999999</v>
      </c>
      <c r="K49" s="4"/>
      <c r="L49" s="9">
        <v>29.7257</v>
      </c>
      <c r="M49" s="9">
        <v>11.6745</v>
      </c>
      <c r="N49" s="9">
        <v>4.7850000000000001</v>
      </c>
      <c r="O49" s="9">
        <v>0.36199999999999999</v>
      </c>
      <c r="P49" s="9">
        <v>2.0339999999999998</v>
      </c>
      <c r="Q49" s="9">
        <v>24.267600000000002</v>
      </c>
      <c r="R49" s="9"/>
      <c r="S49" s="11"/>
    </row>
    <row r="50" spans="1:19" ht="15" customHeight="1">
      <c r="A50" s="13">
        <v>43009</v>
      </c>
      <c r="B50" s="8">
        <f>3.4616 * CHOOSE(CONTROL!$C$15, $D$11, 100%, $F$11)</f>
        <v>3.4615999999999998</v>
      </c>
      <c r="C50" s="8">
        <f>3.4723 * CHOOSE(CONTROL!$C$15, $D$11, 100%, $F$11)</f>
        <v>3.4723000000000002</v>
      </c>
      <c r="D50" s="8">
        <f>3.4835 * CHOOSE( CONTROL!$C$15, $D$11, 100%, $F$11)</f>
        <v>3.4834999999999998</v>
      </c>
      <c r="E50" s="12">
        <f>3.4787 * CHOOSE( CONTROL!$C$15, $D$11, 100%, $F$11)</f>
        <v>3.4786999999999999</v>
      </c>
      <c r="F50" s="4">
        <f>4.2008 * CHOOSE(CONTROL!$C$15, $D$11, 100%, $F$11)</f>
        <v>4.2008000000000001</v>
      </c>
      <c r="G50" s="8">
        <f>3.3764 * CHOOSE( CONTROL!$C$15, $D$11, 100%, $F$11)</f>
        <v>3.3763999999999998</v>
      </c>
      <c r="H50" s="4">
        <f>4.3413 * CHOOSE(CONTROL!$C$15, $D$11, 100%, $F$11)</f>
        <v>4.3413000000000004</v>
      </c>
      <c r="I50" s="8">
        <f>3.4225 * CHOOSE(CONTROL!$C$15, $D$11, 100%, $F$11)</f>
        <v>3.4224999999999999</v>
      </c>
      <c r="J50" s="4">
        <f>3.309 * CHOOSE(CONTROL!$C$15, $D$11, 100%, $F$11)</f>
        <v>3.3090000000000002</v>
      </c>
      <c r="K50" s="4"/>
      <c r="L50" s="9">
        <v>31.095300000000002</v>
      </c>
      <c r="M50" s="9">
        <v>12.063700000000001</v>
      </c>
      <c r="N50" s="9">
        <v>4.9444999999999997</v>
      </c>
      <c r="O50" s="9">
        <v>0.37409999999999999</v>
      </c>
      <c r="P50" s="9">
        <v>2.1017999999999999</v>
      </c>
      <c r="Q50" s="9">
        <v>25.076499999999999</v>
      </c>
      <c r="R50" s="9"/>
      <c r="S50" s="11"/>
    </row>
    <row r="51" spans="1:19" ht="15" customHeight="1">
      <c r="A51" s="13">
        <v>43040</v>
      </c>
      <c r="B51" s="8">
        <f>3.5376 * CHOOSE(CONTROL!$C$15, $D$11, 100%, $F$11)</f>
        <v>3.5375999999999999</v>
      </c>
      <c r="C51" s="8">
        <f>3.5484 * CHOOSE(CONTROL!$C$15, $D$11, 100%, $F$11)</f>
        <v>3.5484</v>
      </c>
      <c r="D51" s="8">
        <f>3.5311 * CHOOSE( CONTROL!$C$15, $D$11, 100%, $F$11)</f>
        <v>3.5310999999999999</v>
      </c>
      <c r="E51" s="12">
        <f>3.5363 * CHOOSE( CONTROL!$C$15, $D$11, 100%, $F$11)</f>
        <v>3.5363000000000002</v>
      </c>
      <c r="F51" s="4">
        <f>4.1961 * CHOOSE(CONTROL!$C$15, $D$11, 100%, $F$11)</f>
        <v>4.1961000000000004</v>
      </c>
      <c r="G51" s="8">
        <f>3.4574 * CHOOSE( CONTROL!$C$15, $D$11, 100%, $F$11)</f>
        <v>3.4573999999999998</v>
      </c>
      <c r="H51" s="4">
        <f>4.3367 * CHOOSE(CONTROL!$C$15, $D$11, 100%, $F$11)</f>
        <v>4.3367000000000004</v>
      </c>
      <c r="I51" s="8">
        <f>3.5327 * CHOOSE(CONTROL!$C$15, $D$11, 100%, $F$11)</f>
        <v>3.5327000000000002</v>
      </c>
      <c r="J51" s="4">
        <f>3.382 * CHOOSE(CONTROL!$C$15, $D$11, 100%, $F$11)</f>
        <v>3.3820000000000001</v>
      </c>
      <c r="K51" s="4"/>
      <c r="L51" s="9">
        <v>28.360600000000002</v>
      </c>
      <c r="M51" s="9">
        <v>11.6745</v>
      </c>
      <c r="N51" s="9">
        <v>4.7850000000000001</v>
      </c>
      <c r="O51" s="9">
        <v>0.36199999999999999</v>
      </c>
      <c r="P51" s="9">
        <v>1.2509999999999999</v>
      </c>
      <c r="Q51" s="9">
        <v>24.267600000000002</v>
      </c>
      <c r="R51" s="9"/>
      <c r="S51" s="11"/>
    </row>
    <row r="52" spans="1:19" ht="15" customHeight="1">
      <c r="A52" s="13">
        <v>43070</v>
      </c>
      <c r="B52" s="8">
        <f>3.7168 * CHOOSE(CONTROL!$C$15, $D$11, 100%, $F$11)</f>
        <v>3.7168000000000001</v>
      </c>
      <c r="C52" s="8">
        <f>3.7275 * CHOOSE(CONTROL!$C$15, $D$11, 100%, $F$11)</f>
        <v>3.7275</v>
      </c>
      <c r="D52" s="8">
        <f>3.712 * CHOOSE( CONTROL!$C$15, $D$11, 100%, $F$11)</f>
        <v>3.7120000000000002</v>
      </c>
      <c r="E52" s="12">
        <f>3.7165 * CHOOSE( CONTROL!$C$15, $D$11, 100%, $F$11)</f>
        <v>3.7164999999999999</v>
      </c>
      <c r="F52" s="4">
        <f>4.3753 * CHOOSE(CONTROL!$C$15, $D$11, 100%, $F$11)</f>
        <v>4.3753000000000002</v>
      </c>
      <c r="G52" s="8">
        <f>3.6338 * CHOOSE( CONTROL!$C$15, $D$11, 100%, $F$11)</f>
        <v>3.6337999999999999</v>
      </c>
      <c r="H52" s="4">
        <f>4.5118 * CHOOSE(CONTROL!$C$15, $D$11, 100%, $F$11)</f>
        <v>4.5118</v>
      </c>
      <c r="I52" s="8">
        <f>3.71 * CHOOSE(CONTROL!$C$15, $D$11, 100%, $F$11)</f>
        <v>3.71</v>
      </c>
      <c r="J52" s="4">
        <f>3.554 * CHOOSE(CONTROL!$C$15, $D$11, 100%, $F$11)</f>
        <v>3.5539999999999998</v>
      </c>
      <c r="K52" s="4"/>
      <c r="L52" s="9">
        <v>29.306000000000001</v>
      </c>
      <c r="M52" s="9">
        <v>12.063700000000001</v>
      </c>
      <c r="N52" s="9">
        <v>4.9444999999999997</v>
      </c>
      <c r="O52" s="9">
        <v>0.37409999999999999</v>
      </c>
      <c r="P52" s="9">
        <v>1.2927</v>
      </c>
      <c r="Q52" s="9">
        <v>25.076499999999999</v>
      </c>
      <c r="R52" s="9"/>
      <c r="S52" s="11"/>
    </row>
    <row r="53" spans="1:19" ht="15" customHeight="1">
      <c r="A53" s="13">
        <v>43101</v>
      </c>
      <c r="B53" s="8">
        <f>4.2441 * CHOOSE(CONTROL!$C$15, $D$11, 100%, $F$11)</f>
        <v>4.2441000000000004</v>
      </c>
      <c r="C53" s="8">
        <f>4.2548 * CHOOSE(CONTROL!$C$15, $D$11, 100%, $F$11)</f>
        <v>4.2548000000000004</v>
      </c>
      <c r="D53" s="8">
        <f>4.2362 * CHOOSE( CONTROL!$C$15, $D$11, 100%, $F$11)</f>
        <v>4.2362000000000002</v>
      </c>
      <c r="E53" s="12">
        <f>4.2419 * CHOOSE( CONTROL!$C$15, $D$11, 100%, $F$11)</f>
        <v>4.2419000000000002</v>
      </c>
      <c r="F53" s="4">
        <f>4.9026 * CHOOSE(CONTROL!$C$15, $D$11, 100%, $F$11)</f>
        <v>4.9025999999999996</v>
      </c>
      <c r="G53" s="8">
        <f>4.1418 * CHOOSE( CONTROL!$C$15, $D$11, 100%, $F$11)</f>
        <v>4.1417999999999999</v>
      </c>
      <c r="H53" s="4">
        <f>5.0274 * CHOOSE(CONTROL!$C$15, $D$11, 100%, $F$11)</f>
        <v>5.0274000000000001</v>
      </c>
      <c r="I53" s="8">
        <f>4.1814 * CHOOSE(CONTROL!$C$15, $D$11, 100%, $F$11)</f>
        <v>4.1814</v>
      </c>
      <c r="J53" s="4">
        <f>4.0603 * CHOOSE(CONTROL!$C$15, $D$11, 100%, $F$11)</f>
        <v>4.0602999999999998</v>
      </c>
      <c r="K53" s="4"/>
      <c r="L53" s="9">
        <v>29.306000000000001</v>
      </c>
      <c r="M53" s="9">
        <v>12.063700000000001</v>
      </c>
      <c r="N53" s="9">
        <v>4.9444999999999997</v>
      </c>
      <c r="O53" s="9">
        <v>0.37409999999999999</v>
      </c>
      <c r="P53" s="9">
        <v>1.2927</v>
      </c>
      <c r="Q53" s="9">
        <v>24.901700000000002</v>
      </c>
      <c r="R53" s="9"/>
      <c r="S53" s="11"/>
    </row>
    <row r="54" spans="1:19" ht="15" customHeight="1">
      <c r="A54" s="13">
        <v>43132</v>
      </c>
      <c r="B54" s="8">
        <f>3.9707 * CHOOSE(CONTROL!$C$15, $D$11, 100%, $F$11)</f>
        <v>3.9706999999999999</v>
      </c>
      <c r="C54" s="8">
        <f>3.9814 * CHOOSE(CONTROL!$C$15, $D$11, 100%, $F$11)</f>
        <v>3.9813999999999998</v>
      </c>
      <c r="D54" s="8">
        <f>3.9627 * CHOOSE( CONTROL!$C$15, $D$11, 100%, $F$11)</f>
        <v>3.9626999999999999</v>
      </c>
      <c r="E54" s="12">
        <f>3.9684 * CHOOSE( CONTROL!$C$15, $D$11, 100%, $F$11)</f>
        <v>3.9683999999999999</v>
      </c>
      <c r="F54" s="4">
        <f>4.6292 * CHOOSE(CONTROL!$C$15, $D$11, 100%, $F$11)</f>
        <v>4.6292</v>
      </c>
      <c r="G54" s="8">
        <f>3.8744 * CHOOSE( CONTROL!$C$15, $D$11, 100%, $F$11)</f>
        <v>3.8744000000000001</v>
      </c>
      <c r="H54" s="4">
        <f>4.7601 * CHOOSE(CONTROL!$C$15, $D$11, 100%, $F$11)</f>
        <v>4.7601000000000004</v>
      </c>
      <c r="I54" s="8">
        <f>3.9185 * CHOOSE(CONTROL!$C$15, $D$11, 100%, $F$11)</f>
        <v>3.9184999999999999</v>
      </c>
      <c r="J54" s="4">
        <f>3.7978 * CHOOSE(CONTROL!$C$15, $D$11, 100%, $F$11)</f>
        <v>3.7978000000000001</v>
      </c>
      <c r="K54" s="4"/>
      <c r="L54" s="9">
        <v>26.469899999999999</v>
      </c>
      <c r="M54" s="9">
        <v>10.8962</v>
      </c>
      <c r="N54" s="9">
        <v>4.4660000000000002</v>
      </c>
      <c r="O54" s="9">
        <v>0.33789999999999998</v>
      </c>
      <c r="P54" s="9">
        <v>1.1676</v>
      </c>
      <c r="Q54" s="9">
        <v>22.491800000000001</v>
      </c>
      <c r="R54" s="9"/>
      <c r="S54" s="11"/>
    </row>
    <row r="55" spans="1:19" ht="15" customHeight="1">
      <c r="A55" s="13">
        <v>43160</v>
      </c>
      <c r="B55" s="8">
        <f>3.8865 * CHOOSE(CONTROL!$C$15, $D$11, 100%, $F$11)</f>
        <v>3.8864999999999998</v>
      </c>
      <c r="C55" s="8">
        <f>3.8972 * CHOOSE(CONTROL!$C$15, $D$11, 100%, $F$11)</f>
        <v>3.8972000000000002</v>
      </c>
      <c r="D55" s="8">
        <f>3.878 * CHOOSE( CONTROL!$C$15, $D$11, 100%, $F$11)</f>
        <v>3.8780000000000001</v>
      </c>
      <c r="E55" s="12">
        <f>3.8839 * CHOOSE( CONTROL!$C$15, $D$11, 100%, $F$11)</f>
        <v>3.8839000000000001</v>
      </c>
      <c r="F55" s="4">
        <f>4.545 * CHOOSE(CONTROL!$C$15, $D$11, 100%, $F$11)</f>
        <v>4.5449999999999999</v>
      </c>
      <c r="G55" s="8">
        <f>3.7917 * CHOOSE( CONTROL!$C$15, $D$11, 100%, $F$11)</f>
        <v>3.7917000000000001</v>
      </c>
      <c r="H55" s="4">
        <f>4.6777 * CHOOSE(CONTROL!$C$15, $D$11, 100%, $F$11)</f>
        <v>4.6776999999999997</v>
      </c>
      <c r="I55" s="8">
        <f>3.8361 * CHOOSE(CONTROL!$C$15, $D$11, 100%, $F$11)</f>
        <v>3.8361000000000001</v>
      </c>
      <c r="J55" s="4">
        <f>3.7169 * CHOOSE(CONTROL!$C$15, $D$11, 100%, $F$11)</f>
        <v>3.7168999999999999</v>
      </c>
      <c r="K55" s="4"/>
      <c r="L55" s="9">
        <v>29.306000000000001</v>
      </c>
      <c r="M55" s="9">
        <v>12.063700000000001</v>
      </c>
      <c r="N55" s="9">
        <v>4.9444999999999997</v>
      </c>
      <c r="O55" s="9">
        <v>0.37409999999999999</v>
      </c>
      <c r="P55" s="9">
        <v>1.2927</v>
      </c>
      <c r="Q55" s="9">
        <v>24.901700000000002</v>
      </c>
      <c r="R55" s="9"/>
      <c r="S55" s="11"/>
    </row>
    <row r="56" spans="1:19" ht="15" customHeight="1">
      <c r="A56" s="13">
        <v>43191</v>
      </c>
      <c r="B56" s="8">
        <f>3.9452 * CHOOSE(CONTROL!$C$15, $D$11, 100%, $F$11)</f>
        <v>3.9451999999999998</v>
      </c>
      <c r="C56" s="8">
        <f>3.956 * CHOOSE(CONTROL!$C$15, $D$11, 100%, $F$11)</f>
        <v>3.956</v>
      </c>
      <c r="D56" s="8">
        <f>3.993 * CHOOSE( CONTROL!$C$15, $D$11, 100%, $F$11)</f>
        <v>3.9929999999999999</v>
      </c>
      <c r="E56" s="12">
        <f>3.9795 * CHOOSE( CONTROL!$C$15, $D$11, 100%, $F$11)</f>
        <v>3.9794999999999998</v>
      </c>
      <c r="F56" s="4">
        <f>4.6845 * CHOOSE(CONTROL!$C$15, $D$11, 100%, $F$11)</f>
        <v>4.6844999999999999</v>
      </c>
      <c r="G56" s="8">
        <f>3.8485 * CHOOSE( CONTROL!$C$15, $D$11, 100%, $F$11)</f>
        <v>3.8485</v>
      </c>
      <c r="H56" s="4">
        <f>4.8142 * CHOOSE(CONTROL!$C$15, $D$11, 100%, $F$11)</f>
        <v>4.8141999999999996</v>
      </c>
      <c r="I56" s="8">
        <f>3.8845 * CHOOSE(CONTROL!$C$15, $D$11, 100%, $F$11)</f>
        <v>3.8845000000000001</v>
      </c>
      <c r="J56" s="4">
        <f>3.7734 * CHOOSE(CONTROL!$C$15, $D$11, 100%, $F$11)</f>
        <v>3.7734000000000001</v>
      </c>
      <c r="K56" s="4"/>
      <c r="L56" s="9">
        <v>30.092199999999998</v>
      </c>
      <c r="M56" s="9">
        <v>11.6745</v>
      </c>
      <c r="N56" s="9">
        <v>4.7850000000000001</v>
      </c>
      <c r="O56" s="9">
        <v>0.36199999999999999</v>
      </c>
      <c r="P56" s="9">
        <v>1.1791</v>
      </c>
      <c r="Q56" s="9">
        <v>24.098400000000002</v>
      </c>
      <c r="R56" s="9"/>
      <c r="S56" s="11"/>
    </row>
    <row r="57" spans="1:19" ht="15" customHeight="1">
      <c r="A57" s="13">
        <v>43221</v>
      </c>
      <c r="B57" s="8">
        <f>CHOOSE( CONTROL!$C$32, 4.0523, 4.0499) * CHOOSE(CONTROL!$C$15, $D$11, 100%, $F$11)</f>
        <v>4.0522999999999998</v>
      </c>
      <c r="C57" s="8">
        <f>CHOOSE( CONTROL!$C$32, 4.0628, 4.0604) * CHOOSE(CONTROL!$C$15, $D$11, 100%, $F$11)</f>
        <v>4.0628000000000002</v>
      </c>
      <c r="D57" s="8">
        <f>CHOOSE( CONTROL!$C$32, 4.0987, 4.0963) * CHOOSE( CONTROL!$C$15, $D$11, 100%, $F$11)</f>
        <v>4.0987</v>
      </c>
      <c r="E57" s="12">
        <f>CHOOSE( CONTROL!$C$32, 4.0841, 4.0817) * CHOOSE( CONTROL!$C$15, $D$11, 100%, $F$11)</f>
        <v>4.0841000000000003</v>
      </c>
      <c r="F57" s="4">
        <f>CHOOSE( CONTROL!$C$32, 4.7916, 4.7892) * CHOOSE(CONTROL!$C$15, $D$11, 100%, $F$11)</f>
        <v>4.7915999999999999</v>
      </c>
      <c r="G57" s="8">
        <f>CHOOSE( CONTROL!$C$32, 3.9537, 3.9514) * CHOOSE( CONTROL!$C$15, $D$11, 100%, $F$11)</f>
        <v>3.9537</v>
      </c>
      <c r="H57" s="4">
        <f>CHOOSE( CONTROL!$C$32, 4.9189, 4.9166) * CHOOSE(CONTROL!$C$15, $D$11, 100%, $F$11)</f>
        <v>4.9188999999999998</v>
      </c>
      <c r="I57" s="8">
        <f>CHOOSE( CONTROL!$C$32, 3.9874, 3.9851) * CHOOSE(CONTROL!$C$15, $D$11, 100%, $F$11)</f>
        <v>3.9874000000000001</v>
      </c>
      <c r="J57" s="4">
        <f>CHOOSE( CONTROL!$C$32, 3.8763, 3.874) * CHOOSE(CONTROL!$C$15, $D$11, 100%, $F$11)</f>
        <v>3.8763000000000001</v>
      </c>
      <c r="K57" s="4"/>
      <c r="L57" s="9">
        <v>30.7165</v>
      </c>
      <c r="M57" s="9">
        <v>12.063700000000001</v>
      </c>
      <c r="N57" s="9">
        <v>4.9444999999999997</v>
      </c>
      <c r="O57" s="9">
        <v>0.37409999999999999</v>
      </c>
      <c r="P57" s="9">
        <v>1.2183999999999999</v>
      </c>
      <c r="Q57" s="9">
        <v>24.901700000000002</v>
      </c>
      <c r="R57" s="9"/>
      <c r="S57" s="11"/>
    </row>
    <row r="58" spans="1:19" ht="15" customHeight="1">
      <c r="A58" s="13">
        <v>43252</v>
      </c>
      <c r="B58" s="8">
        <f>CHOOSE( CONTROL!$C$32, 3.9874, 3.985) * CHOOSE(CONTROL!$C$15, $D$11, 100%, $F$11)</f>
        <v>3.9874000000000001</v>
      </c>
      <c r="C58" s="8">
        <f>CHOOSE( CONTROL!$C$32, 3.998, 3.9956) * CHOOSE(CONTROL!$C$15, $D$11, 100%, $F$11)</f>
        <v>3.9980000000000002</v>
      </c>
      <c r="D58" s="8">
        <f>CHOOSE( CONTROL!$C$32, 4.034, 4.0316) * CHOOSE( CONTROL!$C$15, $D$11, 100%, $F$11)</f>
        <v>4.0339999999999998</v>
      </c>
      <c r="E58" s="12">
        <f>CHOOSE( CONTROL!$C$32, 4.0193, 4.0169) * CHOOSE( CONTROL!$C$15, $D$11, 100%, $F$11)</f>
        <v>4.0193000000000003</v>
      </c>
      <c r="F58" s="4">
        <f>CHOOSE( CONTROL!$C$32, 4.7268, 4.7244) * CHOOSE(CONTROL!$C$15, $D$11, 100%, $F$11)</f>
        <v>4.7267999999999999</v>
      </c>
      <c r="G58" s="8">
        <f>CHOOSE( CONTROL!$C$32, 3.8906, 3.8882) * CHOOSE( CONTROL!$C$15, $D$11, 100%, $F$11)</f>
        <v>3.8906000000000001</v>
      </c>
      <c r="H58" s="4">
        <f>CHOOSE( CONTROL!$C$32, 4.8555, 4.8531) * CHOOSE(CONTROL!$C$15, $D$11, 100%, $F$11)</f>
        <v>4.8555000000000001</v>
      </c>
      <c r="I58" s="8">
        <f>CHOOSE( CONTROL!$C$32, 3.926, 3.9237) * CHOOSE(CONTROL!$C$15, $D$11, 100%, $F$11)</f>
        <v>3.9260000000000002</v>
      </c>
      <c r="J58" s="4">
        <f>CHOOSE( CONTROL!$C$32, 3.814, 3.8117) * CHOOSE(CONTROL!$C$15, $D$11, 100%, $F$11)</f>
        <v>3.8140000000000001</v>
      </c>
      <c r="K58" s="4"/>
      <c r="L58" s="9">
        <v>29.7257</v>
      </c>
      <c r="M58" s="9">
        <v>11.6745</v>
      </c>
      <c r="N58" s="9">
        <v>4.7850000000000001</v>
      </c>
      <c r="O58" s="9">
        <v>0.36199999999999999</v>
      </c>
      <c r="P58" s="9">
        <v>1.1791</v>
      </c>
      <c r="Q58" s="9">
        <v>24.098400000000002</v>
      </c>
      <c r="R58" s="9"/>
      <c r="S58" s="11"/>
    </row>
    <row r="59" spans="1:19" ht="15" customHeight="1">
      <c r="A59" s="13">
        <v>43282</v>
      </c>
      <c r="B59" s="8">
        <f>CHOOSE( CONTROL!$C$32, 4.1582, 4.1558) * CHOOSE(CONTROL!$C$15, $D$11, 100%, $F$11)</f>
        <v>4.1581999999999999</v>
      </c>
      <c r="C59" s="8">
        <f>CHOOSE( CONTROL!$C$32, 4.1688, 4.1664) * CHOOSE(CONTROL!$C$15, $D$11, 100%, $F$11)</f>
        <v>4.1688000000000001</v>
      </c>
      <c r="D59" s="8">
        <f>CHOOSE( CONTROL!$C$32, 4.205, 4.2027) * CHOOSE( CONTROL!$C$15, $D$11, 100%, $F$11)</f>
        <v>4.2050000000000001</v>
      </c>
      <c r="E59" s="12">
        <f>CHOOSE( CONTROL!$C$32, 4.1903, 4.1879) * CHOOSE( CONTROL!$C$15, $D$11, 100%, $F$11)</f>
        <v>4.1902999999999997</v>
      </c>
      <c r="F59" s="4">
        <f>CHOOSE( CONTROL!$C$32, 4.8976, 4.8952) * CHOOSE(CONTROL!$C$15, $D$11, 100%, $F$11)</f>
        <v>4.8975999999999997</v>
      </c>
      <c r="G59" s="8">
        <f>CHOOSE( CONTROL!$C$32, 4.0579, 4.0556) * CHOOSE( CONTROL!$C$15, $D$11, 100%, $F$11)</f>
        <v>4.0579000000000001</v>
      </c>
      <c r="H59" s="4">
        <f>CHOOSE( CONTROL!$C$32, 5.0225, 5.0202) * CHOOSE(CONTROL!$C$15, $D$11, 100%, $F$11)</f>
        <v>5.0225</v>
      </c>
      <c r="I59" s="8">
        <f>CHOOSE( CONTROL!$C$32, 4.0912, 4.0889) * CHOOSE(CONTROL!$C$15, $D$11, 100%, $F$11)</f>
        <v>4.0911999999999997</v>
      </c>
      <c r="J59" s="4">
        <f>CHOOSE( CONTROL!$C$32, 3.978, 3.9757) * CHOOSE(CONTROL!$C$15, $D$11, 100%, $F$11)</f>
        <v>3.9780000000000002</v>
      </c>
      <c r="K59" s="4"/>
      <c r="L59" s="9">
        <v>30.7165</v>
      </c>
      <c r="M59" s="9">
        <v>12.063700000000001</v>
      </c>
      <c r="N59" s="9">
        <v>4.9444999999999997</v>
      </c>
      <c r="O59" s="9">
        <v>0.37409999999999999</v>
      </c>
      <c r="P59" s="9">
        <v>1.2183999999999999</v>
      </c>
      <c r="Q59" s="9">
        <v>24.901700000000002</v>
      </c>
      <c r="R59" s="9"/>
      <c r="S59" s="11"/>
    </row>
    <row r="60" spans="1:19" ht="15" customHeight="1">
      <c r="A60" s="13">
        <v>43313</v>
      </c>
      <c r="B60" s="8">
        <f>CHOOSE( CONTROL!$C$32, 3.8386, 3.8362) * CHOOSE(CONTROL!$C$15, $D$11, 100%, $F$11)</f>
        <v>3.8386</v>
      </c>
      <c r="C60" s="8">
        <f>CHOOSE( CONTROL!$C$32, 3.8491, 3.8468) * CHOOSE(CONTROL!$C$15, $D$11, 100%, $F$11)</f>
        <v>3.8491</v>
      </c>
      <c r="D60" s="8">
        <f>CHOOSE( CONTROL!$C$32, 3.8854, 3.8831) * CHOOSE( CONTROL!$C$15, $D$11, 100%, $F$11)</f>
        <v>3.8854000000000002</v>
      </c>
      <c r="E60" s="12">
        <f>CHOOSE( CONTROL!$C$32, 3.8706, 3.8683) * CHOOSE( CONTROL!$C$15, $D$11, 100%, $F$11)</f>
        <v>3.8706</v>
      </c>
      <c r="F60" s="4">
        <f>CHOOSE( CONTROL!$C$32, 4.5779, 4.5755) * CHOOSE(CONTROL!$C$15, $D$11, 100%, $F$11)</f>
        <v>4.5778999999999996</v>
      </c>
      <c r="G60" s="8">
        <f>CHOOSE( CONTROL!$C$32, 3.7455, 3.7432) * CHOOSE( CONTROL!$C$15, $D$11, 100%, $F$11)</f>
        <v>3.7454999999999998</v>
      </c>
      <c r="H60" s="4">
        <f>CHOOSE( CONTROL!$C$32, 4.71, 4.7076) * CHOOSE(CONTROL!$C$15, $D$11, 100%, $F$11)</f>
        <v>4.71</v>
      </c>
      <c r="I60" s="8">
        <f>CHOOSE( CONTROL!$C$32, 3.7843, 3.782) * CHOOSE(CONTROL!$C$15, $D$11, 100%, $F$11)</f>
        <v>3.7843</v>
      </c>
      <c r="J60" s="4">
        <f>CHOOSE( CONTROL!$C$32, 3.6711, 3.6688) * CHOOSE(CONTROL!$C$15, $D$11, 100%, $F$11)</f>
        <v>3.6711</v>
      </c>
      <c r="K60" s="4"/>
      <c r="L60" s="9">
        <v>30.7165</v>
      </c>
      <c r="M60" s="9">
        <v>12.063700000000001</v>
      </c>
      <c r="N60" s="9">
        <v>4.9444999999999997</v>
      </c>
      <c r="O60" s="9">
        <v>0.37409999999999999</v>
      </c>
      <c r="P60" s="9">
        <v>1.2183999999999999</v>
      </c>
      <c r="Q60" s="9">
        <v>24.901700000000002</v>
      </c>
      <c r="R60" s="9"/>
      <c r="S60" s="11"/>
    </row>
    <row r="61" spans="1:19" ht="15" customHeight="1">
      <c r="A61" s="13">
        <v>43344</v>
      </c>
      <c r="B61" s="8">
        <f>CHOOSE( CONTROL!$C$32, 3.7585, 3.7561) * CHOOSE(CONTROL!$C$15, $D$11, 100%, $F$11)</f>
        <v>3.7585000000000002</v>
      </c>
      <c r="C61" s="8">
        <f>CHOOSE( CONTROL!$C$32, 3.7691, 3.7667) * CHOOSE(CONTROL!$C$15, $D$11, 100%, $F$11)</f>
        <v>3.7690999999999999</v>
      </c>
      <c r="D61" s="8">
        <f>CHOOSE( CONTROL!$C$32, 3.8053, 3.8029) * CHOOSE( CONTROL!$C$15, $D$11, 100%, $F$11)</f>
        <v>3.8052999999999999</v>
      </c>
      <c r="E61" s="12">
        <f>CHOOSE( CONTROL!$C$32, 3.7906, 3.7882) * CHOOSE( CONTROL!$C$15, $D$11, 100%, $F$11)</f>
        <v>3.7906</v>
      </c>
      <c r="F61" s="4">
        <f>CHOOSE( CONTROL!$C$32, 4.4979, 4.4955) * CHOOSE(CONTROL!$C$15, $D$11, 100%, $F$11)</f>
        <v>4.4978999999999996</v>
      </c>
      <c r="G61" s="8">
        <f>CHOOSE( CONTROL!$C$32, 3.6671, 3.6648) * CHOOSE( CONTROL!$C$15, $D$11, 100%, $F$11)</f>
        <v>3.6671</v>
      </c>
      <c r="H61" s="4">
        <f>CHOOSE( CONTROL!$C$32, 4.6317, 4.6294) * CHOOSE(CONTROL!$C$15, $D$11, 100%, $F$11)</f>
        <v>4.6317000000000004</v>
      </c>
      <c r="I61" s="8">
        <f>CHOOSE( CONTROL!$C$32, 3.7072, 3.7049) * CHOOSE(CONTROL!$C$15, $D$11, 100%, $F$11)</f>
        <v>3.7071999999999998</v>
      </c>
      <c r="J61" s="4">
        <f>CHOOSE( CONTROL!$C$32, 3.5942, 3.5919) * CHOOSE(CONTROL!$C$15, $D$11, 100%, $F$11)</f>
        <v>3.5941999999999998</v>
      </c>
      <c r="K61" s="4"/>
      <c r="L61" s="9">
        <v>29.7257</v>
      </c>
      <c r="M61" s="9">
        <v>11.6745</v>
      </c>
      <c r="N61" s="9">
        <v>4.7850000000000001</v>
      </c>
      <c r="O61" s="9">
        <v>0.36199999999999999</v>
      </c>
      <c r="P61" s="9">
        <v>1.1791</v>
      </c>
      <c r="Q61" s="9">
        <v>24.098400000000002</v>
      </c>
      <c r="R61" s="9"/>
      <c r="S61" s="11"/>
    </row>
    <row r="62" spans="1:19" ht="15" customHeight="1">
      <c r="A62" s="13">
        <v>43374</v>
      </c>
      <c r="B62" s="8">
        <f>3.9225 * CHOOSE(CONTROL!$C$15, $D$11, 100%, $F$11)</f>
        <v>3.9224999999999999</v>
      </c>
      <c r="C62" s="8">
        <f>3.9332 * CHOOSE(CONTROL!$C$15, $D$11, 100%, $F$11)</f>
        <v>3.9331999999999998</v>
      </c>
      <c r="D62" s="8">
        <f>3.9708 * CHOOSE( CONTROL!$C$15, $D$11, 100%, $F$11)</f>
        <v>3.9708000000000001</v>
      </c>
      <c r="E62" s="12">
        <f>3.9572 * CHOOSE( CONTROL!$C$15, $D$11, 100%, $F$11)</f>
        <v>3.9571999999999998</v>
      </c>
      <c r="F62" s="4">
        <f>4.6617 * CHOOSE(CONTROL!$C$15, $D$11, 100%, $F$11)</f>
        <v>4.6616999999999997</v>
      </c>
      <c r="G62" s="8">
        <f>3.827 * CHOOSE( CONTROL!$C$15, $D$11, 100%, $F$11)</f>
        <v>3.827</v>
      </c>
      <c r="H62" s="4">
        <f>4.7919 * CHOOSE(CONTROL!$C$15, $D$11, 100%, $F$11)</f>
        <v>4.7919</v>
      </c>
      <c r="I62" s="8">
        <f>3.8653 * CHOOSE(CONTROL!$C$15, $D$11, 100%, $F$11)</f>
        <v>3.8653</v>
      </c>
      <c r="J62" s="4">
        <f>3.7515 * CHOOSE(CONTROL!$C$15, $D$11, 100%, $F$11)</f>
        <v>3.7515000000000001</v>
      </c>
      <c r="K62" s="4"/>
      <c r="L62" s="9">
        <v>31.095300000000002</v>
      </c>
      <c r="M62" s="9">
        <v>12.063700000000001</v>
      </c>
      <c r="N62" s="9">
        <v>4.9444999999999997</v>
      </c>
      <c r="O62" s="9">
        <v>0.37409999999999999</v>
      </c>
      <c r="P62" s="9">
        <v>1.2183999999999999</v>
      </c>
      <c r="Q62" s="9">
        <v>24.901700000000002</v>
      </c>
      <c r="R62" s="9"/>
      <c r="S62" s="11"/>
    </row>
    <row r="63" spans="1:19" ht="15" customHeight="1">
      <c r="A63" s="13">
        <v>43405</v>
      </c>
      <c r="B63" s="8">
        <f>4.2292 * CHOOSE(CONTROL!$C$15, $D$11, 100%, $F$11)</f>
        <v>4.2291999999999996</v>
      </c>
      <c r="C63" s="8">
        <f>4.24 * CHOOSE(CONTROL!$C$15, $D$11, 100%, $F$11)</f>
        <v>4.24</v>
      </c>
      <c r="D63" s="8">
        <f>4.2228 * CHOOSE( CONTROL!$C$15, $D$11, 100%, $F$11)</f>
        <v>4.2228000000000003</v>
      </c>
      <c r="E63" s="12">
        <f>4.2279 * CHOOSE( CONTROL!$C$15, $D$11, 100%, $F$11)</f>
        <v>4.2279</v>
      </c>
      <c r="F63" s="4">
        <f>4.8878 * CHOOSE(CONTROL!$C$15, $D$11, 100%, $F$11)</f>
        <v>4.8878000000000004</v>
      </c>
      <c r="G63" s="8">
        <f>4.1336 * CHOOSE( CONTROL!$C$15, $D$11, 100%, $F$11)</f>
        <v>4.1336000000000004</v>
      </c>
      <c r="H63" s="4">
        <f>5.0129 * CHOOSE(CONTROL!$C$15, $D$11, 100%, $F$11)</f>
        <v>5.0129000000000001</v>
      </c>
      <c r="I63" s="8">
        <f>4.1971 * CHOOSE(CONTROL!$C$15, $D$11, 100%, $F$11)</f>
        <v>4.1970999999999998</v>
      </c>
      <c r="J63" s="4">
        <f>4.046 * CHOOSE(CONTROL!$C$15, $D$11, 100%, $F$11)</f>
        <v>4.0460000000000003</v>
      </c>
      <c r="K63" s="4"/>
      <c r="L63" s="9">
        <v>28.360600000000002</v>
      </c>
      <c r="M63" s="9">
        <v>11.6745</v>
      </c>
      <c r="N63" s="9">
        <v>4.7850000000000001</v>
      </c>
      <c r="O63" s="9">
        <v>0.36199999999999999</v>
      </c>
      <c r="P63" s="9">
        <v>1.2509999999999999</v>
      </c>
      <c r="Q63" s="9">
        <v>24.098400000000002</v>
      </c>
      <c r="R63" s="9"/>
      <c r="S63" s="11"/>
    </row>
    <row r="64" spans="1:19" ht="15" customHeight="1">
      <c r="A64" s="13">
        <v>43435</v>
      </c>
      <c r="B64" s="8">
        <f>4.2216 * CHOOSE(CONTROL!$C$15, $D$11, 100%, $F$11)</f>
        <v>4.2215999999999996</v>
      </c>
      <c r="C64" s="8">
        <f>4.2323 * CHOOSE(CONTROL!$C$15, $D$11, 100%, $F$11)</f>
        <v>4.2323000000000004</v>
      </c>
      <c r="D64" s="8">
        <f>4.2168 * CHOOSE( CONTROL!$C$15, $D$11, 100%, $F$11)</f>
        <v>4.2168000000000001</v>
      </c>
      <c r="E64" s="12">
        <f>4.2213 * CHOOSE( CONTROL!$C$15, $D$11, 100%, $F$11)</f>
        <v>4.2213000000000003</v>
      </c>
      <c r="F64" s="4">
        <f>4.8801 * CHOOSE(CONTROL!$C$15, $D$11, 100%, $F$11)</f>
        <v>4.8800999999999997</v>
      </c>
      <c r="G64" s="8">
        <f>4.1274 * CHOOSE( CONTROL!$C$15, $D$11, 100%, $F$11)</f>
        <v>4.1273999999999997</v>
      </c>
      <c r="H64" s="4">
        <f>5.0054 * CHOOSE(CONTROL!$C$15, $D$11, 100%, $F$11)</f>
        <v>5.0053999999999998</v>
      </c>
      <c r="I64" s="8">
        <f>4.1949 * CHOOSE(CONTROL!$C$15, $D$11, 100%, $F$11)</f>
        <v>4.1948999999999996</v>
      </c>
      <c r="J64" s="4">
        <f>4.0387 * CHOOSE(CONTROL!$C$15, $D$11, 100%, $F$11)</f>
        <v>4.0387000000000004</v>
      </c>
      <c r="K64" s="4"/>
      <c r="L64" s="9">
        <v>29.306000000000001</v>
      </c>
      <c r="M64" s="9">
        <v>12.063700000000001</v>
      </c>
      <c r="N64" s="9">
        <v>4.9444999999999997</v>
      </c>
      <c r="O64" s="9">
        <v>0.37409999999999999</v>
      </c>
      <c r="P64" s="9">
        <v>1.2927</v>
      </c>
      <c r="Q64" s="9">
        <v>24.901700000000002</v>
      </c>
      <c r="R64" s="9"/>
      <c r="S64" s="11"/>
    </row>
    <row r="65" spans="1:19" ht="15" customHeight="1">
      <c r="A65" s="13">
        <v>43466</v>
      </c>
      <c r="B65" s="8">
        <f>4.4689 * CHOOSE(CONTROL!$C$15, $D$11, 100%, $F$11)</f>
        <v>4.4688999999999997</v>
      </c>
      <c r="C65" s="8">
        <f>4.4796 * CHOOSE(CONTROL!$C$15, $D$11, 100%, $F$11)</f>
        <v>4.4795999999999996</v>
      </c>
      <c r="D65" s="8">
        <f>4.461 * CHOOSE( CONTROL!$C$15, $D$11, 100%, $F$11)</f>
        <v>4.4610000000000003</v>
      </c>
      <c r="E65" s="12">
        <f>4.4667 * CHOOSE( CONTROL!$C$15, $D$11, 100%, $F$11)</f>
        <v>4.4667000000000003</v>
      </c>
      <c r="F65" s="4">
        <f>5.1274 * CHOOSE(CONTROL!$C$15, $D$11, 100%, $F$11)</f>
        <v>5.1273999999999997</v>
      </c>
      <c r="G65" s="8">
        <f>4.3616 * CHOOSE( CONTROL!$C$15, $D$11, 100%, $F$11)</f>
        <v>4.3616000000000001</v>
      </c>
      <c r="H65" s="4">
        <f>5.2472 * CHOOSE(CONTROL!$C$15, $D$11, 100%, $F$11)</f>
        <v>5.2472000000000003</v>
      </c>
      <c r="I65" s="8">
        <f>4.3973 * CHOOSE(CONTROL!$C$15, $D$11, 100%, $F$11)</f>
        <v>4.3973000000000004</v>
      </c>
      <c r="J65" s="4">
        <f>4.2761 * CHOOSE(CONTROL!$C$15, $D$11, 100%, $F$11)</f>
        <v>4.2760999999999996</v>
      </c>
      <c r="K65" s="4"/>
      <c r="L65" s="9">
        <v>29.306000000000001</v>
      </c>
      <c r="M65" s="9">
        <v>12.063700000000001</v>
      </c>
      <c r="N65" s="9">
        <v>4.9444999999999997</v>
      </c>
      <c r="O65" s="9">
        <v>0.37409999999999999</v>
      </c>
      <c r="P65" s="9">
        <v>1.2927</v>
      </c>
      <c r="Q65" s="9">
        <v>24.651199999999999</v>
      </c>
      <c r="R65" s="9"/>
      <c r="S65" s="11"/>
    </row>
    <row r="66" spans="1:19" ht="15" customHeight="1">
      <c r="A66" s="13">
        <v>43497</v>
      </c>
      <c r="B66" s="8">
        <f>4.1809 * CHOOSE(CONTROL!$C$15, $D$11, 100%, $F$11)</f>
        <v>4.1809000000000003</v>
      </c>
      <c r="C66" s="8">
        <f>4.1917 * CHOOSE(CONTROL!$C$15, $D$11, 100%, $F$11)</f>
        <v>4.1917</v>
      </c>
      <c r="D66" s="8">
        <f>4.173 * CHOOSE( CONTROL!$C$15, $D$11, 100%, $F$11)</f>
        <v>4.173</v>
      </c>
      <c r="E66" s="12">
        <f>4.1787 * CHOOSE( CONTROL!$C$15, $D$11, 100%, $F$11)</f>
        <v>4.1787000000000001</v>
      </c>
      <c r="F66" s="4">
        <f>4.8394 * CHOOSE(CONTROL!$C$15, $D$11, 100%, $F$11)</f>
        <v>4.8394000000000004</v>
      </c>
      <c r="G66" s="8">
        <f>4.08 * CHOOSE( CONTROL!$C$15, $D$11, 100%, $F$11)</f>
        <v>4.08</v>
      </c>
      <c r="H66" s="4">
        <f>4.9657 * CHOOSE(CONTROL!$C$15, $D$11, 100%, $F$11)</f>
        <v>4.9657</v>
      </c>
      <c r="I66" s="8">
        <f>4.1205 * CHOOSE(CONTROL!$C$15, $D$11, 100%, $F$11)</f>
        <v>4.1204999999999998</v>
      </c>
      <c r="J66" s="4">
        <f>3.9997 * CHOOSE(CONTROL!$C$15, $D$11, 100%, $F$11)</f>
        <v>3.9996999999999998</v>
      </c>
      <c r="K66" s="4"/>
      <c r="L66" s="9">
        <v>26.469899999999999</v>
      </c>
      <c r="M66" s="9">
        <v>10.8962</v>
      </c>
      <c r="N66" s="9">
        <v>4.4660000000000002</v>
      </c>
      <c r="O66" s="9">
        <v>0.33789999999999998</v>
      </c>
      <c r="P66" s="9">
        <v>1.1676</v>
      </c>
      <c r="Q66" s="9">
        <v>22.265599999999999</v>
      </c>
      <c r="R66" s="9"/>
      <c r="S66" s="11"/>
    </row>
    <row r="67" spans="1:19" ht="15" customHeight="1">
      <c r="A67" s="13">
        <v>43525</v>
      </c>
      <c r="B67" s="8">
        <f>4.0923 * CHOOSE(CONTROL!$C$15, $D$11, 100%, $F$11)</f>
        <v>4.0922999999999998</v>
      </c>
      <c r="C67" s="8">
        <f>4.103 * CHOOSE(CONTROL!$C$15, $D$11, 100%, $F$11)</f>
        <v>4.1029999999999998</v>
      </c>
      <c r="D67" s="8">
        <f>4.0838 * CHOOSE( CONTROL!$C$15, $D$11, 100%, $F$11)</f>
        <v>4.0838000000000001</v>
      </c>
      <c r="E67" s="12">
        <f>4.0897 * CHOOSE( CONTROL!$C$15, $D$11, 100%, $F$11)</f>
        <v>4.0896999999999997</v>
      </c>
      <c r="F67" s="4">
        <f>4.7508 * CHOOSE(CONTROL!$C$15, $D$11, 100%, $F$11)</f>
        <v>4.7507999999999999</v>
      </c>
      <c r="G67" s="8">
        <f>3.9929 * CHOOSE( CONTROL!$C$15, $D$11, 100%, $F$11)</f>
        <v>3.9929000000000001</v>
      </c>
      <c r="H67" s="4">
        <f>4.8789 * CHOOSE(CONTROL!$C$15, $D$11, 100%, $F$11)</f>
        <v>4.8788999999999998</v>
      </c>
      <c r="I67" s="8">
        <f>4.0338 * CHOOSE(CONTROL!$C$15, $D$11, 100%, $F$11)</f>
        <v>4.0338000000000003</v>
      </c>
      <c r="J67" s="4">
        <f>3.9145 * CHOOSE(CONTROL!$C$15, $D$11, 100%, $F$11)</f>
        <v>3.9144999999999999</v>
      </c>
      <c r="K67" s="4"/>
      <c r="L67" s="9">
        <v>29.306000000000001</v>
      </c>
      <c r="M67" s="9">
        <v>12.063700000000001</v>
      </c>
      <c r="N67" s="9">
        <v>4.9444999999999997</v>
      </c>
      <c r="O67" s="9">
        <v>0.37409999999999999</v>
      </c>
      <c r="P67" s="9">
        <v>1.2927</v>
      </c>
      <c r="Q67" s="9">
        <v>24.651199999999999</v>
      </c>
      <c r="R67" s="9"/>
      <c r="S67" s="11"/>
    </row>
    <row r="68" spans="1:19" ht="15" customHeight="1">
      <c r="A68" s="13">
        <v>43556</v>
      </c>
      <c r="B68" s="8">
        <f>4.1542 * CHOOSE(CONTROL!$C$15, $D$11, 100%, $F$11)</f>
        <v>4.1542000000000003</v>
      </c>
      <c r="C68" s="8">
        <f>4.165 * CHOOSE(CONTROL!$C$15, $D$11, 100%, $F$11)</f>
        <v>4.165</v>
      </c>
      <c r="D68" s="8">
        <f>4.2019 * CHOOSE( CONTROL!$C$15, $D$11, 100%, $F$11)</f>
        <v>4.2019000000000002</v>
      </c>
      <c r="E68" s="12">
        <f>4.1885 * CHOOSE( CONTROL!$C$15, $D$11, 100%, $F$11)</f>
        <v>4.1885000000000003</v>
      </c>
      <c r="F68" s="4">
        <f>4.8935 * CHOOSE(CONTROL!$C$15, $D$11, 100%, $F$11)</f>
        <v>4.8935000000000004</v>
      </c>
      <c r="G68" s="8">
        <f>4.0527 * CHOOSE( CONTROL!$C$15, $D$11, 100%, $F$11)</f>
        <v>4.0526999999999997</v>
      </c>
      <c r="H68" s="4">
        <f>5.0185 * CHOOSE(CONTROL!$C$15, $D$11, 100%, $F$11)</f>
        <v>5.0185000000000004</v>
      </c>
      <c r="I68" s="8">
        <f>4.0852 * CHOOSE(CONTROL!$C$15, $D$11, 100%, $F$11)</f>
        <v>4.0852000000000004</v>
      </c>
      <c r="J68" s="4">
        <f>3.974 * CHOOSE(CONTROL!$C$15, $D$11, 100%, $F$11)</f>
        <v>3.9740000000000002</v>
      </c>
      <c r="K68" s="4"/>
      <c r="L68" s="9">
        <v>30.092199999999998</v>
      </c>
      <c r="M68" s="9">
        <v>11.6745</v>
      </c>
      <c r="N68" s="9">
        <v>4.7850000000000001</v>
      </c>
      <c r="O68" s="9">
        <v>0.36199999999999999</v>
      </c>
      <c r="P68" s="9">
        <v>1.1791</v>
      </c>
      <c r="Q68" s="9">
        <v>23.856000000000002</v>
      </c>
      <c r="R68" s="9"/>
      <c r="S68" s="11"/>
    </row>
    <row r="69" spans="1:19" ht="15" customHeight="1">
      <c r="A69" s="13">
        <v>43586</v>
      </c>
      <c r="B69" s="8">
        <f>CHOOSE( CONTROL!$C$32, 4.2668, 4.2644) * CHOOSE(CONTROL!$C$15, $D$11, 100%, $F$11)</f>
        <v>4.2667999999999999</v>
      </c>
      <c r="C69" s="8">
        <f>CHOOSE( CONTROL!$C$32, 4.2773, 4.2749) * CHOOSE(CONTROL!$C$15, $D$11, 100%, $F$11)</f>
        <v>4.2773000000000003</v>
      </c>
      <c r="D69" s="8">
        <f>CHOOSE( CONTROL!$C$32, 4.3132, 4.3108) * CHOOSE( CONTROL!$C$15, $D$11, 100%, $F$11)</f>
        <v>4.3132000000000001</v>
      </c>
      <c r="E69" s="12">
        <f>CHOOSE( CONTROL!$C$32, 4.2986, 4.2962) * CHOOSE( CONTROL!$C$15, $D$11, 100%, $F$11)</f>
        <v>4.2986000000000004</v>
      </c>
      <c r="F69" s="4">
        <f>CHOOSE( CONTROL!$C$32, 5.0061, 5.0037) * CHOOSE(CONTROL!$C$15, $D$11, 100%, $F$11)</f>
        <v>5.0061</v>
      </c>
      <c r="G69" s="8">
        <f>CHOOSE( CONTROL!$C$32, 4.1634, 4.1611) * CHOOSE( CONTROL!$C$15, $D$11, 100%, $F$11)</f>
        <v>4.1634000000000002</v>
      </c>
      <c r="H69" s="4">
        <f>CHOOSE( CONTROL!$C$32, 5.1286, 5.1263) * CHOOSE(CONTROL!$C$15, $D$11, 100%, $F$11)</f>
        <v>5.1285999999999996</v>
      </c>
      <c r="I69" s="8">
        <f>CHOOSE( CONTROL!$C$32, 4.1935, 4.1912) * CHOOSE(CONTROL!$C$15, $D$11, 100%, $F$11)</f>
        <v>4.1935000000000002</v>
      </c>
      <c r="J69" s="4">
        <f>CHOOSE( CONTROL!$C$32, 4.0822, 4.0799) * CHOOSE(CONTROL!$C$15, $D$11, 100%, $F$11)</f>
        <v>4.0822000000000003</v>
      </c>
      <c r="K69" s="4"/>
      <c r="L69" s="9">
        <v>30.7165</v>
      </c>
      <c r="M69" s="9">
        <v>12.063700000000001</v>
      </c>
      <c r="N69" s="9">
        <v>4.9444999999999997</v>
      </c>
      <c r="O69" s="9">
        <v>0.37409999999999999</v>
      </c>
      <c r="P69" s="9">
        <v>1.2183999999999999</v>
      </c>
      <c r="Q69" s="9">
        <v>24.651199999999999</v>
      </c>
      <c r="R69" s="9"/>
      <c r="S69" s="11"/>
    </row>
    <row r="70" spans="1:19" ht="15" customHeight="1">
      <c r="A70" s="13">
        <v>43617</v>
      </c>
      <c r="B70" s="8">
        <f>CHOOSE( CONTROL!$C$32, 4.1985, 4.1961) * CHOOSE(CONTROL!$C$15, $D$11, 100%, $F$11)</f>
        <v>4.1985000000000001</v>
      </c>
      <c r="C70" s="8">
        <f>CHOOSE( CONTROL!$C$32, 4.209, 4.2066) * CHOOSE(CONTROL!$C$15, $D$11, 100%, $F$11)</f>
        <v>4.2089999999999996</v>
      </c>
      <c r="D70" s="8">
        <f>CHOOSE( CONTROL!$C$32, 4.245, 4.2427) * CHOOSE( CONTROL!$C$15, $D$11, 100%, $F$11)</f>
        <v>4.2450000000000001</v>
      </c>
      <c r="E70" s="12">
        <f>CHOOSE( CONTROL!$C$32, 4.2304, 4.228) * CHOOSE( CONTROL!$C$15, $D$11, 100%, $F$11)</f>
        <v>4.2304000000000004</v>
      </c>
      <c r="F70" s="4">
        <f>CHOOSE( CONTROL!$C$32, 4.9378, 4.9354) * CHOOSE(CONTROL!$C$15, $D$11, 100%, $F$11)</f>
        <v>4.9378000000000002</v>
      </c>
      <c r="G70" s="8">
        <f>CHOOSE( CONTROL!$C$32, 4.0969, 4.0946) * CHOOSE( CONTROL!$C$15, $D$11, 100%, $F$11)</f>
        <v>4.0968999999999998</v>
      </c>
      <c r="H70" s="4">
        <f>CHOOSE( CONTROL!$C$32, 5.0618, 5.0595) * CHOOSE(CONTROL!$C$15, $D$11, 100%, $F$11)</f>
        <v>5.0617999999999999</v>
      </c>
      <c r="I70" s="8">
        <f>CHOOSE( CONTROL!$C$32, 4.1288, 4.1265) * CHOOSE(CONTROL!$C$15, $D$11, 100%, $F$11)</f>
        <v>4.1288</v>
      </c>
      <c r="J70" s="4">
        <f>CHOOSE( CONTROL!$C$32, 4.0166, 4.0143) * CHOOSE(CONTROL!$C$15, $D$11, 100%, $F$11)</f>
        <v>4.0166000000000004</v>
      </c>
      <c r="K70" s="4"/>
      <c r="L70" s="9">
        <v>29.7257</v>
      </c>
      <c r="M70" s="9">
        <v>11.6745</v>
      </c>
      <c r="N70" s="9">
        <v>4.7850000000000001</v>
      </c>
      <c r="O70" s="9">
        <v>0.36199999999999999</v>
      </c>
      <c r="P70" s="9">
        <v>1.1791</v>
      </c>
      <c r="Q70" s="9">
        <v>23.856000000000002</v>
      </c>
      <c r="R70" s="9"/>
      <c r="S70" s="11"/>
    </row>
    <row r="71" spans="1:19" ht="15" customHeight="1">
      <c r="A71" s="13">
        <v>43647</v>
      </c>
      <c r="B71" s="8">
        <f>CHOOSE( CONTROL!$C$32, 4.3784, 4.376) * CHOOSE(CONTROL!$C$15, $D$11, 100%, $F$11)</f>
        <v>4.3784000000000001</v>
      </c>
      <c r="C71" s="8">
        <f>CHOOSE( CONTROL!$C$32, 4.3889, 4.3865) * CHOOSE(CONTROL!$C$15, $D$11, 100%, $F$11)</f>
        <v>4.3888999999999996</v>
      </c>
      <c r="D71" s="8">
        <f>CHOOSE( CONTROL!$C$32, 4.4252, 4.4228) * CHOOSE( CONTROL!$C$15, $D$11, 100%, $F$11)</f>
        <v>4.4252000000000002</v>
      </c>
      <c r="E71" s="12">
        <f>CHOOSE( CONTROL!$C$32, 4.4104, 4.408) * CHOOSE( CONTROL!$C$15, $D$11, 100%, $F$11)</f>
        <v>4.4104000000000001</v>
      </c>
      <c r="F71" s="4">
        <f>CHOOSE( CONTROL!$C$32, 5.1177, 5.1153) * CHOOSE(CONTROL!$C$15, $D$11, 100%, $F$11)</f>
        <v>5.1177000000000001</v>
      </c>
      <c r="G71" s="8">
        <f>CHOOSE( CONTROL!$C$32, 4.2732, 4.2708) * CHOOSE( CONTROL!$C$15, $D$11, 100%, $F$11)</f>
        <v>4.2732000000000001</v>
      </c>
      <c r="H71" s="4">
        <f>CHOOSE( CONTROL!$C$32, 5.2377, 5.2354) * CHOOSE(CONTROL!$C$15, $D$11, 100%, $F$11)</f>
        <v>5.2377000000000002</v>
      </c>
      <c r="I71" s="8">
        <f>CHOOSE( CONTROL!$C$32, 4.3026, 4.3003) * CHOOSE(CONTROL!$C$15, $D$11, 100%, $F$11)</f>
        <v>4.3026</v>
      </c>
      <c r="J71" s="4">
        <f>CHOOSE( CONTROL!$C$32, 4.1893, 4.187) * CHOOSE(CONTROL!$C$15, $D$11, 100%, $F$11)</f>
        <v>4.1893000000000002</v>
      </c>
      <c r="K71" s="4"/>
      <c r="L71" s="9">
        <v>30.7165</v>
      </c>
      <c r="M71" s="9">
        <v>12.063700000000001</v>
      </c>
      <c r="N71" s="9">
        <v>4.9444999999999997</v>
      </c>
      <c r="O71" s="9">
        <v>0.37409999999999999</v>
      </c>
      <c r="P71" s="9">
        <v>1.2183999999999999</v>
      </c>
      <c r="Q71" s="9">
        <v>24.651199999999999</v>
      </c>
      <c r="R71" s="9"/>
      <c r="S71" s="11"/>
    </row>
    <row r="72" spans="1:19" ht="15" customHeight="1">
      <c r="A72" s="13">
        <v>43678</v>
      </c>
      <c r="B72" s="8">
        <f>CHOOSE( CONTROL!$C$32, 4.0417, 4.0393) * CHOOSE(CONTROL!$C$15, $D$11, 100%, $F$11)</f>
        <v>4.0416999999999996</v>
      </c>
      <c r="C72" s="8">
        <f>CHOOSE( CONTROL!$C$32, 4.0523, 4.0499) * CHOOSE(CONTROL!$C$15, $D$11, 100%, $F$11)</f>
        <v>4.0522999999999998</v>
      </c>
      <c r="D72" s="8">
        <f>CHOOSE( CONTROL!$C$32, 4.0886, 4.0862) * CHOOSE( CONTROL!$C$15, $D$11, 100%, $F$11)</f>
        <v>4.0885999999999996</v>
      </c>
      <c r="E72" s="12">
        <f>CHOOSE( CONTROL!$C$32, 4.0738, 4.0714) * CHOOSE( CONTROL!$C$15, $D$11, 100%, $F$11)</f>
        <v>4.0738000000000003</v>
      </c>
      <c r="F72" s="4">
        <f>CHOOSE( CONTROL!$C$32, 4.7811, 4.7787) * CHOOSE(CONTROL!$C$15, $D$11, 100%, $F$11)</f>
        <v>4.7811000000000003</v>
      </c>
      <c r="G72" s="8">
        <f>CHOOSE( CONTROL!$C$32, 3.9441, 3.9418) * CHOOSE( CONTROL!$C$15, $D$11, 100%, $F$11)</f>
        <v>3.9441000000000002</v>
      </c>
      <c r="H72" s="4">
        <f>CHOOSE( CONTROL!$C$32, 4.9086, 4.9063) * CHOOSE(CONTROL!$C$15, $D$11, 100%, $F$11)</f>
        <v>4.9085999999999999</v>
      </c>
      <c r="I72" s="8">
        <f>CHOOSE( CONTROL!$C$32, 3.9795, 3.9772) * CHOOSE(CONTROL!$C$15, $D$11, 100%, $F$11)</f>
        <v>3.9794999999999998</v>
      </c>
      <c r="J72" s="4">
        <f>CHOOSE( CONTROL!$C$32, 3.8661, 3.8638) * CHOOSE(CONTROL!$C$15, $D$11, 100%, $F$11)</f>
        <v>3.8660999999999999</v>
      </c>
      <c r="K72" s="4"/>
      <c r="L72" s="9">
        <v>30.7165</v>
      </c>
      <c r="M72" s="9">
        <v>12.063700000000001</v>
      </c>
      <c r="N72" s="9">
        <v>4.9444999999999997</v>
      </c>
      <c r="O72" s="9">
        <v>0.37409999999999999</v>
      </c>
      <c r="P72" s="9">
        <v>1.2183999999999999</v>
      </c>
      <c r="Q72" s="9">
        <v>24.651199999999999</v>
      </c>
      <c r="R72" s="9"/>
      <c r="S72" s="11"/>
    </row>
    <row r="73" spans="1:19" ht="15" customHeight="1">
      <c r="A73" s="13">
        <v>43709</v>
      </c>
      <c r="B73" s="8">
        <f>CHOOSE( CONTROL!$C$32, 3.9574, 3.955) * CHOOSE(CONTROL!$C$15, $D$11, 100%, $F$11)</f>
        <v>3.9573999999999998</v>
      </c>
      <c r="C73" s="8">
        <f>CHOOSE( CONTROL!$C$32, 3.968, 3.9656) * CHOOSE(CONTROL!$C$15, $D$11, 100%, $F$11)</f>
        <v>3.968</v>
      </c>
      <c r="D73" s="8">
        <f>CHOOSE( CONTROL!$C$32, 4.0042, 4.0018) * CHOOSE( CONTROL!$C$15, $D$11, 100%, $F$11)</f>
        <v>4.0042</v>
      </c>
      <c r="E73" s="12">
        <f>CHOOSE( CONTROL!$C$32, 3.9895, 3.9871) * CHOOSE( CONTROL!$C$15, $D$11, 100%, $F$11)</f>
        <v>3.9895</v>
      </c>
      <c r="F73" s="4">
        <f>CHOOSE( CONTROL!$C$32, 4.6968, 4.6944) * CHOOSE(CONTROL!$C$15, $D$11, 100%, $F$11)</f>
        <v>4.6967999999999996</v>
      </c>
      <c r="G73" s="8">
        <f>CHOOSE( CONTROL!$C$32, 3.8616, 3.8593) * CHOOSE( CONTROL!$C$15, $D$11, 100%, $F$11)</f>
        <v>3.8616000000000001</v>
      </c>
      <c r="H73" s="4">
        <f>CHOOSE( CONTROL!$C$32, 4.8262, 4.8238) * CHOOSE(CONTROL!$C$15, $D$11, 100%, $F$11)</f>
        <v>4.8262</v>
      </c>
      <c r="I73" s="8">
        <f>CHOOSE( CONTROL!$C$32, 3.8982, 3.8959) * CHOOSE(CONTROL!$C$15, $D$11, 100%, $F$11)</f>
        <v>3.8982000000000001</v>
      </c>
      <c r="J73" s="4">
        <f>CHOOSE( CONTROL!$C$32, 3.7852, 3.7829) * CHOOSE(CONTROL!$C$15, $D$11, 100%, $F$11)</f>
        <v>3.7852000000000001</v>
      </c>
      <c r="K73" s="4"/>
      <c r="L73" s="9">
        <v>29.7257</v>
      </c>
      <c r="M73" s="9">
        <v>11.6745</v>
      </c>
      <c r="N73" s="9">
        <v>4.7850000000000001</v>
      </c>
      <c r="O73" s="9">
        <v>0.36199999999999999</v>
      </c>
      <c r="P73" s="9">
        <v>1.1791</v>
      </c>
      <c r="Q73" s="9">
        <v>23.856000000000002</v>
      </c>
      <c r="R73" s="9"/>
      <c r="S73" s="11"/>
    </row>
    <row r="74" spans="1:19" ht="15" customHeight="1">
      <c r="A74" s="13">
        <v>43739</v>
      </c>
      <c r="B74" s="8">
        <f>4.1302 * CHOOSE(CONTROL!$C$15, $D$11, 100%, $F$11)</f>
        <v>4.1302000000000003</v>
      </c>
      <c r="C74" s="8">
        <f>4.1409 * CHOOSE(CONTROL!$C$15, $D$11, 100%, $F$11)</f>
        <v>4.1409000000000002</v>
      </c>
      <c r="D74" s="8">
        <f>4.1785 * CHOOSE( CONTROL!$C$15, $D$11, 100%, $F$11)</f>
        <v>4.1784999999999997</v>
      </c>
      <c r="E74" s="12">
        <f>4.1649 * CHOOSE( CONTROL!$C$15, $D$11, 100%, $F$11)</f>
        <v>4.1649000000000003</v>
      </c>
      <c r="F74" s="4">
        <f>4.8694 * CHOOSE(CONTROL!$C$15, $D$11, 100%, $F$11)</f>
        <v>4.8693999999999997</v>
      </c>
      <c r="G74" s="8">
        <f>4.0301 * CHOOSE( CONTROL!$C$15, $D$11, 100%, $F$11)</f>
        <v>4.0301</v>
      </c>
      <c r="H74" s="4">
        <f>4.995 * CHOOSE(CONTROL!$C$15, $D$11, 100%, $F$11)</f>
        <v>4.9950000000000001</v>
      </c>
      <c r="I74" s="8">
        <f>4.0648 * CHOOSE(CONTROL!$C$15, $D$11, 100%, $F$11)</f>
        <v>4.0648</v>
      </c>
      <c r="J74" s="4">
        <f>3.9509 * CHOOSE(CONTROL!$C$15, $D$11, 100%, $F$11)</f>
        <v>3.9508999999999999</v>
      </c>
      <c r="K74" s="4"/>
      <c r="L74" s="9">
        <v>31.095300000000002</v>
      </c>
      <c r="M74" s="9">
        <v>12.063700000000001</v>
      </c>
      <c r="N74" s="9">
        <v>4.9444999999999997</v>
      </c>
      <c r="O74" s="9">
        <v>0.37409999999999999</v>
      </c>
      <c r="P74" s="9">
        <v>1.2183999999999999</v>
      </c>
      <c r="Q74" s="9">
        <v>24.651199999999999</v>
      </c>
      <c r="R74" s="9"/>
      <c r="S74" s="11"/>
    </row>
    <row r="75" spans="1:19" ht="15" customHeight="1">
      <c r="A75" s="13">
        <v>43770</v>
      </c>
      <c r="B75" s="8">
        <f>4.4533 * CHOOSE(CONTROL!$C$15, $D$11, 100%, $F$11)</f>
        <v>4.4532999999999996</v>
      </c>
      <c r="C75" s="8">
        <f>4.464 * CHOOSE(CONTROL!$C$15, $D$11, 100%, $F$11)</f>
        <v>4.4640000000000004</v>
      </c>
      <c r="D75" s="8">
        <f>4.4468 * CHOOSE( CONTROL!$C$15, $D$11, 100%, $F$11)</f>
        <v>4.4467999999999996</v>
      </c>
      <c r="E75" s="12">
        <f>4.4519 * CHOOSE( CONTROL!$C$15, $D$11, 100%, $F$11)</f>
        <v>4.4519000000000002</v>
      </c>
      <c r="F75" s="4">
        <f>5.1118 * CHOOSE(CONTROL!$C$15, $D$11, 100%, $F$11)</f>
        <v>5.1117999999999997</v>
      </c>
      <c r="G75" s="8">
        <f>4.3527 * CHOOSE( CONTROL!$C$15, $D$11, 100%, $F$11)</f>
        <v>4.3526999999999996</v>
      </c>
      <c r="H75" s="4">
        <f>5.2319 * CHOOSE(CONTROL!$C$15, $D$11, 100%, $F$11)</f>
        <v>5.2319000000000004</v>
      </c>
      <c r="I75" s="8">
        <f>4.4123 * CHOOSE(CONTROL!$C$15, $D$11, 100%, $F$11)</f>
        <v>4.4123000000000001</v>
      </c>
      <c r="J75" s="4">
        <f>4.2611 * CHOOSE(CONTROL!$C$15, $D$11, 100%, $F$11)</f>
        <v>4.2610999999999999</v>
      </c>
      <c r="K75" s="4"/>
      <c r="L75" s="9">
        <v>28.360600000000002</v>
      </c>
      <c r="M75" s="9">
        <v>11.6745</v>
      </c>
      <c r="N75" s="9">
        <v>4.7850000000000001</v>
      </c>
      <c r="O75" s="9">
        <v>0.36199999999999999</v>
      </c>
      <c r="P75" s="9">
        <v>1.2509999999999999</v>
      </c>
      <c r="Q75" s="9">
        <v>23.856000000000002</v>
      </c>
      <c r="R75" s="9"/>
      <c r="S75" s="11"/>
    </row>
    <row r="76" spans="1:19" ht="15.75">
      <c r="A76" s="13">
        <v>43800</v>
      </c>
      <c r="B76" s="8">
        <f>4.4452 * CHOOSE(CONTROL!$C$15, $D$11, 100%, $F$11)</f>
        <v>4.4451999999999998</v>
      </c>
      <c r="C76" s="8">
        <f>4.456 * CHOOSE(CONTROL!$C$15, $D$11, 100%, $F$11)</f>
        <v>4.4560000000000004</v>
      </c>
      <c r="D76" s="8">
        <f>4.4404 * CHOOSE( CONTROL!$C$15, $D$11, 100%, $F$11)</f>
        <v>4.4404000000000003</v>
      </c>
      <c r="E76" s="12">
        <f>4.445 * CHOOSE( CONTROL!$C$15, $D$11, 100%, $F$11)</f>
        <v>4.4450000000000003</v>
      </c>
      <c r="F76" s="4">
        <f>5.1037 * CHOOSE(CONTROL!$C$15, $D$11, 100%, $F$11)</f>
        <v>5.1036999999999999</v>
      </c>
      <c r="G76" s="8">
        <f>4.346 * CHOOSE( CONTROL!$C$15, $D$11, 100%, $F$11)</f>
        <v>4.3460000000000001</v>
      </c>
      <c r="H76" s="4">
        <f>5.224 * CHOOSE(CONTROL!$C$15, $D$11, 100%, $F$11)</f>
        <v>5.2240000000000002</v>
      </c>
      <c r="I76" s="8">
        <f>4.4097 * CHOOSE(CONTROL!$C$15, $D$11, 100%, $F$11)</f>
        <v>4.4097</v>
      </c>
      <c r="J76" s="4">
        <f>4.2534 * CHOOSE(CONTROL!$C$15, $D$11, 100%, $F$11)</f>
        <v>4.2534000000000001</v>
      </c>
      <c r="K76" s="4"/>
      <c r="L76" s="9">
        <v>29.306000000000001</v>
      </c>
      <c r="M76" s="9">
        <v>12.063700000000001</v>
      </c>
      <c r="N76" s="9">
        <v>4.9444999999999997</v>
      </c>
      <c r="O76" s="9">
        <v>0.37409999999999999</v>
      </c>
      <c r="P76" s="9">
        <v>1.2927</v>
      </c>
      <c r="Q76" s="9">
        <v>24.651199999999999</v>
      </c>
      <c r="R76" s="9"/>
      <c r="S76" s="11"/>
    </row>
    <row r="77" spans="1:19" ht="15.75">
      <c r="A77" s="13">
        <v>43831</v>
      </c>
      <c r="B77" s="8">
        <f>5.5181 * CHOOSE(CONTROL!$C$15, $D$11, 100%, $F$11)</f>
        <v>5.5180999999999996</v>
      </c>
      <c r="C77" s="8">
        <f>5.5289 * CHOOSE(CONTROL!$C$15, $D$11, 100%, $F$11)</f>
        <v>5.5289000000000001</v>
      </c>
      <c r="D77" s="8">
        <f>5.5103 * CHOOSE( CONTROL!$C$15, $D$11, 100%, $F$11)</f>
        <v>5.5103</v>
      </c>
      <c r="E77" s="12">
        <f>5.516 * CHOOSE( CONTROL!$C$15, $D$11, 100%, $F$11)</f>
        <v>5.516</v>
      </c>
      <c r="F77" s="4">
        <f>6.1766 * CHOOSE(CONTROL!$C$15, $D$11, 100%, $F$11)</f>
        <v>6.1765999999999996</v>
      </c>
      <c r="G77" s="8">
        <f>5.3874 * CHOOSE( CONTROL!$C$15, $D$11, 100%, $F$11)</f>
        <v>5.3874000000000004</v>
      </c>
      <c r="H77" s="4">
        <f>6.273 * CHOOSE(CONTROL!$C$15, $D$11, 100%, $F$11)</f>
        <v>6.2729999999999997</v>
      </c>
      <c r="I77" s="8">
        <f>5.4052 * CHOOSE(CONTROL!$C$15, $D$11, 100%, $F$11)</f>
        <v>5.4051999999999998</v>
      </c>
      <c r="J77" s="4">
        <f>5.2835 * CHOOSE(CONTROL!$C$15, $D$11, 100%, $F$11)</f>
        <v>5.2835000000000001</v>
      </c>
      <c r="K77" s="4"/>
      <c r="L77" s="9">
        <v>29.306000000000001</v>
      </c>
      <c r="M77" s="9">
        <v>12.063700000000001</v>
      </c>
      <c r="N77" s="9">
        <v>4.9444999999999997</v>
      </c>
      <c r="O77" s="9">
        <v>0.37409999999999999</v>
      </c>
      <c r="P77" s="9">
        <v>1.2927</v>
      </c>
      <c r="Q77" s="9">
        <v>22.150099999999998</v>
      </c>
      <c r="R77" s="9"/>
      <c r="S77" s="11"/>
    </row>
    <row r="78" spans="1:19" ht="15.75">
      <c r="A78" s="13">
        <v>43862</v>
      </c>
      <c r="B78" s="8">
        <f>5.1624 * CHOOSE(CONTROL!$C$15, $D$11, 100%, $F$11)</f>
        <v>5.1623999999999999</v>
      </c>
      <c r="C78" s="8">
        <f>5.1731 * CHOOSE(CONTROL!$C$15, $D$11, 100%, $F$11)</f>
        <v>5.1730999999999998</v>
      </c>
      <c r="D78" s="8">
        <f>5.1544 * CHOOSE( CONTROL!$C$15, $D$11, 100%, $F$11)</f>
        <v>5.1543999999999999</v>
      </c>
      <c r="E78" s="12">
        <f>5.1601 * CHOOSE( CONTROL!$C$15, $D$11, 100%, $F$11)</f>
        <v>5.1600999999999999</v>
      </c>
      <c r="F78" s="4">
        <f>5.8209 * CHOOSE(CONTROL!$C$15, $D$11, 100%, $F$11)</f>
        <v>5.8209</v>
      </c>
      <c r="G78" s="8">
        <f>5.0395 * CHOOSE( CONTROL!$C$15, $D$11, 100%, $F$11)</f>
        <v>5.0395000000000003</v>
      </c>
      <c r="H78" s="4">
        <f>5.9252 * CHOOSE(CONTROL!$C$15, $D$11, 100%, $F$11)</f>
        <v>5.9252000000000002</v>
      </c>
      <c r="I78" s="8">
        <f>5.0632 * CHOOSE(CONTROL!$C$15, $D$11, 100%, $F$11)</f>
        <v>5.0632000000000001</v>
      </c>
      <c r="J78" s="4">
        <f>4.9419 * CHOOSE(CONTROL!$C$15, $D$11, 100%, $F$11)</f>
        <v>4.9419000000000004</v>
      </c>
      <c r="K78" s="4"/>
      <c r="L78" s="9">
        <v>27.415299999999998</v>
      </c>
      <c r="M78" s="9">
        <v>11.285299999999999</v>
      </c>
      <c r="N78" s="9">
        <v>4.6254999999999997</v>
      </c>
      <c r="O78" s="9">
        <v>0.34989999999999999</v>
      </c>
      <c r="P78" s="9">
        <v>1.2093</v>
      </c>
      <c r="Q78" s="9">
        <v>20.7211</v>
      </c>
      <c r="R78" s="9"/>
      <c r="S78" s="11"/>
    </row>
    <row r="79" spans="1:19" ht="15.75">
      <c r="A79" s="13">
        <v>43891</v>
      </c>
      <c r="B79" s="8">
        <f>5.0528 * CHOOSE(CONTROL!$C$15, $D$11, 100%, $F$11)</f>
        <v>5.0528000000000004</v>
      </c>
      <c r="C79" s="8">
        <f>5.0636 * CHOOSE(CONTROL!$C$15, $D$11, 100%, $F$11)</f>
        <v>5.0636000000000001</v>
      </c>
      <c r="D79" s="8">
        <f>5.0444 * CHOOSE( CONTROL!$C$15, $D$11, 100%, $F$11)</f>
        <v>5.0444000000000004</v>
      </c>
      <c r="E79" s="12">
        <f>5.0503 * CHOOSE( CONTROL!$C$15, $D$11, 100%, $F$11)</f>
        <v>5.0503</v>
      </c>
      <c r="F79" s="4">
        <f>5.7113 * CHOOSE(CONTROL!$C$15, $D$11, 100%, $F$11)</f>
        <v>5.7112999999999996</v>
      </c>
      <c r="G79" s="8">
        <f>4.9321 * CHOOSE( CONTROL!$C$15, $D$11, 100%, $F$11)</f>
        <v>4.9321000000000002</v>
      </c>
      <c r="H79" s="4">
        <f>5.8181 * CHOOSE(CONTROL!$C$15, $D$11, 100%, $F$11)</f>
        <v>5.8181000000000003</v>
      </c>
      <c r="I79" s="8">
        <f>4.9565 * CHOOSE(CONTROL!$C$15, $D$11, 100%, $F$11)</f>
        <v>4.9565000000000001</v>
      </c>
      <c r="J79" s="4">
        <f>4.8367 * CHOOSE(CONTROL!$C$15, $D$11, 100%, $F$11)</f>
        <v>4.8367000000000004</v>
      </c>
      <c r="K79" s="4"/>
      <c r="L79" s="9">
        <v>29.306000000000001</v>
      </c>
      <c r="M79" s="9">
        <v>12.063700000000001</v>
      </c>
      <c r="N79" s="9">
        <v>4.9444999999999997</v>
      </c>
      <c r="O79" s="9">
        <v>0.37409999999999999</v>
      </c>
      <c r="P79" s="9">
        <v>1.2927</v>
      </c>
      <c r="Q79" s="9">
        <v>22.150099999999998</v>
      </c>
      <c r="R79" s="9"/>
      <c r="S79" s="11"/>
    </row>
    <row r="80" spans="1:19" ht="15.75">
      <c r="A80" s="13">
        <v>43922</v>
      </c>
      <c r="B80" s="8">
        <f>5.1293 * CHOOSE(CONTROL!$C$15, $D$11, 100%, $F$11)</f>
        <v>5.1292999999999997</v>
      </c>
      <c r="C80" s="8">
        <f>5.1401 * CHOOSE(CONTROL!$C$15, $D$11, 100%, $F$11)</f>
        <v>5.1401000000000003</v>
      </c>
      <c r="D80" s="8">
        <f>5.177 * CHOOSE( CONTROL!$C$15, $D$11, 100%, $F$11)</f>
        <v>5.1769999999999996</v>
      </c>
      <c r="E80" s="12">
        <f>5.1636 * CHOOSE( CONTROL!$C$15, $D$11, 100%, $F$11)</f>
        <v>5.1635999999999997</v>
      </c>
      <c r="F80" s="4">
        <f>5.8686 * CHOOSE(CONTROL!$C$15, $D$11, 100%, $F$11)</f>
        <v>5.8685999999999998</v>
      </c>
      <c r="G80" s="8">
        <f>5.0061 * CHOOSE( CONTROL!$C$15, $D$11, 100%, $F$11)</f>
        <v>5.0061</v>
      </c>
      <c r="H80" s="4">
        <f>5.9718 * CHOOSE(CONTROL!$C$15, $D$11, 100%, $F$11)</f>
        <v>5.9718</v>
      </c>
      <c r="I80" s="8">
        <f>5.0219 * CHOOSE(CONTROL!$C$15, $D$11, 100%, $F$11)</f>
        <v>5.0218999999999996</v>
      </c>
      <c r="J80" s="4">
        <f>4.9102 * CHOOSE(CONTROL!$C$15, $D$11, 100%, $F$11)</f>
        <v>4.9101999999999997</v>
      </c>
      <c r="K80" s="4"/>
      <c r="L80" s="9">
        <v>30.092199999999998</v>
      </c>
      <c r="M80" s="9">
        <v>11.6745</v>
      </c>
      <c r="N80" s="9">
        <v>4.7850000000000001</v>
      </c>
      <c r="O80" s="9">
        <v>0.36199999999999999</v>
      </c>
      <c r="P80" s="9">
        <v>1.1791</v>
      </c>
      <c r="Q80" s="9">
        <v>21.435600000000001</v>
      </c>
      <c r="R80" s="9"/>
      <c r="S80" s="11"/>
    </row>
    <row r="81" spans="1:19" ht="15.75">
      <c r="A81" s="13">
        <v>43952</v>
      </c>
      <c r="B81" s="8">
        <f>CHOOSE( CONTROL!$C$32, 5.2679, 5.2655) * CHOOSE(CONTROL!$C$15, $D$11, 100%, $F$11)</f>
        <v>5.2679</v>
      </c>
      <c r="C81" s="8">
        <f>CHOOSE( CONTROL!$C$32, 5.2785, 5.2761) * CHOOSE(CONTROL!$C$15, $D$11, 100%, $F$11)</f>
        <v>5.2785000000000002</v>
      </c>
      <c r="D81" s="8">
        <f>CHOOSE( CONTROL!$C$32, 5.3143, 5.3119) * CHOOSE( CONTROL!$C$15, $D$11, 100%, $F$11)</f>
        <v>5.3143000000000002</v>
      </c>
      <c r="E81" s="12">
        <f>CHOOSE( CONTROL!$C$32, 5.2997, 5.2973) * CHOOSE( CONTROL!$C$15, $D$11, 100%, $F$11)</f>
        <v>5.2996999999999996</v>
      </c>
      <c r="F81" s="4">
        <f>CHOOSE( CONTROL!$C$32, 6.0073, 6.0049) * CHOOSE(CONTROL!$C$15, $D$11, 100%, $F$11)</f>
        <v>6.0072999999999999</v>
      </c>
      <c r="G81" s="8">
        <f>CHOOSE( CONTROL!$C$32, 5.1422, 5.1399) * CHOOSE( CONTROL!$C$15, $D$11, 100%, $F$11)</f>
        <v>5.1421999999999999</v>
      </c>
      <c r="H81" s="4">
        <f>CHOOSE( CONTROL!$C$32, 6.1074, 6.1051) * CHOOSE(CONTROL!$C$15, $D$11, 100%, $F$11)</f>
        <v>6.1074000000000002</v>
      </c>
      <c r="I81" s="8">
        <f>CHOOSE( CONTROL!$C$32, 5.1551, 5.1528) * CHOOSE(CONTROL!$C$15, $D$11, 100%, $F$11)</f>
        <v>5.1551</v>
      </c>
      <c r="J81" s="4">
        <f>CHOOSE( CONTROL!$C$32, 5.0434, 5.0411) * CHOOSE(CONTROL!$C$15, $D$11, 100%, $F$11)</f>
        <v>5.0434000000000001</v>
      </c>
      <c r="K81" s="4"/>
      <c r="L81" s="9">
        <v>30.7165</v>
      </c>
      <c r="M81" s="9">
        <v>12.063700000000001</v>
      </c>
      <c r="N81" s="9">
        <v>4.9444999999999997</v>
      </c>
      <c r="O81" s="9">
        <v>0.37409999999999999</v>
      </c>
      <c r="P81" s="9">
        <v>1.2183999999999999</v>
      </c>
      <c r="Q81" s="9">
        <v>33.225200000000001</v>
      </c>
      <c r="R81" s="9"/>
      <c r="S81" s="11"/>
    </row>
    <row r="82" spans="1:19" ht="15.75">
      <c r="A82" s="13">
        <v>43983</v>
      </c>
      <c r="B82" s="8">
        <f>CHOOSE( CONTROL!$C$32, 5.1835, 5.1811) * CHOOSE(CONTROL!$C$15, $D$11, 100%, $F$11)</f>
        <v>5.1835000000000004</v>
      </c>
      <c r="C82" s="8">
        <f>CHOOSE( CONTROL!$C$32, 5.194, 5.1917) * CHOOSE(CONTROL!$C$15, $D$11, 100%, $F$11)</f>
        <v>5.194</v>
      </c>
      <c r="D82" s="8">
        <f>CHOOSE( CONTROL!$C$32, 5.2301, 5.2277) * CHOOSE( CONTROL!$C$15, $D$11, 100%, $F$11)</f>
        <v>5.2301000000000002</v>
      </c>
      <c r="E82" s="12">
        <f>CHOOSE( CONTROL!$C$32, 5.2154, 5.213) * CHOOSE( CONTROL!$C$15, $D$11, 100%, $F$11)</f>
        <v>5.2153999999999998</v>
      </c>
      <c r="F82" s="4">
        <f>CHOOSE( CONTROL!$C$32, 5.9228, 5.9204) * CHOOSE(CONTROL!$C$15, $D$11, 100%, $F$11)</f>
        <v>5.9227999999999996</v>
      </c>
      <c r="G82" s="8">
        <f>CHOOSE( CONTROL!$C$32, 5.06, 5.0577) * CHOOSE( CONTROL!$C$15, $D$11, 100%, $F$11)</f>
        <v>5.0599999999999996</v>
      </c>
      <c r="H82" s="4">
        <f>CHOOSE( CONTROL!$C$32, 6.0249, 6.0225) * CHOOSE(CONTROL!$C$15, $D$11, 100%, $F$11)</f>
        <v>6.0248999999999997</v>
      </c>
      <c r="I82" s="8">
        <f>CHOOSE( CONTROL!$C$32, 5.075, 5.0727) * CHOOSE(CONTROL!$C$15, $D$11, 100%, $F$11)</f>
        <v>5.0750000000000002</v>
      </c>
      <c r="J82" s="4">
        <f>CHOOSE( CONTROL!$C$32, 4.9623, 4.96) * CHOOSE(CONTROL!$C$15, $D$11, 100%, $F$11)</f>
        <v>4.9622999999999999</v>
      </c>
      <c r="K82" s="4"/>
      <c r="L82" s="9">
        <v>29.7257</v>
      </c>
      <c r="M82" s="9">
        <v>11.6745</v>
      </c>
      <c r="N82" s="9">
        <v>4.7850000000000001</v>
      </c>
      <c r="O82" s="9">
        <v>0.36199999999999999</v>
      </c>
      <c r="P82" s="9">
        <v>1.1791</v>
      </c>
      <c r="Q82" s="9">
        <v>32.153399999999998</v>
      </c>
      <c r="R82" s="9"/>
      <c r="S82" s="11"/>
    </row>
    <row r="83" spans="1:19" ht="15.75">
      <c r="A83" s="13">
        <v>44013</v>
      </c>
      <c r="B83" s="8">
        <f>CHOOSE( CONTROL!$C$32, 5.4058, 5.4034) * CHOOSE(CONTROL!$C$15, $D$11, 100%, $F$11)</f>
        <v>5.4058000000000002</v>
      </c>
      <c r="C83" s="8">
        <f>CHOOSE( CONTROL!$C$32, 5.4163, 5.414) * CHOOSE(CONTROL!$C$15, $D$11, 100%, $F$11)</f>
        <v>5.4162999999999997</v>
      </c>
      <c r="D83" s="8">
        <f>CHOOSE( CONTROL!$C$32, 5.4526, 5.4502) * CHOOSE( CONTROL!$C$15, $D$11, 100%, $F$11)</f>
        <v>5.4526000000000003</v>
      </c>
      <c r="E83" s="12">
        <f>CHOOSE( CONTROL!$C$32, 5.4378, 5.4355) * CHOOSE( CONTROL!$C$15, $D$11, 100%, $F$11)</f>
        <v>5.4378000000000002</v>
      </c>
      <c r="F83" s="4">
        <f>CHOOSE( CONTROL!$C$32, 6.1451, 6.1427) * CHOOSE(CONTROL!$C$15, $D$11, 100%, $F$11)</f>
        <v>6.1451000000000002</v>
      </c>
      <c r="G83" s="8">
        <f>CHOOSE( CONTROL!$C$32, 5.2777, 5.2753) * CHOOSE( CONTROL!$C$15, $D$11, 100%, $F$11)</f>
        <v>5.2777000000000003</v>
      </c>
      <c r="H83" s="4">
        <f>CHOOSE( CONTROL!$C$32, 6.2422, 6.2399) * CHOOSE(CONTROL!$C$15, $D$11, 100%, $F$11)</f>
        <v>6.2422000000000004</v>
      </c>
      <c r="I83" s="8">
        <f>CHOOSE( CONTROL!$C$32, 5.2895, 5.2872) * CHOOSE(CONTROL!$C$15, $D$11, 100%, $F$11)</f>
        <v>5.2895000000000003</v>
      </c>
      <c r="J83" s="4">
        <f>CHOOSE( CONTROL!$C$32, 5.1758, 5.1735) * CHOOSE(CONTROL!$C$15, $D$11, 100%, $F$11)</f>
        <v>5.1757999999999997</v>
      </c>
      <c r="K83" s="4"/>
      <c r="L83" s="9">
        <v>30.7165</v>
      </c>
      <c r="M83" s="9">
        <v>12.063700000000001</v>
      </c>
      <c r="N83" s="9">
        <v>4.9444999999999997</v>
      </c>
      <c r="O83" s="9">
        <v>0.37409999999999999</v>
      </c>
      <c r="P83" s="9">
        <v>1.2183999999999999</v>
      </c>
      <c r="Q83" s="9">
        <v>33.225200000000001</v>
      </c>
      <c r="R83" s="9"/>
      <c r="S83" s="11"/>
    </row>
    <row r="84" spans="1:19" ht="15.75">
      <c r="A84" s="13">
        <v>44044</v>
      </c>
      <c r="B84" s="8">
        <f>CHOOSE( CONTROL!$C$32, 4.9898, 4.9874) * CHOOSE(CONTROL!$C$15, $D$11, 100%, $F$11)</f>
        <v>4.9897999999999998</v>
      </c>
      <c r="C84" s="8">
        <f>CHOOSE( CONTROL!$C$32, 5.0004, 4.998) * CHOOSE(CONTROL!$C$15, $D$11, 100%, $F$11)</f>
        <v>5.0004</v>
      </c>
      <c r="D84" s="8">
        <f>CHOOSE( CONTROL!$C$32, 5.0367, 5.0343) * CHOOSE( CONTROL!$C$15, $D$11, 100%, $F$11)</f>
        <v>5.0366999999999997</v>
      </c>
      <c r="E84" s="12">
        <f>CHOOSE( CONTROL!$C$32, 5.0219, 5.0195) * CHOOSE( CONTROL!$C$15, $D$11, 100%, $F$11)</f>
        <v>5.0218999999999996</v>
      </c>
      <c r="F84" s="4">
        <f>CHOOSE( CONTROL!$C$32, 5.7292, 5.7268) * CHOOSE(CONTROL!$C$15, $D$11, 100%, $F$11)</f>
        <v>5.7291999999999996</v>
      </c>
      <c r="G84" s="8">
        <f>CHOOSE( CONTROL!$C$32, 4.8711, 4.8687) * CHOOSE( CONTROL!$C$15, $D$11, 100%, $F$11)</f>
        <v>4.8711000000000002</v>
      </c>
      <c r="H84" s="4">
        <f>CHOOSE( CONTROL!$C$32, 5.8356, 5.8332) * CHOOSE(CONTROL!$C$15, $D$11, 100%, $F$11)</f>
        <v>5.8356000000000003</v>
      </c>
      <c r="I84" s="8">
        <f>CHOOSE( CONTROL!$C$32, 4.8902, 4.8879) * CHOOSE(CONTROL!$C$15, $D$11, 100%, $F$11)</f>
        <v>4.8902000000000001</v>
      </c>
      <c r="J84" s="4">
        <f>CHOOSE( CONTROL!$C$32, 4.7764, 4.7741) * CHOOSE(CONTROL!$C$15, $D$11, 100%, $F$11)</f>
        <v>4.7763999999999998</v>
      </c>
      <c r="K84" s="4"/>
      <c r="L84" s="9">
        <v>30.7165</v>
      </c>
      <c r="M84" s="9">
        <v>12.063700000000001</v>
      </c>
      <c r="N84" s="9">
        <v>4.9444999999999997</v>
      </c>
      <c r="O84" s="9">
        <v>0.37409999999999999</v>
      </c>
      <c r="P84" s="9">
        <v>1.2183999999999999</v>
      </c>
      <c r="Q84" s="9">
        <v>33.225200000000001</v>
      </c>
      <c r="R84" s="9"/>
      <c r="S84" s="11"/>
    </row>
    <row r="85" spans="1:19" ht="15.75">
      <c r="A85" s="13">
        <v>44075</v>
      </c>
      <c r="B85" s="8">
        <f>CHOOSE( CONTROL!$C$32, 4.8857, 4.8833) * CHOOSE(CONTROL!$C$15, $D$11, 100%, $F$11)</f>
        <v>4.8856999999999999</v>
      </c>
      <c r="C85" s="8">
        <f>CHOOSE( CONTROL!$C$32, 4.8962, 4.8938) * CHOOSE(CONTROL!$C$15, $D$11, 100%, $F$11)</f>
        <v>4.8962000000000003</v>
      </c>
      <c r="D85" s="8">
        <f>CHOOSE( CONTROL!$C$32, 4.9325, 4.9301) * CHOOSE( CONTROL!$C$15, $D$11, 100%, $F$11)</f>
        <v>4.9325000000000001</v>
      </c>
      <c r="E85" s="12">
        <f>CHOOSE( CONTROL!$C$32, 4.9177, 4.9153) * CHOOSE( CONTROL!$C$15, $D$11, 100%, $F$11)</f>
        <v>4.9177</v>
      </c>
      <c r="F85" s="4">
        <f>CHOOSE( CONTROL!$C$32, 5.625, 5.6226) * CHOOSE(CONTROL!$C$15, $D$11, 100%, $F$11)</f>
        <v>5.625</v>
      </c>
      <c r="G85" s="8">
        <f>CHOOSE( CONTROL!$C$32, 4.7691, 4.7668) * CHOOSE( CONTROL!$C$15, $D$11, 100%, $F$11)</f>
        <v>4.7690999999999999</v>
      </c>
      <c r="H85" s="4">
        <f>CHOOSE( CONTROL!$C$32, 5.7337, 5.7314) * CHOOSE(CONTROL!$C$15, $D$11, 100%, $F$11)</f>
        <v>5.7336999999999998</v>
      </c>
      <c r="I85" s="8">
        <f>CHOOSE( CONTROL!$C$32, 4.7899, 4.7876) * CHOOSE(CONTROL!$C$15, $D$11, 100%, $F$11)</f>
        <v>4.7899000000000003</v>
      </c>
      <c r="J85" s="4">
        <f>CHOOSE( CONTROL!$C$32, 4.6764, 4.6741) * CHOOSE(CONTROL!$C$15, $D$11, 100%, $F$11)</f>
        <v>4.6764000000000001</v>
      </c>
      <c r="K85" s="4"/>
      <c r="L85" s="9">
        <v>29.7257</v>
      </c>
      <c r="M85" s="9">
        <v>11.6745</v>
      </c>
      <c r="N85" s="9">
        <v>4.7850000000000001</v>
      </c>
      <c r="O85" s="9">
        <v>0.36199999999999999</v>
      </c>
      <c r="P85" s="9">
        <v>1.1791</v>
      </c>
      <c r="Q85" s="9">
        <v>32.153399999999998</v>
      </c>
      <c r="R85" s="9"/>
      <c r="S85" s="11"/>
    </row>
    <row r="86" spans="1:19" ht="15.75">
      <c r="A86" s="13">
        <v>44105</v>
      </c>
      <c r="B86" s="8">
        <f>5.0997 * CHOOSE(CONTROL!$C$15, $D$11, 100%, $F$11)</f>
        <v>5.0997000000000003</v>
      </c>
      <c r="C86" s="8">
        <f>5.1104 * CHOOSE(CONTROL!$C$15, $D$11, 100%, $F$11)</f>
        <v>5.1104000000000003</v>
      </c>
      <c r="D86" s="8">
        <f>5.148 * CHOOSE( CONTROL!$C$15, $D$11, 100%, $F$11)</f>
        <v>5.1479999999999997</v>
      </c>
      <c r="E86" s="12">
        <f>5.1344 * CHOOSE( CONTROL!$C$15, $D$11, 100%, $F$11)</f>
        <v>5.1344000000000003</v>
      </c>
      <c r="F86" s="4">
        <f>5.8389 * CHOOSE(CONTROL!$C$15, $D$11, 100%, $F$11)</f>
        <v>5.8388999999999998</v>
      </c>
      <c r="G86" s="8">
        <f>4.978 * CHOOSE( CONTROL!$C$15, $D$11, 100%, $F$11)</f>
        <v>4.9779999999999998</v>
      </c>
      <c r="H86" s="4">
        <f>5.9428 * CHOOSE(CONTROL!$C$15, $D$11, 100%, $F$11)</f>
        <v>5.9428000000000001</v>
      </c>
      <c r="I86" s="8">
        <f>4.9961 * CHOOSE(CONTROL!$C$15, $D$11, 100%, $F$11)</f>
        <v>4.9961000000000002</v>
      </c>
      <c r="J86" s="4">
        <f>4.8817 * CHOOSE(CONTROL!$C$15, $D$11, 100%, $F$11)</f>
        <v>4.8817000000000004</v>
      </c>
      <c r="K86" s="4"/>
      <c r="L86" s="9">
        <v>31.095300000000002</v>
      </c>
      <c r="M86" s="9">
        <v>12.063700000000001</v>
      </c>
      <c r="N86" s="9">
        <v>4.9444999999999997</v>
      </c>
      <c r="O86" s="9">
        <v>0.37409999999999999</v>
      </c>
      <c r="P86" s="9">
        <v>1.2183999999999999</v>
      </c>
      <c r="Q86" s="9">
        <v>33.225200000000001</v>
      </c>
      <c r="R86" s="9"/>
      <c r="S86" s="11"/>
    </row>
    <row r="87" spans="1:19" ht="15.75">
      <c r="A87" s="13">
        <v>44136</v>
      </c>
      <c r="B87" s="8">
        <f>5.4989 * CHOOSE(CONTROL!$C$15, $D$11, 100%, $F$11)</f>
        <v>5.4988999999999999</v>
      </c>
      <c r="C87" s="8">
        <f>5.5096 * CHOOSE(CONTROL!$C$15, $D$11, 100%, $F$11)</f>
        <v>5.5095999999999998</v>
      </c>
      <c r="D87" s="8">
        <f>5.4924 * CHOOSE( CONTROL!$C$15, $D$11, 100%, $F$11)</f>
        <v>5.4923999999999999</v>
      </c>
      <c r="E87" s="12">
        <f>5.4975 * CHOOSE( CONTROL!$C$15, $D$11, 100%, $F$11)</f>
        <v>5.4974999999999996</v>
      </c>
      <c r="F87" s="4">
        <f>6.1574 * CHOOSE(CONTROL!$C$15, $D$11, 100%, $F$11)</f>
        <v>6.1574</v>
      </c>
      <c r="G87" s="8">
        <f>5.3749 * CHOOSE( CONTROL!$C$15, $D$11, 100%, $F$11)</f>
        <v>5.3749000000000002</v>
      </c>
      <c r="H87" s="4">
        <f>6.2542 * CHOOSE(CONTROL!$C$15, $D$11, 100%, $F$11)</f>
        <v>6.2542</v>
      </c>
      <c r="I87" s="8">
        <f>5.4167 * CHOOSE(CONTROL!$C$15, $D$11, 100%, $F$11)</f>
        <v>5.4166999999999996</v>
      </c>
      <c r="J87" s="4">
        <f>5.265 * CHOOSE(CONTROL!$C$15, $D$11, 100%, $F$11)</f>
        <v>5.2649999999999997</v>
      </c>
      <c r="K87" s="4"/>
      <c r="L87" s="9">
        <v>28.360600000000002</v>
      </c>
      <c r="M87" s="9">
        <v>11.6745</v>
      </c>
      <c r="N87" s="9">
        <v>4.7850000000000001</v>
      </c>
      <c r="O87" s="9">
        <v>0.36199999999999999</v>
      </c>
      <c r="P87" s="9">
        <v>1.2509999999999999</v>
      </c>
      <c r="Q87" s="9">
        <v>32.153399999999998</v>
      </c>
      <c r="R87" s="9"/>
      <c r="S87" s="11"/>
    </row>
    <row r="88" spans="1:19" ht="15.75">
      <c r="A88" s="13">
        <v>44166</v>
      </c>
      <c r="B88" s="8">
        <f>5.4889 * CHOOSE(CONTROL!$C$15, $D$11, 100%, $F$11)</f>
        <v>5.4889000000000001</v>
      </c>
      <c r="C88" s="8">
        <f>5.4997 * CHOOSE(CONTROL!$C$15, $D$11, 100%, $F$11)</f>
        <v>5.4996999999999998</v>
      </c>
      <c r="D88" s="8">
        <f>5.4841 * CHOOSE( CONTROL!$C$15, $D$11, 100%, $F$11)</f>
        <v>5.4840999999999998</v>
      </c>
      <c r="E88" s="12">
        <f>5.4887 * CHOOSE( CONTROL!$C$15, $D$11, 100%, $F$11)</f>
        <v>5.4886999999999997</v>
      </c>
      <c r="F88" s="4">
        <f>6.1474 * CHOOSE(CONTROL!$C$15, $D$11, 100%, $F$11)</f>
        <v>6.1474000000000002</v>
      </c>
      <c r="G88" s="8">
        <f>5.3664 * CHOOSE( CONTROL!$C$15, $D$11, 100%, $F$11)</f>
        <v>5.3663999999999996</v>
      </c>
      <c r="H88" s="4">
        <f>6.2444 * CHOOSE(CONTROL!$C$15, $D$11, 100%, $F$11)</f>
        <v>6.2443999999999997</v>
      </c>
      <c r="I88" s="8">
        <f>5.4123 * CHOOSE(CONTROL!$C$15, $D$11, 100%, $F$11)</f>
        <v>5.4123000000000001</v>
      </c>
      <c r="J88" s="4">
        <f>5.2554 * CHOOSE(CONTROL!$C$15, $D$11, 100%, $F$11)</f>
        <v>5.2553999999999998</v>
      </c>
      <c r="K88" s="4"/>
      <c r="L88" s="9">
        <v>29.306000000000001</v>
      </c>
      <c r="M88" s="9">
        <v>12.063700000000001</v>
      </c>
      <c r="N88" s="9">
        <v>4.9444999999999997</v>
      </c>
      <c r="O88" s="9">
        <v>0.37409999999999999</v>
      </c>
      <c r="P88" s="9">
        <v>1.2927</v>
      </c>
      <c r="Q88" s="9">
        <v>33.225200000000001</v>
      </c>
      <c r="R88" s="9"/>
      <c r="S88" s="11"/>
    </row>
    <row r="89" spans="1:19" ht="15.75">
      <c r="A89" s="13">
        <v>44197</v>
      </c>
      <c r="B89" s="8">
        <f>5.9506 * CHOOSE(CONTROL!$C$15, $D$11, 100%, $F$11)</f>
        <v>5.9505999999999997</v>
      </c>
      <c r="C89" s="8">
        <f>5.9613 * CHOOSE(CONTROL!$C$15, $D$11, 100%, $F$11)</f>
        <v>5.9612999999999996</v>
      </c>
      <c r="D89" s="8">
        <f>5.9427 * CHOOSE( CONTROL!$C$15, $D$11, 100%, $F$11)</f>
        <v>5.9427000000000003</v>
      </c>
      <c r="E89" s="12">
        <f>5.9484 * CHOOSE( CONTROL!$C$15, $D$11, 100%, $F$11)</f>
        <v>5.9484000000000004</v>
      </c>
      <c r="F89" s="4">
        <f>6.6091 * CHOOSE(CONTROL!$C$15, $D$11, 100%, $F$11)</f>
        <v>6.6090999999999998</v>
      </c>
      <c r="G89" s="8">
        <f>5.8102 * CHOOSE( CONTROL!$C$15, $D$11, 100%, $F$11)</f>
        <v>5.8102</v>
      </c>
      <c r="H89" s="4">
        <f>6.6958 * CHOOSE(CONTROL!$C$15, $D$11, 100%, $F$11)</f>
        <v>6.6958000000000002</v>
      </c>
      <c r="I89" s="8">
        <f>5.8206 * CHOOSE(CONTROL!$C$15, $D$11, 100%, $F$11)</f>
        <v>5.8205999999999998</v>
      </c>
      <c r="J89" s="4">
        <f>5.6987 * CHOOSE(CONTROL!$C$15, $D$11, 100%, $F$11)</f>
        <v>5.6986999999999997</v>
      </c>
      <c r="K89" s="4"/>
      <c r="L89" s="9">
        <v>29.306000000000001</v>
      </c>
      <c r="M89" s="9">
        <v>12.063700000000001</v>
      </c>
      <c r="N89" s="9">
        <v>4.9444999999999997</v>
      </c>
      <c r="O89" s="9">
        <v>0.37409999999999999</v>
      </c>
      <c r="P89" s="9">
        <v>1.2927</v>
      </c>
      <c r="Q89" s="9">
        <v>33.011299999999999</v>
      </c>
      <c r="R89" s="9"/>
      <c r="S89" s="11"/>
    </row>
    <row r="90" spans="1:19" ht="15.75">
      <c r="A90" s="13">
        <v>44228</v>
      </c>
      <c r="B90" s="8">
        <f>5.5668 * CHOOSE(CONTROL!$C$15, $D$11, 100%, $F$11)</f>
        <v>5.5667999999999997</v>
      </c>
      <c r="C90" s="8">
        <f>5.5776 * CHOOSE(CONTROL!$C$15, $D$11, 100%, $F$11)</f>
        <v>5.5776000000000003</v>
      </c>
      <c r="D90" s="8">
        <f>5.5589 * CHOOSE( CONTROL!$C$15, $D$11, 100%, $F$11)</f>
        <v>5.5589000000000004</v>
      </c>
      <c r="E90" s="12">
        <f>5.5646 * CHOOSE( CONTROL!$C$15, $D$11, 100%, $F$11)</f>
        <v>5.5646000000000004</v>
      </c>
      <c r="F90" s="4">
        <f>6.2253 * CHOOSE(CONTROL!$C$15, $D$11, 100%, $F$11)</f>
        <v>6.2252999999999998</v>
      </c>
      <c r="G90" s="8">
        <f>5.435 * CHOOSE( CONTROL!$C$15, $D$11, 100%, $F$11)</f>
        <v>5.4349999999999996</v>
      </c>
      <c r="H90" s="4">
        <f>6.3206 * CHOOSE(CONTROL!$C$15, $D$11, 100%, $F$11)</f>
        <v>6.3205999999999998</v>
      </c>
      <c r="I90" s="8">
        <f>5.4517 * CHOOSE(CONTROL!$C$15, $D$11, 100%, $F$11)</f>
        <v>5.4516999999999998</v>
      </c>
      <c r="J90" s="4">
        <f>5.3303 * CHOOSE(CONTROL!$C$15, $D$11, 100%, $F$11)</f>
        <v>5.3303000000000003</v>
      </c>
      <c r="K90" s="4"/>
      <c r="L90" s="9">
        <v>26.469899999999999</v>
      </c>
      <c r="M90" s="9">
        <v>10.8962</v>
      </c>
      <c r="N90" s="9">
        <v>4.4660000000000002</v>
      </c>
      <c r="O90" s="9">
        <v>0.33789999999999998</v>
      </c>
      <c r="P90" s="9">
        <v>1.1676</v>
      </c>
      <c r="Q90" s="9">
        <v>29.816600000000001</v>
      </c>
      <c r="R90" s="9"/>
      <c r="S90" s="11"/>
    </row>
    <row r="91" spans="1:19" ht="15.75">
      <c r="A91" s="13">
        <v>44256</v>
      </c>
      <c r="B91" s="8">
        <f>5.4487 * CHOOSE(CONTROL!$C$15, $D$11, 100%, $F$11)</f>
        <v>5.4486999999999997</v>
      </c>
      <c r="C91" s="8">
        <f>5.4594 * CHOOSE(CONTROL!$C$15, $D$11, 100%, $F$11)</f>
        <v>5.4593999999999996</v>
      </c>
      <c r="D91" s="8">
        <f>5.4402 * CHOOSE( CONTROL!$C$15, $D$11, 100%, $F$11)</f>
        <v>5.4401999999999999</v>
      </c>
      <c r="E91" s="12">
        <f>5.4461 * CHOOSE( CONTROL!$C$15, $D$11, 100%, $F$11)</f>
        <v>5.4461000000000004</v>
      </c>
      <c r="F91" s="4">
        <f>6.1072 * CHOOSE(CONTROL!$C$15, $D$11, 100%, $F$11)</f>
        <v>6.1071999999999997</v>
      </c>
      <c r="G91" s="8">
        <f>5.3191 * CHOOSE( CONTROL!$C$15, $D$11, 100%, $F$11)</f>
        <v>5.3190999999999997</v>
      </c>
      <c r="H91" s="4">
        <f>6.2051 * CHOOSE(CONTROL!$C$15, $D$11, 100%, $F$11)</f>
        <v>6.2050999999999998</v>
      </c>
      <c r="I91" s="8">
        <f>5.3367 * CHOOSE(CONTROL!$C$15, $D$11, 100%, $F$11)</f>
        <v>5.3367000000000004</v>
      </c>
      <c r="J91" s="4">
        <f>5.2168 * CHOOSE(CONTROL!$C$15, $D$11, 100%, $F$11)</f>
        <v>5.2168000000000001</v>
      </c>
      <c r="K91" s="4"/>
      <c r="L91" s="9">
        <v>29.306000000000001</v>
      </c>
      <c r="M91" s="9">
        <v>12.063700000000001</v>
      </c>
      <c r="N91" s="9">
        <v>4.9444999999999997</v>
      </c>
      <c r="O91" s="9">
        <v>0.37409999999999999</v>
      </c>
      <c r="P91" s="9">
        <v>1.2927</v>
      </c>
      <c r="Q91" s="9">
        <v>33.011299999999999</v>
      </c>
      <c r="R91" s="9"/>
      <c r="S91" s="11"/>
    </row>
    <row r="92" spans="1:19" ht="15.75">
      <c r="A92" s="13">
        <v>44287</v>
      </c>
      <c r="B92" s="8">
        <f>5.5312 * CHOOSE(CONTROL!$C$15, $D$11, 100%, $F$11)</f>
        <v>5.5312000000000001</v>
      </c>
      <c r="C92" s="8">
        <f>5.542 * CHOOSE(CONTROL!$C$15, $D$11, 100%, $F$11)</f>
        <v>5.5419999999999998</v>
      </c>
      <c r="D92" s="8">
        <f>5.5789 * CHOOSE( CONTROL!$C$15, $D$11, 100%, $F$11)</f>
        <v>5.5789</v>
      </c>
      <c r="E92" s="12">
        <f>5.5655 * CHOOSE( CONTROL!$C$15, $D$11, 100%, $F$11)</f>
        <v>5.5655000000000001</v>
      </c>
      <c r="F92" s="4">
        <f>6.2705 * CHOOSE(CONTROL!$C$15, $D$11, 100%, $F$11)</f>
        <v>6.2705000000000002</v>
      </c>
      <c r="G92" s="8">
        <f>5.3991 * CHOOSE( CONTROL!$C$15, $D$11, 100%, $F$11)</f>
        <v>5.3990999999999998</v>
      </c>
      <c r="H92" s="4">
        <f>6.3648 * CHOOSE(CONTROL!$C$15, $D$11, 100%, $F$11)</f>
        <v>6.3647999999999998</v>
      </c>
      <c r="I92" s="8">
        <f>5.4079 * CHOOSE(CONTROL!$C$15, $D$11, 100%, $F$11)</f>
        <v>5.4078999999999997</v>
      </c>
      <c r="J92" s="4">
        <f>5.2961 * CHOOSE(CONTROL!$C$15, $D$11, 100%, $F$11)</f>
        <v>5.2961</v>
      </c>
      <c r="K92" s="4"/>
      <c r="L92" s="9">
        <v>30.092199999999998</v>
      </c>
      <c r="M92" s="9">
        <v>11.6745</v>
      </c>
      <c r="N92" s="9">
        <v>4.7850000000000001</v>
      </c>
      <c r="O92" s="9">
        <v>0.36199999999999999</v>
      </c>
      <c r="P92" s="9">
        <v>1.1791</v>
      </c>
      <c r="Q92" s="9">
        <v>31.946400000000001</v>
      </c>
      <c r="R92" s="9"/>
      <c r="S92" s="11"/>
    </row>
    <row r="93" spans="1:19" ht="15.75">
      <c r="A93" s="13">
        <v>44317</v>
      </c>
      <c r="B93" s="8">
        <f>CHOOSE( CONTROL!$C$32, 5.6805, 5.6781) * CHOOSE(CONTROL!$C$15, $D$11, 100%, $F$11)</f>
        <v>5.6805000000000003</v>
      </c>
      <c r="C93" s="8">
        <f>CHOOSE( CONTROL!$C$32, 5.691, 5.6887) * CHOOSE(CONTROL!$C$15, $D$11, 100%, $F$11)</f>
        <v>5.6909999999999998</v>
      </c>
      <c r="D93" s="8">
        <f>CHOOSE( CONTROL!$C$32, 5.7269, 5.7245) * CHOOSE( CONTROL!$C$15, $D$11, 100%, $F$11)</f>
        <v>5.7268999999999997</v>
      </c>
      <c r="E93" s="12">
        <f>CHOOSE( CONTROL!$C$32, 5.7123, 5.7099) * CHOOSE( CONTROL!$C$15, $D$11, 100%, $F$11)</f>
        <v>5.7122999999999999</v>
      </c>
      <c r="F93" s="4">
        <f>CHOOSE( CONTROL!$C$32, 6.4198, 6.4174) * CHOOSE(CONTROL!$C$15, $D$11, 100%, $F$11)</f>
        <v>6.4198000000000004</v>
      </c>
      <c r="G93" s="8">
        <f>CHOOSE( CONTROL!$C$32, 5.5456, 5.5433) * CHOOSE( CONTROL!$C$15, $D$11, 100%, $F$11)</f>
        <v>5.5456000000000003</v>
      </c>
      <c r="H93" s="4">
        <f>CHOOSE( CONTROL!$C$32, 6.5108, 6.5085) * CHOOSE(CONTROL!$C$15, $D$11, 100%, $F$11)</f>
        <v>6.5107999999999997</v>
      </c>
      <c r="I93" s="8">
        <f>CHOOSE( CONTROL!$C$32, 5.5515, 5.5492) * CHOOSE(CONTROL!$C$15, $D$11, 100%, $F$11)</f>
        <v>5.5514999999999999</v>
      </c>
      <c r="J93" s="4">
        <f>CHOOSE( CONTROL!$C$32, 5.4395, 5.4372) * CHOOSE(CONTROL!$C$15, $D$11, 100%, $F$11)</f>
        <v>5.4394999999999998</v>
      </c>
      <c r="K93" s="4"/>
      <c r="L93" s="9">
        <v>30.7165</v>
      </c>
      <c r="M93" s="9">
        <v>12.063700000000001</v>
      </c>
      <c r="N93" s="9">
        <v>4.9444999999999997</v>
      </c>
      <c r="O93" s="9">
        <v>0.37409999999999999</v>
      </c>
      <c r="P93" s="9">
        <v>1.2183999999999999</v>
      </c>
      <c r="Q93" s="9">
        <v>33.011299999999999</v>
      </c>
      <c r="R93" s="9"/>
      <c r="S93" s="11"/>
    </row>
    <row r="94" spans="1:19" ht="15.75">
      <c r="A94" s="13">
        <v>44348</v>
      </c>
      <c r="B94" s="8">
        <f>CHOOSE( CONTROL!$C$32, 5.5894, 5.587) * CHOOSE(CONTROL!$C$15, $D$11, 100%, $F$11)</f>
        <v>5.5894000000000004</v>
      </c>
      <c r="C94" s="8">
        <f>CHOOSE( CONTROL!$C$32, 5.6, 5.5976) * CHOOSE(CONTROL!$C$15, $D$11, 100%, $F$11)</f>
        <v>5.6</v>
      </c>
      <c r="D94" s="8">
        <f>CHOOSE( CONTROL!$C$32, 5.636, 5.6336) * CHOOSE( CONTROL!$C$15, $D$11, 100%, $F$11)</f>
        <v>5.6360000000000001</v>
      </c>
      <c r="E94" s="12">
        <f>CHOOSE( CONTROL!$C$32, 5.6213, 5.6189) * CHOOSE( CONTROL!$C$15, $D$11, 100%, $F$11)</f>
        <v>5.6212999999999997</v>
      </c>
      <c r="F94" s="4">
        <f>CHOOSE( CONTROL!$C$32, 6.3288, 6.3264) * CHOOSE(CONTROL!$C$15, $D$11, 100%, $F$11)</f>
        <v>6.3288000000000002</v>
      </c>
      <c r="G94" s="8">
        <f>CHOOSE( CONTROL!$C$32, 5.4569, 5.4546) * CHOOSE( CONTROL!$C$15, $D$11, 100%, $F$11)</f>
        <v>5.4569000000000001</v>
      </c>
      <c r="H94" s="4">
        <f>CHOOSE( CONTROL!$C$32, 6.4218, 6.4194) * CHOOSE(CONTROL!$C$15, $D$11, 100%, $F$11)</f>
        <v>6.4218000000000002</v>
      </c>
      <c r="I94" s="8">
        <f>CHOOSE( CONTROL!$C$32, 5.4649, 5.4626) * CHOOSE(CONTROL!$C$15, $D$11, 100%, $F$11)</f>
        <v>5.4649000000000001</v>
      </c>
      <c r="J94" s="4">
        <f>CHOOSE( CONTROL!$C$32, 5.3521, 5.3498) * CHOOSE(CONTROL!$C$15, $D$11, 100%, $F$11)</f>
        <v>5.3521000000000001</v>
      </c>
      <c r="K94" s="4"/>
      <c r="L94" s="9">
        <v>29.7257</v>
      </c>
      <c r="M94" s="9">
        <v>11.6745</v>
      </c>
      <c r="N94" s="9">
        <v>4.7850000000000001</v>
      </c>
      <c r="O94" s="9">
        <v>0.36199999999999999</v>
      </c>
      <c r="P94" s="9">
        <v>1.1791</v>
      </c>
      <c r="Q94" s="9">
        <v>31.946400000000001</v>
      </c>
      <c r="R94" s="9"/>
      <c r="S94" s="11"/>
    </row>
    <row r="95" spans="1:19" ht="15.75">
      <c r="A95" s="13">
        <v>44378</v>
      </c>
      <c r="B95" s="8">
        <f>CHOOSE( CONTROL!$C$32, 5.8292, 5.8268) * CHOOSE(CONTROL!$C$15, $D$11, 100%, $F$11)</f>
        <v>5.8292000000000002</v>
      </c>
      <c r="C95" s="8">
        <f>CHOOSE( CONTROL!$C$32, 5.8398, 5.8374) * CHOOSE(CONTROL!$C$15, $D$11, 100%, $F$11)</f>
        <v>5.8398000000000003</v>
      </c>
      <c r="D95" s="8">
        <f>CHOOSE( CONTROL!$C$32, 5.876, 5.8736) * CHOOSE( CONTROL!$C$15, $D$11, 100%, $F$11)</f>
        <v>5.8760000000000003</v>
      </c>
      <c r="E95" s="12">
        <f>CHOOSE( CONTROL!$C$32, 5.8613, 5.8589) * CHOOSE( CONTROL!$C$15, $D$11, 100%, $F$11)</f>
        <v>5.8613</v>
      </c>
      <c r="F95" s="4">
        <f>CHOOSE( CONTROL!$C$32, 6.5686, 6.5662) * CHOOSE(CONTROL!$C$15, $D$11, 100%, $F$11)</f>
        <v>6.5686</v>
      </c>
      <c r="G95" s="8">
        <f>CHOOSE( CONTROL!$C$32, 5.6916, 5.6893) * CHOOSE( CONTROL!$C$15, $D$11, 100%, $F$11)</f>
        <v>5.6916000000000002</v>
      </c>
      <c r="H95" s="4">
        <f>CHOOSE( CONTROL!$C$32, 6.6562, 6.6539) * CHOOSE(CONTROL!$C$15, $D$11, 100%, $F$11)</f>
        <v>6.6562000000000001</v>
      </c>
      <c r="I95" s="8">
        <f>CHOOSE( CONTROL!$C$32, 5.6963, 5.694) * CHOOSE(CONTROL!$C$15, $D$11, 100%, $F$11)</f>
        <v>5.6962999999999999</v>
      </c>
      <c r="J95" s="4">
        <f>CHOOSE( CONTROL!$C$32, 5.5823, 5.58) * CHOOSE(CONTROL!$C$15, $D$11, 100%, $F$11)</f>
        <v>5.5823</v>
      </c>
      <c r="K95" s="4"/>
      <c r="L95" s="9">
        <v>30.7165</v>
      </c>
      <c r="M95" s="9">
        <v>12.063700000000001</v>
      </c>
      <c r="N95" s="9">
        <v>4.9444999999999997</v>
      </c>
      <c r="O95" s="9">
        <v>0.37409999999999999</v>
      </c>
      <c r="P95" s="9">
        <v>1.2183999999999999</v>
      </c>
      <c r="Q95" s="9">
        <v>33.011299999999999</v>
      </c>
      <c r="R95" s="9"/>
      <c r="S95" s="11"/>
    </row>
    <row r="96" spans="1:19" ht="15.75">
      <c r="A96" s="13">
        <v>44409</v>
      </c>
      <c r="B96" s="8">
        <f>CHOOSE( CONTROL!$C$32, 5.3806, 5.3782) * CHOOSE(CONTROL!$C$15, $D$11, 100%, $F$11)</f>
        <v>5.3806000000000003</v>
      </c>
      <c r="C96" s="8">
        <f>CHOOSE( CONTROL!$C$32, 5.3911, 5.3887) * CHOOSE(CONTROL!$C$15, $D$11, 100%, $F$11)</f>
        <v>5.3910999999999998</v>
      </c>
      <c r="D96" s="8">
        <f>CHOOSE( CONTROL!$C$32, 5.4274, 5.425) * CHOOSE( CONTROL!$C$15, $D$11, 100%, $F$11)</f>
        <v>5.4273999999999996</v>
      </c>
      <c r="E96" s="12">
        <f>CHOOSE( CONTROL!$C$32, 5.4126, 5.4102) * CHOOSE( CONTROL!$C$15, $D$11, 100%, $F$11)</f>
        <v>5.4126000000000003</v>
      </c>
      <c r="F96" s="4">
        <f>CHOOSE( CONTROL!$C$32, 6.1199, 6.1175) * CHOOSE(CONTROL!$C$15, $D$11, 100%, $F$11)</f>
        <v>6.1199000000000003</v>
      </c>
      <c r="G96" s="8">
        <f>CHOOSE( CONTROL!$C$32, 5.2531, 5.2507) * CHOOSE( CONTROL!$C$15, $D$11, 100%, $F$11)</f>
        <v>5.2530999999999999</v>
      </c>
      <c r="H96" s="4">
        <f>CHOOSE( CONTROL!$C$32, 6.2176, 6.2152) * CHOOSE(CONTROL!$C$15, $D$11, 100%, $F$11)</f>
        <v>6.2176</v>
      </c>
      <c r="I96" s="8">
        <f>CHOOSE( CONTROL!$C$32, 5.2655, 5.2632) * CHOOSE(CONTROL!$C$15, $D$11, 100%, $F$11)</f>
        <v>5.2655000000000003</v>
      </c>
      <c r="J96" s="4">
        <f>CHOOSE( CONTROL!$C$32, 5.1515, 5.1493) * CHOOSE(CONTROL!$C$15, $D$11, 100%, $F$11)</f>
        <v>5.1515000000000004</v>
      </c>
      <c r="K96" s="4"/>
      <c r="L96" s="9">
        <v>30.7165</v>
      </c>
      <c r="M96" s="9">
        <v>12.063700000000001</v>
      </c>
      <c r="N96" s="9">
        <v>4.9444999999999997</v>
      </c>
      <c r="O96" s="9">
        <v>0.37409999999999999</v>
      </c>
      <c r="P96" s="9">
        <v>1.2183999999999999</v>
      </c>
      <c r="Q96" s="9">
        <v>33.011299999999999</v>
      </c>
      <c r="R96" s="9"/>
      <c r="S96" s="11"/>
    </row>
    <row r="97" spans="1:19" ht="15.75">
      <c r="A97" s="13">
        <v>44440</v>
      </c>
      <c r="B97" s="8">
        <f>CHOOSE( CONTROL!$C$32, 5.2682, 5.2658) * CHOOSE(CONTROL!$C$15, $D$11, 100%, $F$11)</f>
        <v>5.2682000000000002</v>
      </c>
      <c r="C97" s="8">
        <f>CHOOSE( CONTROL!$C$32, 5.2788, 5.2764) * CHOOSE(CONTROL!$C$15, $D$11, 100%, $F$11)</f>
        <v>5.2788000000000004</v>
      </c>
      <c r="D97" s="8">
        <f>CHOOSE( CONTROL!$C$32, 5.315, 5.3126) * CHOOSE( CONTROL!$C$15, $D$11, 100%, $F$11)</f>
        <v>5.3150000000000004</v>
      </c>
      <c r="E97" s="12">
        <f>CHOOSE( CONTROL!$C$32, 5.3003, 5.2979) * CHOOSE( CONTROL!$C$15, $D$11, 100%, $F$11)</f>
        <v>5.3003</v>
      </c>
      <c r="F97" s="4">
        <f>CHOOSE( CONTROL!$C$32, 6.0076, 6.0052) * CHOOSE(CONTROL!$C$15, $D$11, 100%, $F$11)</f>
        <v>6.0076000000000001</v>
      </c>
      <c r="G97" s="8">
        <f>CHOOSE( CONTROL!$C$32, 5.1432, 5.1408) * CHOOSE( CONTROL!$C$15, $D$11, 100%, $F$11)</f>
        <v>5.1432000000000002</v>
      </c>
      <c r="H97" s="4">
        <f>CHOOSE( CONTROL!$C$32, 6.1077, 6.1054) * CHOOSE(CONTROL!$C$15, $D$11, 100%, $F$11)</f>
        <v>6.1077000000000004</v>
      </c>
      <c r="I97" s="8">
        <f>CHOOSE( CONTROL!$C$32, 5.1573, 5.155) * CHOOSE(CONTROL!$C$15, $D$11, 100%, $F$11)</f>
        <v>5.1573000000000002</v>
      </c>
      <c r="J97" s="4">
        <f>CHOOSE( CONTROL!$C$32, 5.0437, 5.0414) * CHOOSE(CONTROL!$C$15, $D$11, 100%, $F$11)</f>
        <v>5.0437000000000003</v>
      </c>
      <c r="K97" s="4"/>
      <c r="L97" s="9">
        <v>29.7257</v>
      </c>
      <c r="M97" s="9">
        <v>11.6745</v>
      </c>
      <c r="N97" s="9">
        <v>4.7850000000000001</v>
      </c>
      <c r="O97" s="9">
        <v>0.36199999999999999</v>
      </c>
      <c r="P97" s="9">
        <v>1.1791</v>
      </c>
      <c r="Q97" s="9">
        <v>31.946400000000001</v>
      </c>
      <c r="R97" s="9"/>
      <c r="S97" s="11"/>
    </row>
    <row r="98" spans="1:19" ht="15.75">
      <c r="A98" s="13">
        <v>44470</v>
      </c>
      <c r="B98" s="8">
        <f>5.4992 * CHOOSE(CONTROL!$C$15, $D$11, 100%, $F$11)</f>
        <v>5.4992000000000001</v>
      </c>
      <c r="C98" s="8">
        <f>5.5099 * CHOOSE(CONTROL!$C$15, $D$11, 100%, $F$11)</f>
        <v>5.5099</v>
      </c>
      <c r="D98" s="8">
        <f>5.5475 * CHOOSE( CONTROL!$C$15, $D$11, 100%, $F$11)</f>
        <v>5.5475000000000003</v>
      </c>
      <c r="E98" s="12">
        <f>5.5339 * CHOOSE( CONTROL!$C$15, $D$11, 100%, $F$11)</f>
        <v>5.5339</v>
      </c>
      <c r="F98" s="4">
        <f>6.2385 * CHOOSE(CONTROL!$C$15, $D$11, 100%, $F$11)</f>
        <v>6.2385000000000002</v>
      </c>
      <c r="G98" s="8">
        <f>5.3686 * CHOOSE( CONTROL!$C$15, $D$11, 100%, $F$11)</f>
        <v>5.3685999999999998</v>
      </c>
      <c r="H98" s="4">
        <f>6.3335 * CHOOSE(CONTROL!$C$15, $D$11, 100%, $F$11)</f>
        <v>6.3334999999999999</v>
      </c>
      <c r="I98" s="8">
        <f>5.3798 * CHOOSE(CONTROL!$C$15, $D$11, 100%, $F$11)</f>
        <v>5.3798000000000004</v>
      </c>
      <c r="J98" s="4">
        <f>5.2653 * CHOOSE(CONTROL!$C$15, $D$11, 100%, $F$11)</f>
        <v>5.2652999999999999</v>
      </c>
      <c r="K98" s="4"/>
      <c r="L98" s="9">
        <v>31.095300000000002</v>
      </c>
      <c r="M98" s="9">
        <v>12.063700000000001</v>
      </c>
      <c r="N98" s="9">
        <v>4.9444999999999997</v>
      </c>
      <c r="O98" s="9">
        <v>0.37409999999999999</v>
      </c>
      <c r="P98" s="9">
        <v>1.2183999999999999</v>
      </c>
      <c r="Q98" s="9">
        <v>33.011299999999999</v>
      </c>
      <c r="R98" s="9"/>
      <c r="S98" s="11"/>
    </row>
    <row r="99" spans="1:19" ht="15.75">
      <c r="A99" s="13">
        <v>44501</v>
      </c>
      <c r="B99" s="8">
        <f>5.9298 * CHOOSE(CONTROL!$C$15, $D$11, 100%, $F$11)</f>
        <v>5.9298000000000002</v>
      </c>
      <c r="C99" s="8">
        <f>5.9405 * CHOOSE(CONTROL!$C$15, $D$11, 100%, $F$11)</f>
        <v>5.9405000000000001</v>
      </c>
      <c r="D99" s="8">
        <f>5.9233 * CHOOSE( CONTROL!$C$15, $D$11, 100%, $F$11)</f>
        <v>5.9233000000000002</v>
      </c>
      <c r="E99" s="12">
        <f>5.9284 * CHOOSE( CONTROL!$C$15, $D$11, 100%, $F$11)</f>
        <v>5.9283999999999999</v>
      </c>
      <c r="F99" s="4">
        <f>6.5883 * CHOOSE(CONTROL!$C$15, $D$11, 100%, $F$11)</f>
        <v>6.5883000000000003</v>
      </c>
      <c r="G99" s="8">
        <f>5.7962 * CHOOSE( CONTROL!$C$15, $D$11, 100%, $F$11)</f>
        <v>5.7961999999999998</v>
      </c>
      <c r="H99" s="4">
        <f>6.6755 * CHOOSE(CONTROL!$C$15, $D$11, 100%, $F$11)</f>
        <v>6.6755000000000004</v>
      </c>
      <c r="I99" s="8">
        <f>5.8306 * CHOOSE(CONTROL!$C$15, $D$11, 100%, $F$11)</f>
        <v>5.8305999999999996</v>
      </c>
      <c r="J99" s="4">
        <f>5.6787 * CHOOSE(CONTROL!$C$15, $D$11, 100%, $F$11)</f>
        <v>5.6787000000000001</v>
      </c>
      <c r="K99" s="4"/>
      <c r="L99" s="9">
        <v>28.360600000000002</v>
      </c>
      <c r="M99" s="9">
        <v>11.6745</v>
      </c>
      <c r="N99" s="9">
        <v>4.7850000000000001</v>
      </c>
      <c r="O99" s="9">
        <v>0.36199999999999999</v>
      </c>
      <c r="P99" s="9">
        <v>1.2509999999999999</v>
      </c>
      <c r="Q99" s="9">
        <v>31.946400000000001</v>
      </c>
      <c r="R99" s="9"/>
      <c r="S99" s="11"/>
    </row>
    <row r="100" spans="1:19" ht="15.75">
      <c r="A100" s="13">
        <v>44531</v>
      </c>
      <c r="B100" s="8">
        <f>5.919 * CHOOSE(CONTROL!$C$15, $D$11, 100%, $F$11)</f>
        <v>5.9189999999999996</v>
      </c>
      <c r="C100" s="8">
        <f>5.9298 * CHOOSE(CONTROL!$C$15, $D$11, 100%, $F$11)</f>
        <v>5.9298000000000002</v>
      </c>
      <c r="D100" s="8">
        <f>5.9142 * CHOOSE( CONTROL!$C$15, $D$11, 100%, $F$11)</f>
        <v>5.9142000000000001</v>
      </c>
      <c r="E100" s="12">
        <f>5.9188 * CHOOSE( CONTROL!$C$15, $D$11, 100%, $F$11)</f>
        <v>5.9188000000000001</v>
      </c>
      <c r="F100" s="4">
        <f>6.5775 * CHOOSE(CONTROL!$C$15, $D$11, 100%, $F$11)</f>
        <v>6.5774999999999997</v>
      </c>
      <c r="G100" s="8">
        <f>5.7869 * CHOOSE( CONTROL!$C$15, $D$11, 100%, $F$11)</f>
        <v>5.7869000000000002</v>
      </c>
      <c r="H100" s="4">
        <f>6.665 * CHOOSE(CONTROL!$C$15, $D$11, 100%, $F$11)</f>
        <v>6.665</v>
      </c>
      <c r="I100" s="8">
        <f>5.8254 * CHOOSE(CONTROL!$C$15, $D$11, 100%, $F$11)</f>
        <v>5.8254000000000001</v>
      </c>
      <c r="J100" s="4">
        <f>5.6684 * CHOOSE(CONTROL!$C$15, $D$11, 100%, $F$11)</f>
        <v>5.6684000000000001</v>
      </c>
      <c r="K100" s="4"/>
      <c r="L100" s="9">
        <v>29.306000000000001</v>
      </c>
      <c r="M100" s="9">
        <v>12.063700000000001</v>
      </c>
      <c r="N100" s="9">
        <v>4.9444999999999997</v>
      </c>
      <c r="O100" s="9">
        <v>0.37409999999999999</v>
      </c>
      <c r="P100" s="9">
        <v>1.2927</v>
      </c>
      <c r="Q100" s="9">
        <v>33.011299999999999</v>
      </c>
      <c r="R100" s="9"/>
      <c r="S100" s="11"/>
    </row>
    <row r="101" spans="1:19" ht="15.75">
      <c r="A101" s="13">
        <v>44562</v>
      </c>
      <c r="B101" s="8">
        <f>6.2731 * CHOOSE(CONTROL!$C$15, $D$11, 100%, $F$11)</f>
        <v>6.2731000000000003</v>
      </c>
      <c r="C101" s="8">
        <f>6.2838 * CHOOSE(CONTROL!$C$15, $D$11, 100%, $F$11)</f>
        <v>6.2838000000000003</v>
      </c>
      <c r="D101" s="8">
        <f>6.2652 * CHOOSE( CONTROL!$C$15, $D$11, 100%, $F$11)</f>
        <v>6.2652000000000001</v>
      </c>
      <c r="E101" s="12">
        <f>6.2709 * CHOOSE( CONTROL!$C$15, $D$11, 100%, $F$11)</f>
        <v>6.2709000000000001</v>
      </c>
      <c r="F101" s="4">
        <f>6.9316 * CHOOSE(CONTROL!$C$15, $D$11, 100%, $F$11)</f>
        <v>6.9316000000000004</v>
      </c>
      <c r="G101" s="8">
        <f>6.1255 * CHOOSE( CONTROL!$C$15, $D$11, 100%, $F$11)</f>
        <v>6.1254999999999997</v>
      </c>
      <c r="H101" s="4">
        <f>7.0111 * CHOOSE(CONTROL!$C$15, $D$11, 100%, $F$11)</f>
        <v>7.0110999999999999</v>
      </c>
      <c r="I101" s="8">
        <f>6.1304 * CHOOSE(CONTROL!$C$15, $D$11, 100%, $F$11)</f>
        <v>6.1303999999999998</v>
      </c>
      <c r="J101" s="4">
        <f>6.0083 * CHOOSE(CONTROL!$C$15, $D$11, 100%, $F$11)</f>
        <v>6.0083000000000002</v>
      </c>
      <c r="K101" s="4"/>
      <c r="L101" s="9">
        <v>29.306000000000001</v>
      </c>
      <c r="M101" s="9">
        <v>12.063700000000001</v>
      </c>
      <c r="N101" s="9">
        <v>4.9444999999999997</v>
      </c>
      <c r="O101" s="9">
        <v>0.37409999999999999</v>
      </c>
      <c r="P101" s="9">
        <v>1.2927</v>
      </c>
      <c r="Q101" s="9">
        <v>32.8123</v>
      </c>
      <c r="R101" s="9"/>
      <c r="S101" s="11"/>
    </row>
    <row r="102" spans="1:19" ht="15.75">
      <c r="A102" s="13">
        <v>44593</v>
      </c>
      <c r="B102" s="8">
        <f>5.8685 * CHOOSE(CONTROL!$C$15, $D$11, 100%, $F$11)</f>
        <v>5.8685</v>
      </c>
      <c r="C102" s="8">
        <f>5.8792 * CHOOSE(CONTROL!$C$15, $D$11, 100%, $F$11)</f>
        <v>5.8792</v>
      </c>
      <c r="D102" s="8">
        <f>5.8605 * CHOOSE( CONTROL!$C$15, $D$11, 100%, $F$11)</f>
        <v>5.8605</v>
      </c>
      <c r="E102" s="12">
        <f>5.8662 * CHOOSE( CONTROL!$C$15, $D$11, 100%, $F$11)</f>
        <v>5.8662000000000001</v>
      </c>
      <c r="F102" s="4">
        <f>6.527 * CHOOSE(CONTROL!$C$15, $D$11, 100%, $F$11)</f>
        <v>6.5270000000000001</v>
      </c>
      <c r="G102" s="8">
        <f>5.7299 * CHOOSE( CONTROL!$C$15, $D$11, 100%, $F$11)</f>
        <v>5.7298999999999998</v>
      </c>
      <c r="H102" s="4">
        <f>6.6156 * CHOOSE(CONTROL!$C$15, $D$11, 100%, $F$11)</f>
        <v>6.6155999999999997</v>
      </c>
      <c r="I102" s="8">
        <f>5.7415 * CHOOSE(CONTROL!$C$15, $D$11, 100%, $F$11)</f>
        <v>5.7415000000000003</v>
      </c>
      <c r="J102" s="4">
        <f>5.6199 * CHOOSE(CONTROL!$C$15, $D$11, 100%, $F$11)</f>
        <v>5.6199000000000003</v>
      </c>
      <c r="K102" s="4"/>
      <c r="L102" s="9">
        <v>26.469899999999999</v>
      </c>
      <c r="M102" s="9">
        <v>10.8962</v>
      </c>
      <c r="N102" s="9">
        <v>4.4660000000000002</v>
      </c>
      <c r="O102" s="9">
        <v>0.33789999999999998</v>
      </c>
      <c r="P102" s="9">
        <v>1.1676</v>
      </c>
      <c r="Q102" s="9">
        <v>29.636900000000001</v>
      </c>
      <c r="R102" s="9"/>
      <c r="S102" s="11"/>
    </row>
    <row r="103" spans="1:19" ht="15.75">
      <c r="A103" s="13">
        <v>44621</v>
      </c>
      <c r="B103" s="8">
        <f>5.7439 * CHOOSE(CONTROL!$C$15, $D$11, 100%, $F$11)</f>
        <v>5.7439</v>
      </c>
      <c r="C103" s="8">
        <f>5.7546 * CHOOSE(CONTROL!$C$15, $D$11, 100%, $F$11)</f>
        <v>5.7545999999999999</v>
      </c>
      <c r="D103" s="8">
        <f>5.7355 * CHOOSE( CONTROL!$C$15, $D$11, 100%, $F$11)</f>
        <v>5.7355</v>
      </c>
      <c r="E103" s="12">
        <f>5.7413 * CHOOSE( CONTROL!$C$15, $D$11, 100%, $F$11)</f>
        <v>5.7412999999999998</v>
      </c>
      <c r="F103" s="4">
        <f>6.4024 * CHOOSE(CONTROL!$C$15, $D$11, 100%, $F$11)</f>
        <v>6.4024000000000001</v>
      </c>
      <c r="G103" s="8">
        <f>5.6077 * CHOOSE( CONTROL!$C$15, $D$11, 100%, $F$11)</f>
        <v>5.6077000000000004</v>
      </c>
      <c r="H103" s="4">
        <f>6.4937 * CHOOSE(CONTROL!$C$15, $D$11, 100%, $F$11)</f>
        <v>6.4936999999999996</v>
      </c>
      <c r="I103" s="8">
        <f>5.6203 * CHOOSE(CONTROL!$C$15, $D$11, 100%, $F$11)</f>
        <v>5.6203000000000003</v>
      </c>
      <c r="J103" s="4">
        <f>5.5002 * CHOOSE(CONTROL!$C$15, $D$11, 100%, $F$11)</f>
        <v>5.5002000000000004</v>
      </c>
      <c r="K103" s="4"/>
      <c r="L103" s="9">
        <v>29.306000000000001</v>
      </c>
      <c r="M103" s="9">
        <v>12.063700000000001</v>
      </c>
      <c r="N103" s="9">
        <v>4.9444999999999997</v>
      </c>
      <c r="O103" s="9">
        <v>0.37409999999999999</v>
      </c>
      <c r="P103" s="9">
        <v>1.2927</v>
      </c>
      <c r="Q103" s="9">
        <v>32.8123</v>
      </c>
      <c r="R103" s="9"/>
      <c r="S103" s="11"/>
    </row>
    <row r="104" spans="1:19" ht="15.75">
      <c r="A104" s="13">
        <v>44652</v>
      </c>
      <c r="B104" s="8">
        <f>5.8309 * CHOOSE(CONTROL!$C$15, $D$11, 100%, $F$11)</f>
        <v>5.8308999999999997</v>
      </c>
      <c r="C104" s="8">
        <f>5.8417 * CHOOSE(CONTROL!$C$15, $D$11, 100%, $F$11)</f>
        <v>5.8417000000000003</v>
      </c>
      <c r="D104" s="8">
        <f>5.8786 * CHOOSE( CONTROL!$C$15, $D$11, 100%, $F$11)</f>
        <v>5.8785999999999996</v>
      </c>
      <c r="E104" s="12">
        <f>5.8652 * CHOOSE( CONTROL!$C$15, $D$11, 100%, $F$11)</f>
        <v>5.8651999999999997</v>
      </c>
      <c r="F104" s="4">
        <f>6.5702 * CHOOSE(CONTROL!$C$15, $D$11, 100%, $F$11)</f>
        <v>6.5701999999999998</v>
      </c>
      <c r="G104" s="8">
        <f>5.6921 * CHOOSE( CONTROL!$C$15, $D$11, 100%, $F$11)</f>
        <v>5.6920999999999999</v>
      </c>
      <c r="H104" s="4">
        <f>6.6578 * CHOOSE(CONTROL!$C$15, $D$11, 100%, $F$11)</f>
        <v>6.6577999999999999</v>
      </c>
      <c r="I104" s="8">
        <f>5.6958 * CHOOSE(CONTROL!$C$15, $D$11, 100%, $F$11)</f>
        <v>5.6958000000000002</v>
      </c>
      <c r="J104" s="4">
        <f>5.5838 * CHOOSE(CONTROL!$C$15, $D$11, 100%, $F$11)</f>
        <v>5.5838000000000001</v>
      </c>
      <c r="K104" s="4"/>
      <c r="L104" s="9">
        <v>30.092199999999998</v>
      </c>
      <c r="M104" s="9">
        <v>11.6745</v>
      </c>
      <c r="N104" s="9">
        <v>4.7850000000000001</v>
      </c>
      <c r="O104" s="9">
        <v>0.36199999999999999</v>
      </c>
      <c r="P104" s="9">
        <v>1.1791</v>
      </c>
      <c r="Q104" s="9">
        <v>31.753799999999998</v>
      </c>
      <c r="R104" s="9"/>
      <c r="S104" s="11"/>
    </row>
    <row r="105" spans="1:19" ht="15.75">
      <c r="A105" s="13">
        <v>44682</v>
      </c>
      <c r="B105" s="8">
        <f>CHOOSE( CONTROL!$C$32, 5.9882, 5.9858) * CHOOSE(CONTROL!$C$15, $D$11, 100%, $F$11)</f>
        <v>5.9882</v>
      </c>
      <c r="C105" s="8">
        <f>CHOOSE( CONTROL!$C$32, 5.9987, 5.9964) * CHOOSE(CONTROL!$C$15, $D$11, 100%, $F$11)</f>
        <v>5.9987000000000004</v>
      </c>
      <c r="D105" s="8">
        <f>CHOOSE( CONTROL!$C$32, 6.0346, 6.0322) * CHOOSE( CONTROL!$C$15, $D$11, 100%, $F$11)</f>
        <v>6.0346000000000002</v>
      </c>
      <c r="E105" s="12">
        <f>CHOOSE( CONTROL!$C$32, 6.02, 6.0176) * CHOOSE( CONTROL!$C$15, $D$11, 100%, $F$11)</f>
        <v>6.02</v>
      </c>
      <c r="F105" s="4">
        <f>CHOOSE( CONTROL!$C$32, 6.7275, 6.7251) * CHOOSE(CONTROL!$C$15, $D$11, 100%, $F$11)</f>
        <v>6.7275</v>
      </c>
      <c r="G105" s="8">
        <f>CHOOSE( CONTROL!$C$32, 5.8464, 5.8441) * CHOOSE( CONTROL!$C$15, $D$11, 100%, $F$11)</f>
        <v>5.8464</v>
      </c>
      <c r="H105" s="4">
        <f>CHOOSE( CONTROL!$C$32, 6.8116, 6.8093) * CHOOSE(CONTROL!$C$15, $D$11, 100%, $F$11)</f>
        <v>6.8116000000000003</v>
      </c>
      <c r="I105" s="8">
        <f>CHOOSE( CONTROL!$C$32, 5.847, 5.8447) * CHOOSE(CONTROL!$C$15, $D$11, 100%, $F$11)</f>
        <v>5.8470000000000004</v>
      </c>
      <c r="J105" s="4">
        <f>CHOOSE( CONTROL!$C$32, 5.7349, 5.7326) * CHOOSE(CONTROL!$C$15, $D$11, 100%, $F$11)</f>
        <v>5.7348999999999997</v>
      </c>
      <c r="K105" s="4"/>
      <c r="L105" s="9">
        <v>30.7165</v>
      </c>
      <c r="M105" s="9">
        <v>12.063700000000001</v>
      </c>
      <c r="N105" s="9">
        <v>4.9444999999999997</v>
      </c>
      <c r="O105" s="9">
        <v>0.37409999999999999</v>
      </c>
      <c r="P105" s="9">
        <v>1.2183999999999999</v>
      </c>
      <c r="Q105" s="9">
        <v>32.8123</v>
      </c>
      <c r="R105" s="9"/>
      <c r="S105" s="11"/>
    </row>
    <row r="106" spans="1:19" ht="15.75">
      <c r="A106" s="13">
        <v>44713</v>
      </c>
      <c r="B106" s="8">
        <f>CHOOSE( CONTROL!$C$32, 5.8922, 5.8898) * CHOOSE(CONTROL!$C$15, $D$11, 100%, $F$11)</f>
        <v>5.8921999999999999</v>
      </c>
      <c r="C106" s="8">
        <f>CHOOSE( CONTROL!$C$32, 5.9027, 5.9004) * CHOOSE(CONTROL!$C$15, $D$11, 100%, $F$11)</f>
        <v>5.9027000000000003</v>
      </c>
      <c r="D106" s="8">
        <f>CHOOSE( CONTROL!$C$32, 5.9388, 5.9364) * CHOOSE( CONTROL!$C$15, $D$11, 100%, $F$11)</f>
        <v>5.9387999999999996</v>
      </c>
      <c r="E106" s="12">
        <f>CHOOSE( CONTROL!$C$32, 5.9241, 5.9217) * CHOOSE( CONTROL!$C$15, $D$11, 100%, $F$11)</f>
        <v>5.9241000000000001</v>
      </c>
      <c r="F106" s="4">
        <f>CHOOSE( CONTROL!$C$32, 6.6315, 6.6291) * CHOOSE(CONTROL!$C$15, $D$11, 100%, $F$11)</f>
        <v>6.6315</v>
      </c>
      <c r="G106" s="8">
        <f>CHOOSE( CONTROL!$C$32, 5.7529, 5.7506) * CHOOSE( CONTROL!$C$15, $D$11, 100%, $F$11)</f>
        <v>5.7529000000000003</v>
      </c>
      <c r="H106" s="4">
        <f>CHOOSE( CONTROL!$C$32, 6.7178, 6.7154) * CHOOSE(CONTROL!$C$15, $D$11, 100%, $F$11)</f>
        <v>6.7178000000000004</v>
      </c>
      <c r="I106" s="8">
        <f>CHOOSE( CONTROL!$C$32, 5.7557, 5.7534) * CHOOSE(CONTROL!$C$15, $D$11, 100%, $F$11)</f>
        <v>5.7557</v>
      </c>
      <c r="J106" s="4">
        <f>CHOOSE( CONTROL!$C$32, 5.6428, 5.6405) * CHOOSE(CONTROL!$C$15, $D$11, 100%, $F$11)</f>
        <v>5.6428000000000003</v>
      </c>
      <c r="K106" s="4"/>
      <c r="L106" s="9">
        <v>29.7257</v>
      </c>
      <c r="M106" s="9">
        <v>11.6745</v>
      </c>
      <c r="N106" s="9">
        <v>4.7850000000000001</v>
      </c>
      <c r="O106" s="9">
        <v>0.36199999999999999</v>
      </c>
      <c r="P106" s="9">
        <v>1.1791</v>
      </c>
      <c r="Q106" s="9">
        <v>31.753799999999998</v>
      </c>
      <c r="R106" s="9"/>
      <c r="S106" s="11"/>
    </row>
    <row r="107" spans="1:19" ht="15.75">
      <c r="A107" s="13">
        <v>44743</v>
      </c>
      <c r="B107" s="8">
        <f>CHOOSE( CONTROL!$C$32, 6.145, 6.1426) * CHOOSE(CONTROL!$C$15, $D$11, 100%, $F$11)</f>
        <v>6.1449999999999996</v>
      </c>
      <c r="C107" s="8">
        <f>CHOOSE( CONTROL!$C$32, 6.1555, 6.1532) * CHOOSE(CONTROL!$C$15, $D$11, 100%, $F$11)</f>
        <v>6.1555</v>
      </c>
      <c r="D107" s="8">
        <f>CHOOSE( CONTROL!$C$32, 6.1918, 6.1894) * CHOOSE( CONTROL!$C$15, $D$11, 100%, $F$11)</f>
        <v>6.1917999999999997</v>
      </c>
      <c r="E107" s="12">
        <f>CHOOSE( CONTROL!$C$32, 6.177, 6.1747) * CHOOSE( CONTROL!$C$15, $D$11, 100%, $F$11)</f>
        <v>6.1769999999999996</v>
      </c>
      <c r="F107" s="4">
        <f>CHOOSE( CONTROL!$C$32, 6.8843, 6.8819) * CHOOSE(CONTROL!$C$15, $D$11, 100%, $F$11)</f>
        <v>6.8842999999999996</v>
      </c>
      <c r="G107" s="8">
        <f>CHOOSE( CONTROL!$C$32, 6.0004, 5.998) * CHOOSE( CONTROL!$C$15, $D$11, 100%, $F$11)</f>
        <v>6.0004</v>
      </c>
      <c r="H107" s="4">
        <f>CHOOSE( CONTROL!$C$32, 6.9649, 6.9626) * CHOOSE(CONTROL!$C$15, $D$11, 100%, $F$11)</f>
        <v>6.9649000000000001</v>
      </c>
      <c r="I107" s="8">
        <f>CHOOSE( CONTROL!$C$32, 5.9996, 5.9973) * CHOOSE(CONTROL!$C$15, $D$11, 100%, $F$11)</f>
        <v>5.9996</v>
      </c>
      <c r="J107" s="4">
        <f>CHOOSE( CONTROL!$C$32, 5.8855, 5.8832) * CHOOSE(CONTROL!$C$15, $D$11, 100%, $F$11)</f>
        <v>5.8855000000000004</v>
      </c>
      <c r="K107" s="4"/>
      <c r="L107" s="9">
        <v>30.7165</v>
      </c>
      <c r="M107" s="9">
        <v>12.063700000000001</v>
      </c>
      <c r="N107" s="9">
        <v>4.9444999999999997</v>
      </c>
      <c r="O107" s="9">
        <v>0.37409999999999999</v>
      </c>
      <c r="P107" s="9">
        <v>1.2183999999999999</v>
      </c>
      <c r="Q107" s="9">
        <v>32.8123</v>
      </c>
      <c r="R107" s="9"/>
      <c r="S107" s="11"/>
    </row>
    <row r="108" spans="1:19" ht="15.75">
      <c r="A108" s="13">
        <v>44774</v>
      </c>
      <c r="B108" s="8">
        <f>CHOOSE( CONTROL!$C$32, 5.672, 5.6696) * CHOOSE(CONTROL!$C$15, $D$11, 100%, $F$11)</f>
        <v>5.6719999999999997</v>
      </c>
      <c r="C108" s="8">
        <f>CHOOSE( CONTROL!$C$32, 5.6825, 5.6801) * CHOOSE(CONTROL!$C$15, $D$11, 100%, $F$11)</f>
        <v>5.6825000000000001</v>
      </c>
      <c r="D108" s="8">
        <f>CHOOSE( CONTROL!$C$32, 5.7188, 5.7164) * CHOOSE( CONTROL!$C$15, $D$11, 100%, $F$11)</f>
        <v>5.7187999999999999</v>
      </c>
      <c r="E108" s="12">
        <f>CHOOSE( CONTROL!$C$32, 5.704, 5.7016) * CHOOSE( CONTROL!$C$15, $D$11, 100%, $F$11)</f>
        <v>5.7039999999999997</v>
      </c>
      <c r="F108" s="4">
        <f>CHOOSE( CONTROL!$C$32, 6.4113, 6.4089) * CHOOSE(CONTROL!$C$15, $D$11, 100%, $F$11)</f>
        <v>6.4112999999999998</v>
      </c>
      <c r="G108" s="8">
        <f>CHOOSE( CONTROL!$C$32, 5.538, 5.5356) * CHOOSE( CONTROL!$C$15, $D$11, 100%, $F$11)</f>
        <v>5.5380000000000003</v>
      </c>
      <c r="H108" s="4">
        <f>CHOOSE( CONTROL!$C$32, 6.5025, 6.5001) * CHOOSE(CONTROL!$C$15, $D$11, 100%, $F$11)</f>
        <v>6.5025000000000004</v>
      </c>
      <c r="I108" s="8">
        <f>CHOOSE( CONTROL!$C$32, 5.5454, 5.5431) * CHOOSE(CONTROL!$C$15, $D$11, 100%, $F$11)</f>
        <v>5.5453999999999999</v>
      </c>
      <c r="J108" s="4">
        <f>CHOOSE( CONTROL!$C$32, 5.4313, 5.429) * CHOOSE(CONTROL!$C$15, $D$11, 100%, $F$11)</f>
        <v>5.4313000000000002</v>
      </c>
      <c r="K108" s="4"/>
      <c r="L108" s="9">
        <v>30.7165</v>
      </c>
      <c r="M108" s="9">
        <v>12.063700000000001</v>
      </c>
      <c r="N108" s="9">
        <v>4.9444999999999997</v>
      </c>
      <c r="O108" s="9">
        <v>0.37409999999999999</v>
      </c>
      <c r="P108" s="9">
        <v>1.2183999999999999</v>
      </c>
      <c r="Q108" s="9">
        <v>32.8123</v>
      </c>
      <c r="R108" s="9"/>
      <c r="S108" s="11"/>
    </row>
    <row r="109" spans="1:19" ht="15.75">
      <c r="A109" s="13">
        <v>44805</v>
      </c>
      <c r="B109" s="8">
        <f>CHOOSE( CONTROL!$C$32, 5.5535, 5.5511) * CHOOSE(CONTROL!$C$15, $D$11, 100%, $F$11)</f>
        <v>5.5534999999999997</v>
      </c>
      <c r="C109" s="8">
        <f>CHOOSE( CONTROL!$C$32, 5.5641, 5.5617) * CHOOSE(CONTROL!$C$15, $D$11, 100%, $F$11)</f>
        <v>5.5640999999999998</v>
      </c>
      <c r="D109" s="8">
        <f>CHOOSE( CONTROL!$C$32, 5.6003, 5.5979) * CHOOSE( CONTROL!$C$15, $D$11, 100%, $F$11)</f>
        <v>5.6002999999999998</v>
      </c>
      <c r="E109" s="12">
        <f>CHOOSE( CONTROL!$C$32, 5.5856, 5.5832) * CHOOSE( CONTROL!$C$15, $D$11, 100%, $F$11)</f>
        <v>5.5856000000000003</v>
      </c>
      <c r="F109" s="4">
        <f>CHOOSE( CONTROL!$C$32, 6.2929, 6.2905) * CHOOSE(CONTROL!$C$15, $D$11, 100%, $F$11)</f>
        <v>6.2929000000000004</v>
      </c>
      <c r="G109" s="8">
        <f>CHOOSE( CONTROL!$C$32, 5.4221, 5.4197) * CHOOSE( CONTROL!$C$15, $D$11, 100%, $F$11)</f>
        <v>5.4221000000000004</v>
      </c>
      <c r="H109" s="4">
        <f>CHOOSE( CONTROL!$C$32, 6.3867, 6.3843) * CHOOSE(CONTROL!$C$15, $D$11, 100%, $F$11)</f>
        <v>6.3867000000000003</v>
      </c>
      <c r="I109" s="8">
        <f>CHOOSE( CONTROL!$C$32, 5.4314, 5.4291) * CHOOSE(CONTROL!$C$15, $D$11, 100%, $F$11)</f>
        <v>5.4314</v>
      </c>
      <c r="J109" s="4">
        <f>CHOOSE( CONTROL!$C$32, 5.3176, 5.3153) * CHOOSE(CONTROL!$C$15, $D$11, 100%, $F$11)</f>
        <v>5.3175999999999997</v>
      </c>
      <c r="K109" s="4"/>
      <c r="L109" s="9">
        <v>29.7257</v>
      </c>
      <c r="M109" s="9">
        <v>11.6745</v>
      </c>
      <c r="N109" s="9">
        <v>4.7850000000000001</v>
      </c>
      <c r="O109" s="9">
        <v>0.36199999999999999</v>
      </c>
      <c r="P109" s="9">
        <v>1.1791</v>
      </c>
      <c r="Q109" s="9">
        <v>31.753799999999998</v>
      </c>
      <c r="R109" s="9"/>
      <c r="S109" s="11"/>
    </row>
    <row r="110" spans="1:19" ht="15.75">
      <c r="A110" s="13">
        <v>44835</v>
      </c>
      <c r="B110" s="8">
        <f>5.7972 * CHOOSE(CONTROL!$C$15, $D$11, 100%, $F$11)</f>
        <v>5.7972000000000001</v>
      </c>
      <c r="C110" s="8">
        <f>5.8079 * CHOOSE(CONTROL!$C$15, $D$11, 100%, $F$11)</f>
        <v>5.8079000000000001</v>
      </c>
      <c r="D110" s="8">
        <f>5.8455 * CHOOSE( CONTROL!$C$15, $D$11, 100%, $F$11)</f>
        <v>5.8455000000000004</v>
      </c>
      <c r="E110" s="12">
        <f>5.8319 * CHOOSE( CONTROL!$C$15, $D$11, 100%, $F$11)</f>
        <v>5.8319000000000001</v>
      </c>
      <c r="F110" s="4">
        <f>6.5364 * CHOOSE(CONTROL!$C$15, $D$11, 100%, $F$11)</f>
        <v>6.5364000000000004</v>
      </c>
      <c r="G110" s="8">
        <f>5.66 * CHOOSE( CONTROL!$C$15, $D$11, 100%, $F$11)</f>
        <v>5.66</v>
      </c>
      <c r="H110" s="4">
        <f>6.6248 * CHOOSE(CONTROL!$C$15, $D$11, 100%, $F$11)</f>
        <v>6.6247999999999996</v>
      </c>
      <c r="I110" s="8">
        <f>5.6661 * CHOOSE(CONTROL!$C$15, $D$11, 100%, $F$11)</f>
        <v>5.6661000000000001</v>
      </c>
      <c r="J110" s="4">
        <f>5.5514 * CHOOSE(CONTROL!$C$15, $D$11, 100%, $F$11)</f>
        <v>5.5514000000000001</v>
      </c>
      <c r="K110" s="4"/>
      <c r="L110" s="9">
        <v>31.095300000000002</v>
      </c>
      <c r="M110" s="9">
        <v>12.063700000000001</v>
      </c>
      <c r="N110" s="9">
        <v>4.9444999999999997</v>
      </c>
      <c r="O110" s="9">
        <v>0.37409999999999999</v>
      </c>
      <c r="P110" s="9">
        <v>1.2183999999999999</v>
      </c>
      <c r="Q110" s="9">
        <v>32.8123</v>
      </c>
      <c r="R110" s="9"/>
      <c r="S110" s="11"/>
    </row>
    <row r="111" spans="1:19" ht="15.75">
      <c r="A111" s="13">
        <v>44866</v>
      </c>
      <c r="B111" s="8">
        <f>6.2512 * CHOOSE(CONTROL!$C$15, $D$11, 100%, $F$11)</f>
        <v>6.2511999999999999</v>
      </c>
      <c r="C111" s="8">
        <f>6.2619 * CHOOSE(CONTROL!$C$15, $D$11, 100%, $F$11)</f>
        <v>6.2618999999999998</v>
      </c>
      <c r="D111" s="8">
        <f>6.2447 * CHOOSE( CONTROL!$C$15, $D$11, 100%, $F$11)</f>
        <v>6.2446999999999999</v>
      </c>
      <c r="E111" s="12">
        <f>6.2498 * CHOOSE( CONTROL!$C$15, $D$11, 100%, $F$11)</f>
        <v>6.2497999999999996</v>
      </c>
      <c r="F111" s="4">
        <f>6.9097 * CHOOSE(CONTROL!$C$15, $D$11, 100%, $F$11)</f>
        <v>6.9097</v>
      </c>
      <c r="G111" s="8">
        <f>6.1104 * CHOOSE( CONTROL!$C$15, $D$11, 100%, $F$11)</f>
        <v>6.1104000000000003</v>
      </c>
      <c r="H111" s="4">
        <f>6.9897 * CHOOSE(CONTROL!$C$15, $D$11, 100%, $F$11)</f>
        <v>6.9897</v>
      </c>
      <c r="I111" s="8">
        <f>6.1393 * CHOOSE(CONTROL!$C$15, $D$11, 100%, $F$11)</f>
        <v>6.1393000000000004</v>
      </c>
      <c r="J111" s="4">
        <f>5.9873 * CHOOSE(CONTROL!$C$15, $D$11, 100%, $F$11)</f>
        <v>5.9873000000000003</v>
      </c>
      <c r="K111" s="4"/>
      <c r="L111" s="9">
        <v>28.360600000000002</v>
      </c>
      <c r="M111" s="9">
        <v>11.6745</v>
      </c>
      <c r="N111" s="9">
        <v>4.7850000000000001</v>
      </c>
      <c r="O111" s="9">
        <v>0.36199999999999999</v>
      </c>
      <c r="P111" s="9">
        <v>1.2509999999999999</v>
      </c>
      <c r="Q111" s="9">
        <v>31.753799999999998</v>
      </c>
      <c r="R111" s="9"/>
      <c r="S111" s="11"/>
    </row>
    <row r="112" spans="1:19" ht="15.75">
      <c r="A112" s="13">
        <v>44896</v>
      </c>
      <c r="B112" s="8">
        <f>6.2398 * CHOOSE(CONTROL!$C$15, $D$11, 100%, $F$11)</f>
        <v>6.2397999999999998</v>
      </c>
      <c r="C112" s="8">
        <f>6.2506 * CHOOSE(CONTROL!$C$15, $D$11, 100%, $F$11)</f>
        <v>6.2506000000000004</v>
      </c>
      <c r="D112" s="8">
        <f>6.235 * CHOOSE( CONTROL!$C$15, $D$11, 100%, $F$11)</f>
        <v>6.2350000000000003</v>
      </c>
      <c r="E112" s="12">
        <f>6.2396 * CHOOSE( CONTROL!$C$15, $D$11, 100%, $F$11)</f>
        <v>6.2396000000000003</v>
      </c>
      <c r="F112" s="4">
        <f>6.8983 * CHOOSE(CONTROL!$C$15, $D$11, 100%, $F$11)</f>
        <v>6.8982999999999999</v>
      </c>
      <c r="G112" s="8">
        <f>6.1006 * CHOOSE( CONTROL!$C$15, $D$11, 100%, $F$11)</f>
        <v>6.1006</v>
      </c>
      <c r="H112" s="4">
        <f>6.9786 * CHOOSE(CONTROL!$C$15, $D$11, 100%, $F$11)</f>
        <v>6.9786000000000001</v>
      </c>
      <c r="I112" s="8">
        <f>6.1336 * CHOOSE(CONTROL!$C$15, $D$11, 100%, $F$11)</f>
        <v>6.1336000000000004</v>
      </c>
      <c r="J112" s="4">
        <f>5.9764 * CHOOSE(CONTROL!$C$15, $D$11, 100%, $F$11)</f>
        <v>5.9763999999999999</v>
      </c>
      <c r="K112" s="4"/>
      <c r="L112" s="9">
        <v>29.306000000000001</v>
      </c>
      <c r="M112" s="9">
        <v>12.063700000000001</v>
      </c>
      <c r="N112" s="9">
        <v>4.9444999999999997</v>
      </c>
      <c r="O112" s="9">
        <v>0.37409999999999999</v>
      </c>
      <c r="P112" s="9">
        <v>1.2927</v>
      </c>
      <c r="Q112" s="9">
        <v>32.8123</v>
      </c>
      <c r="R112" s="9"/>
      <c r="S112" s="11"/>
    </row>
    <row r="113" spans="1:19" ht="15.75">
      <c r="A113" s="13">
        <v>44927</v>
      </c>
      <c r="B113" s="8">
        <f>6.534 * CHOOSE(CONTROL!$C$15, $D$11, 100%, $F$11)</f>
        <v>6.5339999999999998</v>
      </c>
      <c r="C113" s="8">
        <f>6.5448 * CHOOSE(CONTROL!$C$15, $D$11, 100%, $F$11)</f>
        <v>6.5448000000000004</v>
      </c>
      <c r="D113" s="8">
        <f>6.5262 * CHOOSE( CONTROL!$C$15, $D$11, 100%, $F$11)</f>
        <v>6.5262000000000002</v>
      </c>
      <c r="E113" s="12">
        <f>6.5319 * CHOOSE( CONTROL!$C$15, $D$11, 100%, $F$11)</f>
        <v>6.5319000000000003</v>
      </c>
      <c r="F113" s="4">
        <f>7.1925 * CHOOSE(CONTROL!$C$15, $D$11, 100%, $F$11)</f>
        <v>7.1924999999999999</v>
      </c>
      <c r="G113" s="8">
        <f>6.3807 * CHOOSE( CONTROL!$C$15, $D$11, 100%, $F$11)</f>
        <v>6.3807</v>
      </c>
      <c r="H113" s="4">
        <f>7.2663 * CHOOSE(CONTROL!$C$15, $D$11, 100%, $F$11)</f>
        <v>7.2663000000000002</v>
      </c>
      <c r="I113" s="8">
        <f>6.3811 * CHOOSE(CONTROL!$C$15, $D$11, 100%, $F$11)</f>
        <v>6.3811</v>
      </c>
      <c r="J113" s="4">
        <f>6.2589 * CHOOSE(CONTROL!$C$15, $D$11, 100%, $F$11)</f>
        <v>6.2588999999999997</v>
      </c>
      <c r="K113" s="4"/>
      <c r="L113" s="9">
        <v>29.306000000000001</v>
      </c>
      <c r="M113" s="9">
        <v>12.063700000000001</v>
      </c>
      <c r="N113" s="9">
        <v>4.9444999999999997</v>
      </c>
      <c r="O113" s="9">
        <v>0.37409999999999999</v>
      </c>
      <c r="P113" s="9">
        <v>1.2927</v>
      </c>
      <c r="Q113" s="9">
        <v>32.624400000000001</v>
      </c>
      <c r="R113" s="9"/>
      <c r="S113" s="11"/>
    </row>
    <row r="114" spans="1:19" ht="15.75">
      <c r="A114" s="13">
        <v>44958</v>
      </c>
      <c r="B114" s="8">
        <f>6.1126 * CHOOSE(CONTROL!$C$15, $D$11, 100%, $F$11)</f>
        <v>6.1125999999999996</v>
      </c>
      <c r="C114" s="8">
        <f>6.1233 * CHOOSE(CONTROL!$C$15, $D$11, 100%, $F$11)</f>
        <v>6.1233000000000004</v>
      </c>
      <c r="D114" s="8">
        <f>6.1046 * CHOOSE( CONTROL!$C$15, $D$11, 100%, $F$11)</f>
        <v>6.1045999999999996</v>
      </c>
      <c r="E114" s="12">
        <f>6.1103 * CHOOSE( CONTROL!$C$15, $D$11, 100%, $F$11)</f>
        <v>6.1102999999999996</v>
      </c>
      <c r="F114" s="4">
        <f>6.7711 * CHOOSE(CONTROL!$C$15, $D$11, 100%, $F$11)</f>
        <v>6.7710999999999997</v>
      </c>
      <c r="G114" s="8">
        <f>5.9686 * CHOOSE( CONTROL!$C$15, $D$11, 100%, $F$11)</f>
        <v>5.9686000000000003</v>
      </c>
      <c r="H114" s="4">
        <f>6.8542 * CHOOSE(CONTROL!$C$15, $D$11, 100%, $F$11)</f>
        <v>6.8541999999999996</v>
      </c>
      <c r="I114" s="8">
        <f>5.976 * CHOOSE(CONTROL!$C$15, $D$11, 100%, $F$11)</f>
        <v>5.976</v>
      </c>
      <c r="J114" s="4">
        <f>5.8542 * CHOOSE(CONTROL!$C$15, $D$11, 100%, $F$11)</f>
        <v>5.8541999999999996</v>
      </c>
      <c r="K114" s="4"/>
      <c r="L114" s="9">
        <v>26.469899999999999</v>
      </c>
      <c r="M114" s="9">
        <v>10.8962</v>
      </c>
      <c r="N114" s="9">
        <v>4.4660000000000002</v>
      </c>
      <c r="O114" s="9">
        <v>0.33789999999999998</v>
      </c>
      <c r="P114" s="9">
        <v>1.1676</v>
      </c>
      <c r="Q114" s="9">
        <v>29.467199999999998</v>
      </c>
      <c r="R114" s="9"/>
      <c r="S114" s="11"/>
    </row>
    <row r="115" spans="1:19" ht="15.75">
      <c r="A115" s="13">
        <v>44986</v>
      </c>
      <c r="B115" s="8">
        <f>5.9828 * CHOOSE(CONTROL!$C$15, $D$11, 100%, $F$11)</f>
        <v>5.9828000000000001</v>
      </c>
      <c r="C115" s="8">
        <f>5.9935 * CHOOSE(CONTROL!$C$15, $D$11, 100%, $F$11)</f>
        <v>5.9935</v>
      </c>
      <c r="D115" s="8">
        <f>5.9744 * CHOOSE( CONTROL!$C$15, $D$11, 100%, $F$11)</f>
        <v>5.9744000000000002</v>
      </c>
      <c r="E115" s="12">
        <f>5.9802 * CHOOSE( CONTROL!$C$15, $D$11, 100%, $F$11)</f>
        <v>5.9802</v>
      </c>
      <c r="F115" s="4">
        <f>6.6413 * CHOOSE(CONTROL!$C$15, $D$11, 100%, $F$11)</f>
        <v>6.6413000000000002</v>
      </c>
      <c r="G115" s="8">
        <f>5.8413 * CHOOSE( CONTROL!$C$15, $D$11, 100%, $F$11)</f>
        <v>5.8413000000000004</v>
      </c>
      <c r="H115" s="4">
        <f>6.7273 * CHOOSE(CONTROL!$C$15, $D$11, 100%, $F$11)</f>
        <v>6.7272999999999996</v>
      </c>
      <c r="I115" s="8">
        <f>5.8498 * CHOOSE(CONTROL!$C$15, $D$11, 100%, $F$11)</f>
        <v>5.8498000000000001</v>
      </c>
      <c r="J115" s="4">
        <f>5.7296 * CHOOSE(CONTROL!$C$15, $D$11, 100%, $F$11)</f>
        <v>5.7295999999999996</v>
      </c>
      <c r="K115" s="4"/>
      <c r="L115" s="9">
        <v>29.306000000000001</v>
      </c>
      <c r="M115" s="9">
        <v>12.063700000000001</v>
      </c>
      <c r="N115" s="9">
        <v>4.9444999999999997</v>
      </c>
      <c r="O115" s="9">
        <v>0.37409999999999999</v>
      </c>
      <c r="P115" s="9">
        <v>1.2927</v>
      </c>
      <c r="Q115" s="9">
        <v>32.624400000000001</v>
      </c>
      <c r="R115" s="9"/>
      <c r="S115" s="11"/>
    </row>
    <row r="116" spans="1:19" ht="15.75">
      <c r="A116" s="13">
        <v>45017</v>
      </c>
      <c r="B116" s="8">
        <f>6.0734 * CHOOSE(CONTROL!$C$15, $D$11, 100%, $F$11)</f>
        <v>6.0734000000000004</v>
      </c>
      <c r="C116" s="8">
        <f>6.0842 * CHOOSE(CONTROL!$C$15, $D$11, 100%, $F$11)</f>
        <v>6.0842000000000001</v>
      </c>
      <c r="D116" s="8">
        <f>6.1212 * CHOOSE( CONTROL!$C$15, $D$11, 100%, $F$11)</f>
        <v>6.1212</v>
      </c>
      <c r="E116" s="12">
        <f>6.1077 * CHOOSE( CONTROL!$C$15, $D$11, 100%, $F$11)</f>
        <v>6.1077000000000004</v>
      </c>
      <c r="F116" s="4">
        <f>6.8127 * CHOOSE(CONTROL!$C$15, $D$11, 100%, $F$11)</f>
        <v>6.8127000000000004</v>
      </c>
      <c r="G116" s="8">
        <f>5.9292 * CHOOSE( CONTROL!$C$15, $D$11, 100%, $F$11)</f>
        <v>5.9291999999999998</v>
      </c>
      <c r="H116" s="4">
        <f>6.8949 * CHOOSE(CONTROL!$C$15, $D$11, 100%, $F$11)</f>
        <v>6.8948999999999998</v>
      </c>
      <c r="I116" s="8">
        <f>5.9288 * CHOOSE(CONTROL!$C$15, $D$11, 100%, $F$11)</f>
        <v>5.9287999999999998</v>
      </c>
      <c r="J116" s="4">
        <f>5.8167 * CHOOSE(CONTROL!$C$15, $D$11, 100%, $F$11)</f>
        <v>5.8167</v>
      </c>
      <c r="K116" s="4"/>
      <c r="L116" s="9">
        <v>30.092199999999998</v>
      </c>
      <c r="M116" s="9">
        <v>11.6745</v>
      </c>
      <c r="N116" s="9">
        <v>4.7850000000000001</v>
      </c>
      <c r="O116" s="9">
        <v>0.36199999999999999</v>
      </c>
      <c r="P116" s="9">
        <v>1.1791</v>
      </c>
      <c r="Q116" s="9">
        <v>31.571999999999999</v>
      </c>
      <c r="R116" s="9"/>
      <c r="S116" s="11"/>
    </row>
    <row r="117" spans="1:19" ht="15.75">
      <c r="A117" s="13">
        <v>45047</v>
      </c>
      <c r="B117" s="8">
        <f>CHOOSE( CONTROL!$C$32, 6.2372, 6.2348) * CHOOSE(CONTROL!$C$15, $D$11, 100%, $F$11)</f>
        <v>6.2371999999999996</v>
      </c>
      <c r="C117" s="8">
        <f>CHOOSE( CONTROL!$C$32, 6.2477, 6.2453) * CHOOSE(CONTROL!$C$15, $D$11, 100%, $F$11)</f>
        <v>6.2477</v>
      </c>
      <c r="D117" s="8">
        <f>CHOOSE( CONTROL!$C$32, 6.2836, 6.2812) * CHOOSE( CONTROL!$C$15, $D$11, 100%, $F$11)</f>
        <v>6.2835999999999999</v>
      </c>
      <c r="E117" s="12">
        <f>CHOOSE( CONTROL!$C$32, 6.269, 6.2666) * CHOOSE( CONTROL!$C$15, $D$11, 100%, $F$11)</f>
        <v>6.2690000000000001</v>
      </c>
      <c r="F117" s="4">
        <f>CHOOSE( CONTROL!$C$32, 6.9765, 6.9741) * CHOOSE(CONTROL!$C$15, $D$11, 100%, $F$11)</f>
        <v>6.9764999999999997</v>
      </c>
      <c r="G117" s="8">
        <f>CHOOSE( CONTROL!$C$32, 6.0899, 6.0876) * CHOOSE( CONTROL!$C$15, $D$11, 100%, $F$11)</f>
        <v>6.0899000000000001</v>
      </c>
      <c r="H117" s="4">
        <f>CHOOSE( CONTROL!$C$32, 7.0551, 7.0527) * CHOOSE(CONTROL!$C$15, $D$11, 100%, $F$11)</f>
        <v>7.0551000000000004</v>
      </c>
      <c r="I117" s="8">
        <f>CHOOSE( CONTROL!$C$32, 6.0862, 6.0839) * CHOOSE(CONTROL!$C$15, $D$11, 100%, $F$11)</f>
        <v>6.0861999999999998</v>
      </c>
      <c r="J117" s="4">
        <f>CHOOSE( CONTROL!$C$32, 5.974, 5.9717) * CHOOSE(CONTROL!$C$15, $D$11, 100%, $F$11)</f>
        <v>5.9740000000000002</v>
      </c>
      <c r="K117" s="4"/>
      <c r="L117" s="9">
        <v>30.7165</v>
      </c>
      <c r="M117" s="9">
        <v>12.063700000000001</v>
      </c>
      <c r="N117" s="9">
        <v>4.9444999999999997</v>
      </c>
      <c r="O117" s="9">
        <v>0.37409999999999999</v>
      </c>
      <c r="P117" s="9">
        <v>1.2183999999999999</v>
      </c>
      <c r="Q117" s="9">
        <v>32.624400000000001</v>
      </c>
      <c r="R117" s="9"/>
      <c r="S117" s="11"/>
    </row>
    <row r="118" spans="1:19" ht="15.75">
      <c r="A118" s="13">
        <v>45078</v>
      </c>
      <c r="B118" s="8">
        <f>CHOOSE( CONTROL!$C$32, 6.1372, 6.1348) * CHOOSE(CONTROL!$C$15, $D$11, 100%, $F$11)</f>
        <v>6.1372</v>
      </c>
      <c r="C118" s="8">
        <f>CHOOSE( CONTROL!$C$32, 6.1477, 6.1453) * CHOOSE(CONTROL!$C$15, $D$11, 100%, $F$11)</f>
        <v>6.1477000000000004</v>
      </c>
      <c r="D118" s="8">
        <f>CHOOSE( CONTROL!$C$32, 6.1838, 6.1814) * CHOOSE( CONTROL!$C$15, $D$11, 100%, $F$11)</f>
        <v>6.1837999999999997</v>
      </c>
      <c r="E118" s="12">
        <f>CHOOSE( CONTROL!$C$32, 6.1691, 6.1667) * CHOOSE( CONTROL!$C$15, $D$11, 100%, $F$11)</f>
        <v>6.1691000000000003</v>
      </c>
      <c r="F118" s="4">
        <f>CHOOSE( CONTROL!$C$32, 6.8765, 6.8741) * CHOOSE(CONTROL!$C$15, $D$11, 100%, $F$11)</f>
        <v>6.8765000000000001</v>
      </c>
      <c r="G118" s="8">
        <f>CHOOSE( CONTROL!$C$32, 5.9924, 5.9901) * CHOOSE( CONTROL!$C$15, $D$11, 100%, $F$11)</f>
        <v>5.9923999999999999</v>
      </c>
      <c r="H118" s="4">
        <f>CHOOSE( CONTROL!$C$32, 6.9573, 6.955) * CHOOSE(CONTROL!$C$15, $D$11, 100%, $F$11)</f>
        <v>6.9573</v>
      </c>
      <c r="I118" s="8">
        <f>CHOOSE( CONTROL!$C$32, 5.9911, 5.9888) * CHOOSE(CONTROL!$C$15, $D$11, 100%, $F$11)</f>
        <v>5.9911000000000003</v>
      </c>
      <c r="J118" s="4">
        <f>CHOOSE( CONTROL!$C$32, 5.878, 5.8757) * CHOOSE(CONTROL!$C$15, $D$11, 100%, $F$11)</f>
        <v>5.8780000000000001</v>
      </c>
      <c r="K118" s="4"/>
      <c r="L118" s="9">
        <v>29.7257</v>
      </c>
      <c r="M118" s="9">
        <v>11.6745</v>
      </c>
      <c r="N118" s="9">
        <v>4.7850000000000001</v>
      </c>
      <c r="O118" s="9">
        <v>0.36199999999999999</v>
      </c>
      <c r="P118" s="9">
        <v>1.1791</v>
      </c>
      <c r="Q118" s="9">
        <v>31.571999999999999</v>
      </c>
      <c r="R118" s="9"/>
      <c r="S118" s="11"/>
    </row>
    <row r="119" spans="1:19" ht="15.75">
      <c r="A119" s="13">
        <v>45108</v>
      </c>
      <c r="B119" s="8">
        <f>CHOOSE( CONTROL!$C$32, 6.4005, 6.3981) * CHOOSE(CONTROL!$C$15, $D$11, 100%, $F$11)</f>
        <v>6.4005000000000001</v>
      </c>
      <c r="C119" s="8">
        <f>CHOOSE( CONTROL!$C$32, 6.4111, 6.4087) * CHOOSE(CONTROL!$C$15, $D$11, 100%, $F$11)</f>
        <v>6.4111000000000002</v>
      </c>
      <c r="D119" s="8">
        <f>CHOOSE( CONTROL!$C$32, 6.4473, 6.4449) * CHOOSE( CONTROL!$C$15, $D$11, 100%, $F$11)</f>
        <v>6.4473000000000003</v>
      </c>
      <c r="E119" s="12">
        <f>CHOOSE( CONTROL!$C$32, 6.4326, 6.4302) * CHOOSE( CONTROL!$C$15, $D$11, 100%, $F$11)</f>
        <v>6.4325999999999999</v>
      </c>
      <c r="F119" s="4">
        <f>CHOOSE( CONTROL!$C$32, 7.1399, 7.1375) * CHOOSE(CONTROL!$C$15, $D$11, 100%, $F$11)</f>
        <v>7.1398999999999999</v>
      </c>
      <c r="G119" s="8">
        <f>CHOOSE( CONTROL!$C$32, 6.2502, 6.2479) * CHOOSE( CONTROL!$C$15, $D$11, 100%, $F$11)</f>
        <v>6.2502000000000004</v>
      </c>
      <c r="H119" s="4">
        <f>CHOOSE( CONTROL!$C$32, 7.2148, 7.2124) * CHOOSE(CONTROL!$C$15, $D$11, 100%, $F$11)</f>
        <v>7.2148000000000003</v>
      </c>
      <c r="I119" s="8">
        <f>CHOOSE( CONTROL!$C$32, 6.245, 6.2427) * CHOOSE(CONTROL!$C$15, $D$11, 100%, $F$11)</f>
        <v>6.2450000000000001</v>
      </c>
      <c r="J119" s="4">
        <f>CHOOSE( CONTROL!$C$32, 6.1308, 6.1285) * CHOOSE(CONTROL!$C$15, $D$11, 100%, $F$11)</f>
        <v>6.1307999999999998</v>
      </c>
      <c r="K119" s="4"/>
      <c r="L119" s="9">
        <v>30.7165</v>
      </c>
      <c r="M119" s="9">
        <v>12.063700000000001</v>
      </c>
      <c r="N119" s="9">
        <v>4.9444999999999997</v>
      </c>
      <c r="O119" s="9">
        <v>0.37409999999999999</v>
      </c>
      <c r="P119" s="9">
        <v>1.2183999999999999</v>
      </c>
      <c r="Q119" s="9">
        <v>32.624400000000001</v>
      </c>
      <c r="R119" s="9"/>
      <c r="S119" s="11"/>
    </row>
    <row r="120" spans="1:19" ht="15.75">
      <c r="A120" s="13">
        <v>45139</v>
      </c>
      <c r="B120" s="8">
        <f>CHOOSE( CONTROL!$C$32, 5.9078, 5.9054) * CHOOSE(CONTROL!$C$15, $D$11, 100%, $F$11)</f>
        <v>5.9077999999999999</v>
      </c>
      <c r="C120" s="8">
        <f>CHOOSE( CONTROL!$C$32, 5.9183, 5.916) * CHOOSE(CONTROL!$C$15, $D$11, 100%, $F$11)</f>
        <v>5.9183000000000003</v>
      </c>
      <c r="D120" s="8">
        <f>CHOOSE( CONTROL!$C$32, 5.9546, 5.9522) * CHOOSE( CONTROL!$C$15, $D$11, 100%, $F$11)</f>
        <v>5.9546000000000001</v>
      </c>
      <c r="E120" s="12">
        <f>CHOOSE( CONTROL!$C$32, 5.9398, 5.9375) * CHOOSE( CONTROL!$C$15, $D$11, 100%, $F$11)</f>
        <v>5.9398</v>
      </c>
      <c r="F120" s="4">
        <f>CHOOSE( CONTROL!$C$32, 6.6471, 6.6447) * CHOOSE(CONTROL!$C$15, $D$11, 100%, $F$11)</f>
        <v>6.6471</v>
      </c>
      <c r="G120" s="8">
        <f>CHOOSE( CONTROL!$C$32, 5.7685, 5.7662) * CHOOSE( CONTROL!$C$15, $D$11, 100%, $F$11)</f>
        <v>5.7685000000000004</v>
      </c>
      <c r="H120" s="4">
        <f>CHOOSE( CONTROL!$C$32, 6.733, 6.7307) * CHOOSE(CONTROL!$C$15, $D$11, 100%, $F$11)</f>
        <v>6.7329999999999997</v>
      </c>
      <c r="I120" s="8">
        <f>CHOOSE( CONTROL!$C$32, 5.772, 5.7697) * CHOOSE(CONTROL!$C$15, $D$11, 100%, $F$11)</f>
        <v>5.7720000000000002</v>
      </c>
      <c r="J120" s="4">
        <f>CHOOSE( CONTROL!$C$32, 5.6577, 5.6554) * CHOOSE(CONTROL!$C$15, $D$11, 100%, $F$11)</f>
        <v>5.6577000000000002</v>
      </c>
      <c r="K120" s="4"/>
      <c r="L120" s="9">
        <v>30.7165</v>
      </c>
      <c r="M120" s="9">
        <v>12.063700000000001</v>
      </c>
      <c r="N120" s="9">
        <v>4.9444999999999997</v>
      </c>
      <c r="O120" s="9">
        <v>0.37409999999999999</v>
      </c>
      <c r="P120" s="9">
        <v>1.2183999999999999</v>
      </c>
      <c r="Q120" s="9">
        <v>32.624400000000001</v>
      </c>
      <c r="R120" s="9"/>
      <c r="S120" s="11"/>
    </row>
    <row r="121" spans="1:19" ht="15.75">
      <c r="A121" s="13">
        <v>45170</v>
      </c>
      <c r="B121" s="8">
        <f>CHOOSE( CONTROL!$C$32, 5.7844, 5.782) * CHOOSE(CONTROL!$C$15, $D$11, 100%, $F$11)</f>
        <v>5.7843999999999998</v>
      </c>
      <c r="C121" s="8">
        <f>CHOOSE( CONTROL!$C$32, 5.795, 5.7926) * CHOOSE(CONTROL!$C$15, $D$11, 100%, $F$11)</f>
        <v>5.7949999999999999</v>
      </c>
      <c r="D121" s="8">
        <f>CHOOSE( CONTROL!$C$32, 5.8312, 5.8288) * CHOOSE( CONTROL!$C$15, $D$11, 100%, $F$11)</f>
        <v>5.8311999999999999</v>
      </c>
      <c r="E121" s="12">
        <f>CHOOSE( CONTROL!$C$32, 5.8165, 5.8141) * CHOOSE( CONTROL!$C$15, $D$11, 100%, $F$11)</f>
        <v>5.8164999999999996</v>
      </c>
      <c r="F121" s="4">
        <f>CHOOSE( CONTROL!$C$32, 6.5238, 6.5214) * CHOOSE(CONTROL!$C$15, $D$11, 100%, $F$11)</f>
        <v>6.5237999999999996</v>
      </c>
      <c r="G121" s="8">
        <f>CHOOSE( CONTROL!$C$32, 5.6478, 5.6455) * CHOOSE( CONTROL!$C$15, $D$11, 100%, $F$11)</f>
        <v>5.6478000000000002</v>
      </c>
      <c r="H121" s="4">
        <f>CHOOSE( CONTROL!$C$32, 6.6124, 6.6101) * CHOOSE(CONTROL!$C$15, $D$11, 100%, $F$11)</f>
        <v>6.6124000000000001</v>
      </c>
      <c r="I121" s="8">
        <f>CHOOSE( CONTROL!$C$32, 5.6532, 5.6509) * CHOOSE(CONTROL!$C$15, $D$11, 100%, $F$11)</f>
        <v>5.6532</v>
      </c>
      <c r="J121" s="4">
        <f>CHOOSE( CONTROL!$C$32, 5.5393, 5.537) * CHOOSE(CONTROL!$C$15, $D$11, 100%, $F$11)</f>
        <v>5.5392999999999999</v>
      </c>
      <c r="K121" s="4"/>
      <c r="L121" s="9">
        <v>29.7257</v>
      </c>
      <c r="M121" s="9">
        <v>11.6745</v>
      </c>
      <c r="N121" s="9">
        <v>4.7850000000000001</v>
      </c>
      <c r="O121" s="9">
        <v>0.36199999999999999</v>
      </c>
      <c r="P121" s="9">
        <v>1.1791</v>
      </c>
      <c r="Q121" s="9">
        <v>31.571999999999999</v>
      </c>
      <c r="R121" s="9"/>
      <c r="S121" s="11"/>
    </row>
    <row r="122" spans="1:19" ht="15.75">
      <c r="A122" s="13">
        <v>45200</v>
      </c>
      <c r="B122" s="8">
        <f>6.0383 * CHOOSE(CONTROL!$C$15, $D$11, 100%, $F$11)</f>
        <v>6.0382999999999996</v>
      </c>
      <c r="C122" s="8">
        <f>6.049 * CHOOSE(CONTROL!$C$15, $D$11, 100%, $F$11)</f>
        <v>6.0490000000000004</v>
      </c>
      <c r="D122" s="8">
        <f>6.0866 * CHOOSE( CONTROL!$C$15, $D$11, 100%, $F$11)</f>
        <v>6.0865999999999998</v>
      </c>
      <c r="E122" s="12">
        <f>6.073 * CHOOSE( CONTROL!$C$15, $D$11, 100%, $F$11)</f>
        <v>6.0730000000000004</v>
      </c>
      <c r="F122" s="4">
        <f>6.7776 * CHOOSE(CONTROL!$C$15, $D$11, 100%, $F$11)</f>
        <v>6.7775999999999996</v>
      </c>
      <c r="G122" s="8">
        <f>5.8957 * CHOOSE( CONTROL!$C$15, $D$11, 100%, $F$11)</f>
        <v>5.8956999999999997</v>
      </c>
      <c r="H122" s="4">
        <f>6.8605 * CHOOSE(CONTROL!$C$15, $D$11, 100%, $F$11)</f>
        <v>6.8605</v>
      </c>
      <c r="I122" s="8">
        <f>5.8977 * CHOOSE(CONTROL!$C$15, $D$11, 100%, $F$11)</f>
        <v>5.8977000000000004</v>
      </c>
      <c r="J122" s="4">
        <f>5.7829 * CHOOSE(CONTROL!$C$15, $D$11, 100%, $F$11)</f>
        <v>5.7828999999999997</v>
      </c>
      <c r="K122" s="4"/>
      <c r="L122" s="9">
        <v>31.095300000000002</v>
      </c>
      <c r="M122" s="9">
        <v>12.063700000000001</v>
      </c>
      <c r="N122" s="9">
        <v>4.9444999999999997</v>
      </c>
      <c r="O122" s="9">
        <v>0.37409999999999999</v>
      </c>
      <c r="P122" s="9">
        <v>1.2183999999999999</v>
      </c>
      <c r="Q122" s="9">
        <v>32.624400000000001</v>
      </c>
      <c r="R122" s="9"/>
      <c r="S122" s="11"/>
    </row>
    <row r="123" spans="1:19" ht="15.75">
      <c r="A123" s="13">
        <v>45231</v>
      </c>
      <c r="B123" s="8">
        <f>6.5112 * CHOOSE(CONTROL!$C$15, $D$11, 100%, $F$11)</f>
        <v>6.5111999999999997</v>
      </c>
      <c r="C123" s="8">
        <f>6.522 * CHOOSE(CONTROL!$C$15, $D$11, 100%, $F$11)</f>
        <v>6.5220000000000002</v>
      </c>
      <c r="D123" s="8">
        <f>6.5047 * CHOOSE( CONTROL!$C$15, $D$11, 100%, $F$11)</f>
        <v>6.5046999999999997</v>
      </c>
      <c r="E123" s="12">
        <f>6.5099 * CHOOSE( CONTROL!$C$15, $D$11, 100%, $F$11)</f>
        <v>6.5099</v>
      </c>
      <c r="F123" s="4">
        <f>7.1697 * CHOOSE(CONTROL!$C$15, $D$11, 100%, $F$11)</f>
        <v>7.1696999999999997</v>
      </c>
      <c r="G123" s="8">
        <f>6.3647 * CHOOSE( CONTROL!$C$15, $D$11, 100%, $F$11)</f>
        <v>6.3647</v>
      </c>
      <c r="H123" s="4">
        <f>7.244 * CHOOSE(CONTROL!$C$15, $D$11, 100%, $F$11)</f>
        <v>7.2439999999999998</v>
      </c>
      <c r="I123" s="8">
        <f>6.3891 * CHOOSE(CONTROL!$C$15, $D$11, 100%, $F$11)</f>
        <v>6.3891</v>
      </c>
      <c r="J123" s="4">
        <f>6.2369 * CHOOSE(CONTROL!$C$15, $D$11, 100%, $F$11)</f>
        <v>6.2369000000000003</v>
      </c>
      <c r="K123" s="4"/>
      <c r="L123" s="9">
        <v>28.360600000000002</v>
      </c>
      <c r="M123" s="9">
        <v>11.6745</v>
      </c>
      <c r="N123" s="9">
        <v>4.7850000000000001</v>
      </c>
      <c r="O123" s="9">
        <v>0.36199999999999999</v>
      </c>
      <c r="P123" s="9">
        <v>1.2509999999999999</v>
      </c>
      <c r="Q123" s="9">
        <v>31.571999999999999</v>
      </c>
      <c r="R123" s="9"/>
      <c r="S123" s="11"/>
    </row>
    <row r="124" spans="1:19" ht="15.75">
      <c r="A124" s="13">
        <v>45261</v>
      </c>
      <c r="B124" s="8">
        <f>6.4994 * CHOOSE(CONTROL!$C$15, $D$11, 100%, $F$11)</f>
        <v>6.4993999999999996</v>
      </c>
      <c r="C124" s="8">
        <f>6.5102 * CHOOSE(CONTROL!$C$15, $D$11, 100%, $F$11)</f>
        <v>6.5102000000000002</v>
      </c>
      <c r="D124" s="8">
        <f>6.4946 * CHOOSE( CONTROL!$C$15, $D$11, 100%, $F$11)</f>
        <v>6.4946000000000002</v>
      </c>
      <c r="E124" s="12">
        <f>6.4992 * CHOOSE( CONTROL!$C$15, $D$11, 100%, $F$11)</f>
        <v>6.4992000000000001</v>
      </c>
      <c r="F124" s="4">
        <f>7.1579 * CHOOSE(CONTROL!$C$15, $D$11, 100%, $F$11)</f>
        <v>7.1578999999999997</v>
      </c>
      <c r="G124" s="8">
        <f>6.3544 * CHOOSE( CONTROL!$C$15, $D$11, 100%, $F$11)</f>
        <v>6.3544</v>
      </c>
      <c r="H124" s="4">
        <f>7.2324 * CHOOSE(CONTROL!$C$15, $D$11, 100%, $F$11)</f>
        <v>7.2324000000000002</v>
      </c>
      <c r="I124" s="8">
        <f>6.3829 * CHOOSE(CONTROL!$C$15, $D$11, 100%, $F$11)</f>
        <v>6.3829000000000002</v>
      </c>
      <c r="J124" s="4">
        <f>6.2256 * CHOOSE(CONTROL!$C$15, $D$11, 100%, $F$11)</f>
        <v>6.2256</v>
      </c>
      <c r="K124" s="4"/>
      <c r="L124" s="9">
        <v>29.306000000000001</v>
      </c>
      <c r="M124" s="9">
        <v>12.063700000000001</v>
      </c>
      <c r="N124" s="9">
        <v>4.9444999999999997</v>
      </c>
      <c r="O124" s="9">
        <v>0.37409999999999999</v>
      </c>
      <c r="P124" s="9">
        <v>1.2927</v>
      </c>
      <c r="Q124" s="9">
        <v>32.624400000000001</v>
      </c>
      <c r="R124" s="9"/>
      <c r="S124" s="11"/>
    </row>
    <row r="125" spans="1:19" ht="15.75">
      <c r="A125" s="13">
        <v>45292</v>
      </c>
      <c r="B125" s="8">
        <f>6.7337 * CHOOSE(CONTROL!$C$15, $D$11, 100%, $F$11)</f>
        <v>6.7336999999999998</v>
      </c>
      <c r="C125" s="8">
        <f>6.7444 * CHOOSE(CONTROL!$C$15, $D$11, 100%, $F$11)</f>
        <v>6.7443999999999997</v>
      </c>
      <c r="D125" s="8">
        <f>6.7258 * CHOOSE( CONTROL!$C$15, $D$11, 100%, $F$11)</f>
        <v>6.7257999999999996</v>
      </c>
      <c r="E125" s="12">
        <f>6.7315 * CHOOSE( CONTROL!$C$15, $D$11, 100%, $F$11)</f>
        <v>6.7314999999999996</v>
      </c>
      <c r="F125" s="4">
        <f>7.3922 * CHOOSE(CONTROL!$C$15, $D$11, 100%, $F$11)</f>
        <v>7.3921999999999999</v>
      </c>
      <c r="G125" s="8">
        <f>6.5759 * CHOOSE( CONTROL!$C$15, $D$11, 100%, $F$11)</f>
        <v>6.5758999999999999</v>
      </c>
      <c r="H125" s="4">
        <f>7.4615 * CHOOSE(CONTROL!$C$15, $D$11, 100%, $F$11)</f>
        <v>7.4615</v>
      </c>
      <c r="I125" s="8">
        <f>6.5729 * CHOOSE(CONTROL!$C$15, $D$11, 100%, $F$11)</f>
        <v>6.5728999999999997</v>
      </c>
      <c r="J125" s="4">
        <f>6.4505 * CHOOSE(CONTROL!$C$15, $D$11, 100%, $F$11)</f>
        <v>6.4504999999999999</v>
      </c>
      <c r="K125" s="4"/>
      <c r="L125" s="9">
        <v>29.306000000000001</v>
      </c>
      <c r="M125" s="9">
        <v>12.063700000000001</v>
      </c>
      <c r="N125" s="9">
        <v>4.9444999999999997</v>
      </c>
      <c r="O125" s="9">
        <v>0.37409999999999999</v>
      </c>
      <c r="P125" s="9">
        <v>1.2927</v>
      </c>
      <c r="Q125" s="9">
        <v>32.440300000000001</v>
      </c>
      <c r="R125" s="9"/>
      <c r="S125" s="11"/>
    </row>
    <row r="126" spans="1:19" ht="15.75">
      <c r="A126" s="13">
        <v>45323</v>
      </c>
      <c r="B126" s="8">
        <f>6.2993 * CHOOSE(CONTROL!$C$15, $D$11, 100%, $F$11)</f>
        <v>6.2992999999999997</v>
      </c>
      <c r="C126" s="8">
        <f>6.3101 * CHOOSE(CONTROL!$C$15, $D$11, 100%, $F$11)</f>
        <v>6.3101000000000003</v>
      </c>
      <c r="D126" s="8">
        <f>6.2914 * CHOOSE( CONTROL!$C$15, $D$11, 100%, $F$11)</f>
        <v>6.2914000000000003</v>
      </c>
      <c r="E126" s="12">
        <f>6.2971 * CHOOSE( CONTROL!$C$15, $D$11, 100%, $F$11)</f>
        <v>6.2971000000000004</v>
      </c>
      <c r="F126" s="4">
        <f>6.9578 * CHOOSE(CONTROL!$C$15, $D$11, 100%, $F$11)</f>
        <v>6.9577999999999998</v>
      </c>
      <c r="G126" s="8">
        <f>6.1511 * CHOOSE( CONTROL!$C$15, $D$11, 100%, $F$11)</f>
        <v>6.1510999999999996</v>
      </c>
      <c r="H126" s="4">
        <f>7.0368 * CHOOSE(CONTROL!$C$15, $D$11, 100%, $F$11)</f>
        <v>7.0368000000000004</v>
      </c>
      <c r="I126" s="8">
        <f>6.1553 * CHOOSE(CONTROL!$C$15, $D$11, 100%, $F$11)</f>
        <v>6.1553000000000004</v>
      </c>
      <c r="J126" s="4">
        <f>6.0335 * CHOOSE(CONTROL!$C$15, $D$11, 100%, $F$11)</f>
        <v>6.0335000000000001</v>
      </c>
      <c r="K126" s="4"/>
      <c r="L126" s="9">
        <v>27.415299999999998</v>
      </c>
      <c r="M126" s="9">
        <v>11.285299999999999</v>
      </c>
      <c r="N126" s="9">
        <v>4.6254999999999997</v>
      </c>
      <c r="O126" s="9">
        <v>0.34989999999999999</v>
      </c>
      <c r="P126" s="9">
        <v>1.2093</v>
      </c>
      <c r="Q126" s="9">
        <v>30.347300000000001</v>
      </c>
      <c r="R126" s="9"/>
      <c r="S126" s="11"/>
    </row>
    <row r="127" spans="1:19" ht="15.75">
      <c r="A127" s="13">
        <v>45352</v>
      </c>
      <c r="B127" s="8">
        <f>6.1655 * CHOOSE(CONTROL!$C$15, $D$11, 100%, $F$11)</f>
        <v>6.1654999999999998</v>
      </c>
      <c r="C127" s="8">
        <f>6.1763 * CHOOSE(CONTROL!$C$15, $D$11, 100%, $F$11)</f>
        <v>6.1763000000000003</v>
      </c>
      <c r="D127" s="8">
        <f>6.1571 * CHOOSE( CONTROL!$C$15, $D$11, 100%, $F$11)</f>
        <v>6.1570999999999998</v>
      </c>
      <c r="E127" s="12">
        <f>6.163 * CHOOSE( CONTROL!$C$15, $D$11, 100%, $F$11)</f>
        <v>6.1630000000000003</v>
      </c>
      <c r="F127" s="4">
        <f>6.824 * CHOOSE(CONTROL!$C$15, $D$11, 100%, $F$11)</f>
        <v>6.8239999999999998</v>
      </c>
      <c r="G127" s="8">
        <f>6.02 * CHOOSE( CONTROL!$C$15, $D$11, 100%, $F$11)</f>
        <v>6.02</v>
      </c>
      <c r="H127" s="4">
        <f>6.906 * CHOOSE(CONTROL!$C$15, $D$11, 100%, $F$11)</f>
        <v>6.9059999999999997</v>
      </c>
      <c r="I127" s="8">
        <f>6.0253 * CHOOSE(CONTROL!$C$15, $D$11, 100%, $F$11)</f>
        <v>6.0252999999999997</v>
      </c>
      <c r="J127" s="4">
        <f>5.9051 * CHOOSE(CONTROL!$C$15, $D$11, 100%, $F$11)</f>
        <v>5.9051</v>
      </c>
      <c r="K127" s="4"/>
      <c r="L127" s="9">
        <v>29.306000000000001</v>
      </c>
      <c r="M127" s="9">
        <v>12.063700000000001</v>
      </c>
      <c r="N127" s="9">
        <v>4.9444999999999997</v>
      </c>
      <c r="O127" s="9">
        <v>0.37409999999999999</v>
      </c>
      <c r="P127" s="9">
        <v>1.2927</v>
      </c>
      <c r="Q127" s="9">
        <v>32.440300000000001</v>
      </c>
      <c r="R127" s="9"/>
      <c r="S127" s="11"/>
    </row>
    <row r="128" spans="1:19" ht="15.75">
      <c r="A128" s="13">
        <v>45383</v>
      </c>
      <c r="B128" s="8">
        <f>6.259 * CHOOSE(CONTROL!$C$15, $D$11, 100%, $F$11)</f>
        <v>6.2590000000000003</v>
      </c>
      <c r="C128" s="8">
        <f>6.2698 * CHOOSE(CONTROL!$C$15, $D$11, 100%, $F$11)</f>
        <v>6.2698</v>
      </c>
      <c r="D128" s="8">
        <f>6.3067 * CHOOSE( CONTROL!$C$15, $D$11, 100%, $F$11)</f>
        <v>6.3067000000000002</v>
      </c>
      <c r="E128" s="12">
        <f>6.2933 * CHOOSE( CONTROL!$C$15, $D$11, 100%, $F$11)</f>
        <v>6.2933000000000003</v>
      </c>
      <c r="F128" s="4">
        <f>6.9983 * CHOOSE(CONTROL!$C$15, $D$11, 100%, $F$11)</f>
        <v>6.9983000000000004</v>
      </c>
      <c r="G128" s="8">
        <f>6.1106 * CHOOSE( CONTROL!$C$15, $D$11, 100%, $F$11)</f>
        <v>6.1105999999999998</v>
      </c>
      <c r="H128" s="4">
        <f>7.0763 * CHOOSE(CONTROL!$C$15, $D$11, 100%, $F$11)</f>
        <v>7.0762999999999998</v>
      </c>
      <c r="I128" s="8">
        <f>6.107 * CHOOSE(CONTROL!$C$15, $D$11, 100%, $F$11)</f>
        <v>6.1070000000000002</v>
      </c>
      <c r="J128" s="4">
        <f>5.9948 * CHOOSE(CONTROL!$C$15, $D$11, 100%, $F$11)</f>
        <v>5.9947999999999997</v>
      </c>
      <c r="K128" s="4"/>
      <c r="L128" s="9">
        <v>30.092199999999998</v>
      </c>
      <c r="M128" s="9">
        <v>11.6745</v>
      </c>
      <c r="N128" s="9">
        <v>4.7850000000000001</v>
      </c>
      <c r="O128" s="9">
        <v>0.36199999999999999</v>
      </c>
      <c r="P128" s="9">
        <v>1.1791</v>
      </c>
      <c r="Q128" s="9">
        <v>31.393799999999999</v>
      </c>
      <c r="R128" s="9"/>
      <c r="S128" s="11"/>
    </row>
    <row r="129" spans="1:19" ht="15.75">
      <c r="A129" s="13">
        <v>45413</v>
      </c>
      <c r="B129" s="8">
        <f>CHOOSE( CONTROL!$C$32, 6.4277, 6.4253) * CHOOSE(CONTROL!$C$15, $D$11, 100%, $F$11)</f>
        <v>6.4276999999999997</v>
      </c>
      <c r="C129" s="8">
        <f>CHOOSE( CONTROL!$C$32, 6.4382, 6.4358) * CHOOSE(CONTROL!$C$15, $D$11, 100%, $F$11)</f>
        <v>6.4382000000000001</v>
      </c>
      <c r="D129" s="8">
        <f>CHOOSE( CONTROL!$C$32, 6.4741, 6.4717) * CHOOSE( CONTROL!$C$15, $D$11, 100%, $F$11)</f>
        <v>6.4741</v>
      </c>
      <c r="E129" s="12">
        <f>CHOOSE( CONTROL!$C$32, 6.4595, 6.4571) * CHOOSE( CONTROL!$C$15, $D$11, 100%, $F$11)</f>
        <v>6.4595000000000002</v>
      </c>
      <c r="F129" s="4">
        <f>CHOOSE( CONTROL!$C$32, 7.167, 7.1646) * CHOOSE(CONTROL!$C$15, $D$11, 100%, $F$11)</f>
        <v>7.1669999999999998</v>
      </c>
      <c r="G129" s="8">
        <f>CHOOSE( CONTROL!$C$32, 6.2761, 6.2738) * CHOOSE( CONTROL!$C$15, $D$11, 100%, $F$11)</f>
        <v>6.2760999999999996</v>
      </c>
      <c r="H129" s="4">
        <f>CHOOSE( CONTROL!$C$32, 7.2413, 7.239) * CHOOSE(CONTROL!$C$15, $D$11, 100%, $F$11)</f>
        <v>7.2412999999999998</v>
      </c>
      <c r="I129" s="8">
        <f>CHOOSE( CONTROL!$C$32, 6.2692, 6.2669) * CHOOSE(CONTROL!$C$15, $D$11, 100%, $F$11)</f>
        <v>6.2691999999999997</v>
      </c>
      <c r="J129" s="4">
        <f>CHOOSE( CONTROL!$C$32, 6.1569, 6.1546) * CHOOSE(CONTROL!$C$15, $D$11, 100%, $F$11)</f>
        <v>6.1569000000000003</v>
      </c>
      <c r="K129" s="4"/>
      <c r="L129" s="9">
        <v>30.7165</v>
      </c>
      <c r="M129" s="9">
        <v>12.063700000000001</v>
      </c>
      <c r="N129" s="9">
        <v>4.9444999999999997</v>
      </c>
      <c r="O129" s="9">
        <v>0.37409999999999999</v>
      </c>
      <c r="P129" s="9">
        <v>1.2183999999999999</v>
      </c>
      <c r="Q129" s="9">
        <v>32.440300000000001</v>
      </c>
      <c r="R129" s="9"/>
      <c r="S129" s="11"/>
    </row>
    <row r="130" spans="1:19" ht="15.75">
      <c r="A130" s="13">
        <v>45444</v>
      </c>
      <c r="B130" s="8">
        <f>CHOOSE( CONTROL!$C$32, 6.3246, 6.3222) * CHOOSE(CONTROL!$C$15, $D$11, 100%, $F$11)</f>
        <v>6.3246000000000002</v>
      </c>
      <c r="C130" s="8">
        <f>CHOOSE( CONTROL!$C$32, 6.3352, 6.3328) * CHOOSE(CONTROL!$C$15, $D$11, 100%, $F$11)</f>
        <v>6.3352000000000004</v>
      </c>
      <c r="D130" s="8">
        <f>CHOOSE( CONTROL!$C$32, 6.3712, 6.3688) * CHOOSE( CONTROL!$C$15, $D$11, 100%, $F$11)</f>
        <v>6.3712</v>
      </c>
      <c r="E130" s="12">
        <f>CHOOSE( CONTROL!$C$32, 6.3565, 6.3541) * CHOOSE( CONTROL!$C$15, $D$11, 100%, $F$11)</f>
        <v>6.3564999999999996</v>
      </c>
      <c r="F130" s="4">
        <f>CHOOSE( CONTROL!$C$32, 7.064, 7.0616) * CHOOSE(CONTROL!$C$15, $D$11, 100%, $F$11)</f>
        <v>7.0640000000000001</v>
      </c>
      <c r="G130" s="8">
        <f>CHOOSE( CONTROL!$C$32, 6.1757, 6.1733) * CHOOSE( CONTROL!$C$15, $D$11, 100%, $F$11)</f>
        <v>6.1757</v>
      </c>
      <c r="H130" s="4">
        <f>CHOOSE( CONTROL!$C$32, 7.1406, 7.1382) * CHOOSE(CONTROL!$C$15, $D$11, 100%, $F$11)</f>
        <v>7.1406000000000001</v>
      </c>
      <c r="I130" s="8">
        <f>CHOOSE( CONTROL!$C$32, 6.1711, 6.1688) * CHOOSE(CONTROL!$C$15, $D$11, 100%, $F$11)</f>
        <v>6.1711</v>
      </c>
      <c r="J130" s="4">
        <f>CHOOSE( CONTROL!$C$32, 6.0579, 6.0556) * CHOOSE(CONTROL!$C$15, $D$11, 100%, $F$11)</f>
        <v>6.0579000000000001</v>
      </c>
      <c r="K130" s="4"/>
      <c r="L130" s="9">
        <v>29.7257</v>
      </c>
      <c r="M130" s="9">
        <v>11.6745</v>
      </c>
      <c r="N130" s="9">
        <v>4.7850000000000001</v>
      </c>
      <c r="O130" s="9">
        <v>0.36199999999999999</v>
      </c>
      <c r="P130" s="9">
        <v>1.1791</v>
      </c>
      <c r="Q130" s="9">
        <v>31.393799999999999</v>
      </c>
      <c r="R130" s="9"/>
      <c r="S130" s="11"/>
    </row>
    <row r="131" spans="1:19" ht="15.75">
      <c r="A131" s="13">
        <v>45474</v>
      </c>
      <c r="B131" s="8">
        <f>CHOOSE( CONTROL!$C$32, 6.596, 6.5936) * CHOOSE(CONTROL!$C$15, $D$11, 100%, $F$11)</f>
        <v>6.5960000000000001</v>
      </c>
      <c r="C131" s="8">
        <f>CHOOSE( CONTROL!$C$32, 6.6066, 6.6042) * CHOOSE(CONTROL!$C$15, $D$11, 100%, $F$11)</f>
        <v>6.6066000000000003</v>
      </c>
      <c r="D131" s="8">
        <f>CHOOSE( CONTROL!$C$32, 6.6428, 6.6404) * CHOOSE( CONTROL!$C$15, $D$11, 100%, $F$11)</f>
        <v>6.6428000000000003</v>
      </c>
      <c r="E131" s="12">
        <f>CHOOSE( CONTROL!$C$32, 6.6281, 6.6257) * CHOOSE( CONTROL!$C$15, $D$11, 100%, $F$11)</f>
        <v>6.6280999999999999</v>
      </c>
      <c r="F131" s="4">
        <f>CHOOSE( CONTROL!$C$32, 7.3354, 7.333) * CHOOSE(CONTROL!$C$15, $D$11, 100%, $F$11)</f>
        <v>7.3353999999999999</v>
      </c>
      <c r="G131" s="8">
        <f>CHOOSE( CONTROL!$C$32, 6.4413, 6.439) * CHOOSE( CONTROL!$C$15, $D$11, 100%, $F$11)</f>
        <v>6.4413</v>
      </c>
      <c r="H131" s="4">
        <f>CHOOSE( CONTROL!$C$32, 7.4059, 7.4036) * CHOOSE(CONTROL!$C$15, $D$11, 100%, $F$11)</f>
        <v>7.4058999999999999</v>
      </c>
      <c r="I131" s="8">
        <f>CHOOSE( CONTROL!$C$32, 6.4328, 6.4305) * CHOOSE(CONTROL!$C$15, $D$11, 100%, $F$11)</f>
        <v>6.4328000000000003</v>
      </c>
      <c r="J131" s="4">
        <f>CHOOSE( CONTROL!$C$32, 6.3185, 6.3162) * CHOOSE(CONTROL!$C$15, $D$11, 100%, $F$11)</f>
        <v>6.3185000000000002</v>
      </c>
      <c r="K131" s="4"/>
      <c r="L131" s="9">
        <v>30.7165</v>
      </c>
      <c r="M131" s="9">
        <v>12.063700000000001</v>
      </c>
      <c r="N131" s="9">
        <v>4.9444999999999997</v>
      </c>
      <c r="O131" s="9">
        <v>0.37409999999999999</v>
      </c>
      <c r="P131" s="9">
        <v>1.2183999999999999</v>
      </c>
      <c r="Q131" s="9">
        <v>32.440300000000001</v>
      </c>
      <c r="R131" s="9"/>
      <c r="S131" s="11"/>
    </row>
    <row r="132" spans="1:19" ht="15.75">
      <c r="A132" s="13">
        <v>45505</v>
      </c>
      <c r="B132" s="8">
        <f>CHOOSE( CONTROL!$C$32, 6.0882, 6.0858) * CHOOSE(CONTROL!$C$15, $D$11, 100%, $F$11)</f>
        <v>6.0881999999999996</v>
      </c>
      <c r="C132" s="8">
        <f>CHOOSE( CONTROL!$C$32, 6.0987, 6.0963) * CHOOSE(CONTROL!$C$15, $D$11, 100%, $F$11)</f>
        <v>6.0987</v>
      </c>
      <c r="D132" s="8">
        <f>CHOOSE( CONTROL!$C$32, 6.135, 6.1326) * CHOOSE( CONTROL!$C$15, $D$11, 100%, $F$11)</f>
        <v>6.1349999999999998</v>
      </c>
      <c r="E132" s="12">
        <f>CHOOSE( CONTROL!$C$32, 6.1202, 6.1178) * CHOOSE( CONTROL!$C$15, $D$11, 100%, $F$11)</f>
        <v>6.1201999999999996</v>
      </c>
      <c r="F132" s="4">
        <f>CHOOSE( CONTROL!$C$32, 6.8275, 6.8251) * CHOOSE(CONTROL!$C$15, $D$11, 100%, $F$11)</f>
        <v>6.8274999999999997</v>
      </c>
      <c r="G132" s="8">
        <f>CHOOSE( CONTROL!$C$32, 5.9449, 5.9426) * CHOOSE( CONTROL!$C$15, $D$11, 100%, $F$11)</f>
        <v>5.9448999999999996</v>
      </c>
      <c r="H132" s="4">
        <f>CHOOSE( CONTROL!$C$32, 6.9094, 6.9071) * CHOOSE(CONTROL!$C$15, $D$11, 100%, $F$11)</f>
        <v>6.9093999999999998</v>
      </c>
      <c r="I132" s="8">
        <f>CHOOSE( CONTROL!$C$32, 5.9452, 5.9429) * CHOOSE(CONTROL!$C$15, $D$11, 100%, $F$11)</f>
        <v>5.9451999999999998</v>
      </c>
      <c r="J132" s="4">
        <f>CHOOSE( CONTROL!$C$32, 5.8309, 5.8286) * CHOOSE(CONTROL!$C$15, $D$11, 100%, $F$11)</f>
        <v>5.8308999999999997</v>
      </c>
      <c r="K132" s="4"/>
      <c r="L132" s="9">
        <v>30.7165</v>
      </c>
      <c r="M132" s="9">
        <v>12.063700000000001</v>
      </c>
      <c r="N132" s="9">
        <v>4.9444999999999997</v>
      </c>
      <c r="O132" s="9">
        <v>0.37409999999999999</v>
      </c>
      <c r="P132" s="9">
        <v>1.2183999999999999</v>
      </c>
      <c r="Q132" s="9">
        <v>32.440300000000001</v>
      </c>
      <c r="R132" s="9"/>
      <c r="S132" s="11"/>
    </row>
    <row r="133" spans="1:19" ht="15.75">
      <c r="A133" s="13">
        <v>45536</v>
      </c>
      <c r="B133" s="8">
        <f>CHOOSE( CONTROL!$C$32, 5.961, 5.9586) * CHOOSE(CONTROL!$C$15, $D$11, 100%, $F$11)</f>
        <v>5.9610000000000003</v>
      </c>
      <c r="C133" s="8">
        <f>CHOOSE( CONTROL!$C$32, 5.9716, 5.9692) * CHOOSE(CONTROL!$C$15, $D$11, 100%, $F$11)</f>
        <v>5.9715999999999996</v>
      </c>
      <c r="D133" s="8">
        <f>CHOOSE( CONTROL!$C$32, 6.0078, 6.0054) * CHOOSE( CONTROL!$C$15, $D$11, 100%, $F$11)</f>
        <v>6.0077999999999996</v>
      </c>
      <c r="E133" s="12">
        <f>CHOOSE( CONTROL!$C$32, 5.9931, 5.9907) * CHOOSE( CONTROL!$C$15, $D$11, 100%, $F$11)</f>
        <v>5.9931000000000001</v>
      </c>
      <c r="F133" s="4">
        <f>CHOOSE( CONTROL!$C$32, 6.7004, 6.698) * CHOOSE(CONTROL!$C$15, $D$11, 100%, $F$11)</f>
        <v>6.7004000000000001</v>
      </c>
      <c r="G133" s="8">
        <f>CHOOSE( CONTROL!$C$32, 5.8205, 5.8182) * CHOOSE( CONTROL!$C$15, $D$11, 100%, $F$11)</f>
        <v>5.8205</v>
      </c>
      <c r="H133" s="4">
        <f>CHOOSE( CONTROL!$C$32, 6.7851, 6.7827) * CHOOSE(CONTROL!$C$15, $D$11, 100%, $F$11)</f>
        <v>6.7850999999999999</v>
      </c>
      <c r="I133" s="8">
        <f>CHOOSE( CONTROL!$C$32, 5.8228, 5.8205) * CHOOSE(CONTROL!$C$15, $D$11, 100%, $F$11)</f>
        <v>5.8228</v>
      </c>
      <c r="J133" s="4">
        <f>CHOOSE( CONTROL!$C$32, 5.7088, 5.7065) * CHOOSE(CONTROL!$C$15, $D$11, 100%, $F$11)</f>
        <v>5.7088000000000001</v>
      </c>
      <c r="K133" s="4"/>
      <c r="L133" s="9">
        <v>29.7257</v>
      </c>
      <c r="M133" s="9">
        <v>11.6745</v>
      </c>
      <c r="N133" s="9">
        <v>4.7850000000000001</v>
      </c>
      <c r="O133" s="9">
        <v>0.36199999999999999</v>
      </c>
      <c r="P133" s="9">
        <v>1.1791</v>
      </c>
      <c r="Q133" s="9">
        <v>31.393799999999999</v>
      </c>
      <c r="R133" s="9"/>
      <c r="S133" s="11"/>
    </row>
    <row r="134" spans="1:19" ht="15.75">
      <c r="A134" s="13">
        <v>45566</v>
      </c>
      <c r="B134" s="8">
        <f>6.2228 * CHOOSE(CONTROL!$C$15, $D$11, 100%, $F$11)</f>
        <v>6.2228000000000003</v>
      </c>
      <c r="C134" s="8">
        <f>6.2335 * CHOOSE(CONTROL!$C$15, $D$11, 100%, $F$11)</f>
        <v>6.2335000000000003</v>
      </c>
      <c r="D134" s="8">
        <f>6.2711 * CHOOSE( CONTROL!$C$15, $D$11, 100%, $F$11)</f>
        <v>6.2710999999999997</v>
      </c>
      <c r="E134" s="12">
        <f>6.2575 * CHOOSE( CONTROL!$C$15, $D$11, 100%, $F$11)</f>
        <v>6.2575000000000003</v>
      </c>
      <c r="F134" s="4">
        <f>6.962 * CHOOSE(CONTROL!$C$15, $D$11, 100%, $F$11)</f>
        <v>6.9619999999999997</v>
      </c>
      <c r="G134" s="8">
        <f>6.0761 * CHOOSE( CONTROL!$C$15, $D$11, 100%, $F$11)</f>
        <v>6.0761000000000003</v>
      </c>
      <c r="H134" s="4">
        <f>7.0409 * CHOOSE(CONTROL!$C$15, $D$11, 100%, $F$11)</f>
        <v>7.0408999999999997</v>
      </c>
      <c r="I134" s="8">
        <f>6.0749 * CHOOSE(CONTROL!$C$15, $D$11, 100%, $F$11)</f>
        <v>6.0749000000000004</v>
      </c>
      <c r="J134" s="4">
        <f>5.96 * CHOOSE(CONTROL!$C$15, $D$11, 100%, $F$11)</f>
        <v>5.96</v>
      </c>
      <c r="K134" s="4"/>
      <c r="L134" s="9">
        <v>31.095300000000002</v>
      </c>
      <c r="M134" s="9">
        <v>12.063700000000001</v>
      </c>
      <c r="N134" s="9">
        <v>4.9444999999999997</v>
      </c>
      <c r="O134" s="9">
        <v>0.37409999999999999</v>
      </c>
      <c r="P134" s="9">
        <v>1.2183999999999999</v>
      </c>
      <c r="Q134" s="9">
        <v>32.440300000000001</v>
      </c>
      <c r="R134" s="9"/>
      <c r="S134" s="11"/>
    </row>
    <row r="135" spans="1:19" ht="15.75">
      <c r="A135" s="13">
        <v>45597</v>
      </c>
      <c r="B135" s="8">
        <f>6.7102 * CHOOSE(CONTROL!$C$15, $D$11, 100%, $F$11)</f>
        <v>6.7102000000000004</v>
      </c>
      <c r="C135" s="8">
        <f>6.7209 * CHOOSE(CONTROL!$C$15, $D$11, 100%, $F$11)</f>
        <v>6.7209000000000003</v>
      </c>
      <c r="D135" s="8">
        <f>6.7037 * CHOOSE( CONTROL!$C$15, $D$11, 100%, $F$11)</f>
        <v>6.7037000000000004</v>
      </c>
      <c r="E135" s="12">
        <f>6.7088 * CHOOSE( CONTROL!$C$15, $D$11, 100%, $F$11)</f>
        <v>6.7088000000000001</v>
      </c>
      <c r="F135" s="4">
        <f>7.3687 * CHOOSE(CONTROL!$C$15, $D$11, 100%, $F$11)</f>
        <v>7.3686999999999996</v>
      </c>
      <c r="G135" s="8">
        <f>6.5592 * CHOOSE( CONTROL!$C$15, $D$11, 100%, $F$11)</f>
        <v>6.5591999999999997</v>
      </c>
      <c r="H135" s="4">
        <f>7.4385 * CHOOSE(CONTROL!$C$15, $D$11, 100%, $F$11)</f>
        <v>7.4385000000000003</v>
      </c>
      <c r="I135" s="8">
        <f>6.5802 * CHOOSE(CONTROL!$C$15, $D$11, 100%, $F$11)</f>
        <v>6.5801999999999996</v>
      </c>
      <c r="J135" s="4">
        <f>6.428 * CHOOSE(CONTROL!$C$15, $D$11, 100%, $F$11)</f>
        <v>6.4279999999999999</v>
      </c>
      <c r="K135" s="4"/>
      <c r="L135" s="9">
        <v>28.360600000000002</v>
      </c>
      <c r="M135" s="9">
        <v>11.6745</v>
      </c>
      <c r="N135" s="9">
        <v>4.7850000000000001</v>
      </c>
      <c r="O135" s="9">
        <v>0.36199999999999999</v>
      </c>
      <c r="P135" s="9">
        <v>1.2509999999999999</v>
      </c>
      <c r="Q135" s="9">
        <v>31.393799999999999</v>
      </c>
      <c r="R135" s="9"/>
      <c r="S135" s="11"/>
    </row>
    <row r="136" spans="1:19" ht="15.75">
      <c r="A136" s="13">
        <v>45627</v>
      </c>
      <c r="B136" s="8">
        <f>6.698 * CHOOSE(CONTROL!$C$15, $D$11, 100%, $F$11)</f>
        <v>6.6980000000000004</v>
      </c>
      <c r="C136" s="8">
        <f>6.7087 * CHOOSE(CONTROL!$C$15, $D$11, 100%, $F$11)</f>
        <v>6.7087000000000003</v>
      </c>
      <c r="D136" s="8">
        <f>6.6932 * CHOOSE( CONTROL!$C$15, $D$11, 100%, $F$11)</f>
        <v>6.6932</v>
      </c>
      <c r="E136" s="12">
        <f>6.6977 * CHOOSE( CONTROL!$C$15, $D$11, 100%, $F$11)</f>
        <v>6.6977000000000002</v>
      </c>
      <c r="F136" s="4">
        <f>7.3565 * CHOOSE(CONTROL!$C$15, $D$11, 100%, $F$11)</f>
        <v>7.3564999999999996</v>
      </c>
      <c r="G136" s="8">
        <f>6.5485 * CHOOSE( CONTROL!$C$15, $D$11, 100%, $F$11)</f>
        <v>6.5484999999999998</v>
      </c>
      <c r="H136" s="4">
        <f>7.4266 * CHOOSE(CONTROL!$C$15, $D$11, 100%, $F$11)</f>
        <v>7.4265999999999996</v>
      </c>
      <c r="I136" s="8">
        <f>6.5737 * CHOOSE(CONTROL!$C$15, $D$11, 100%, $F$11)</f>
        <v>6.5736999999999997</v>
      </c>
      <c r="J136" s="4">
        <f>6.4163 * CHOOSE(CONTROL!$C$15, $D$11, 100%, $F$11)</f>
        <v>6.4162999999999997</v>
      </c>
      <c r="K136" s="4"/>
      <c r="L136" s="9">
        <v>29.306000000000001</v>
      </c>
      <c r="M136" s="9">
        <v>12.063700000000001</v>
      </c>
      <c r="N136" s="9">
        <v>4.9444999999999997</v>
      </c>
      <c r="O136" s="9">
        <v>0.37409999999999999</v>
      </c>
      <c r="P136" s="9">
        <v>1.2927</v>
      </c>
      <c r="Q136" s="9">
        <v>32.440300000000001</v>
      </c>
      <c r="R136" s="9"/>
      <c r="S136" s="11"/>
    </row>
    <row r="137" spans="1:19" ht="15.75">
      <c r="A137" s="13">
        <v>45658</v>
      </c>
      <c r="B137" s="8">
        <f>6.9387 * CHOOSE(CONTROL!$C$15, $D$11, 100%, $F$11)</f>
        <v>6.9386999999999999</v>
      </c>
      <c r="C137" s="8">
        <f>6.9495 * CHOOSE(CONTROL!$C$15, $D$11, 100%, $F$11)</f>
        <v>6.9494999999999996</v>
      </c>
      <c r="D137" s="8">
        <f>6.9308 * CHOOSE( CONTROL!$C$15, $D$11, 100%, $F$11)</f>
        <v>6.9307999999999996</v>
      </c>
      <c r="E137" s="12">
        <f>6.9365 * CHOOSE( CONTROL!$C$15, $D$11, 100%, $F$11)</f>
        <v>6.9364999999999997</v>
      </c>
      <c r="F137" s="4">
        <f>7.5972 * CHOOSE(CONTROL!$C$15, $D$11, 100%, $F$11)</f>
        <v>7.5972</v>
      </c>
      <c r="G137" s="8">
        <f>6.7763 * CHOOSE( CONTROL!$C$15, $D$11, 100%, $F$11)</f>
        <v>6.7763</v>
      </c>
      <c r="H137" s="4">
        <f>7.6619 * CHOOSE(CONTROL!$C$15, $D$11, 100%, $F$11)</f>
        <v>7.6619000000000002</v>
      </c>
      <c r="I137" s="8">
        <f>6.7698 * CHOOSE(CONTROL!$C$15, $D$11, 100%, $F$11)</f>
        <v>6.7698</v>
      </c>
      <c r="J137" s="4">
        <f>6.6474 * CHOOSE(CONTROL!$C$15, $D$11, 100%, $F$11)</f>
        <v>6.6474000000000002</v>
      </c>
      <c r="K137" s="4"/>
      <c r="L137" s="9">
        <v>29.306000000000001</v>
      </c>
      <c r="M137" s="9">
        <v>12.063700000000001</v>
      </c>
      <c r="N137" s="9">
        <v>4.9444999999999997</v>
      </c>
      <c r="O137" s="9">
        <v>0.37409999999999999</v>
      </c>
      <c r="P137" s="9">
        <v>1.2927</v>
      </c>
      <c r="Q137" s="9">
        <v>32.254300000000001</v>
      </c>
      <c r="R137" s="9"/>
      <c r="S137" s="11"/>
    </row>
    <row r="138" spans="1:19" ht="15.75">
      <c r="A138" s="13">
        <v>45689</v>
      </c>
      <c r="B138" s="8">
        <f>6.4911 * CHOOSE(CONTROL!$C$15, $D$11, 100%, $F$11)</f>
        <v>6.4911000000000003</v>
      </c>
      <c r="C138" s="8">
        <f>6.5019 * CHOOSE(CONTROL!$C$15, $D$11, 100%, $F$11)</f>
        <v>6.5019</v>
      </c>
      <c r="D138" s="8">
        <f>6.4831 * CHOOSE( CONTROL!$C$15, $D$11, 100%, $F$11)</f>
        <v>6.4831000000000003</v>
      </c>
      <c r="E138" s="12">
        <f>6.4888 * CHOOSE( CONTROL!$C$15, $D$11, 100%, $F$11)</f>
        <v>6.4888000000000003</v>
      </c>
      <c r="F138" s="4">
        <f>7.1496 * CHOOSE(CONTROL!$C$15, $D$11, 100%, $F$11)</f>
        <v>7.1496000000000004</v>
      </c>
      <c r="G138" s="8">
        <f>6.3386 * CHOOSE( CONTROL!$C$15, $D$11, 100%, $F$11)</f>
        <v>6.3385999999999996</v>
      </c>
      <c r="H138" s="4">
        <f>7.2243 * CHOOSE(CONTROL!$C$15, $D$11, 100%, $F$11)</f>
        <v>7.2243000000000004</v>
      </c>
      <c r="I138" s="8">
        <f>6.3396 * CHOOSE(CONTROL!$C$15, $D$11, 100%, $F$11)</f>
        <v>6.3395999999999999</v>
      </c>
      <c r="J138" s="4">
        <f>6.2176 * CHOOSE(CONTROL!$C$15, $D$11, 100%, $F$11)</f>
        <v>6.2176</v>
      </c>
      <c r="K138" s="4"/>
      <c r="L138" s="9">
        <v>26.469899999999999</v>
      </c>
      <c r="M138" s="9">
        <v>10.8962</v>
      </c>
      <c r="N138" s="9">
        <v>4.4660000000000002</v>
      </c>
      <c r="O138" s="9">
        <v>0.33789999999999998</v>
      </c>
      <c r="P138" s="9">
        <v>1.1676</v>
      </c>
      <c r="Q138" s="9">
        <v>29.132899999999999</v>
      </c>
      <c r="R138" s="9"/>
      <c r="S138" s="11"/>
    </row>
    <row r="139" spans="1:19" ht="15.75">
      <c r="A139" s="13">
        <v>45717</v>
      </c>
      <c r="B139" s="8">
        <f>6.3532 * CHOOSE(CONTROL!$C$15, $D$11, 100%, $F$11)</f>
        <v>6.3532000000000002</v>
      </c>
      <c r="C139" s="8">
        <f>6.364 * CHOOSE(CONTROL!$C$15, $D$11, 100%, $F$11)</f>
        <v>6.3639999999999999</v>
      </c>
      <c r="D139" s="8">
        <f>6.3448 * CHOOSE( CONTROL!$C$15, $D$11, 100%, $F$11)</f>
        <v>6.3448000000000002</v>
      </c>
      <c r="E139" s="12">
        <f>6.3507 * CHOOSE( CONTROL!$C$15, $D$11, 100%, $F$11)</f>
        <v>6.3506999999999998</v>
      </c>
      <c r="F139" s="4">
        <f>7.0117 * CHOOSE(CONTROL!$C$15, $D$11, 100%, $F$11)</f>
        <v>7.0117000000000003</v>
      </c>
      <c r="G139" s="8">
        <f>6.2035 * CHOOSE( CONTROL!$C$15, $D$11, 100%, $F$11)</f>
        <v>6.2035</v>
      </c>
      <c r="H139" s="4">
        <f>7.0895 * CHOOSE(CONTROL!$C$15, $D$11, 100%, $F$11)</f>
        <v>7.0895000000000001</v>
      </c>
      <c r="I139" s="8">
        <f>6.2056 * CHOOSE(CONTROL!$C$15, $D$11, 100%, $F$11)</f>
        <v>6.2055999999999996</v>
      </c>
      <c r="J139" s="4">
        <f>6.0853 * CHOOSE(CONTROL!$C$15, $D$11, 100%, $F$11)</f>
        <v>6.0853000000000002</v>
      </c>
      <c r="K139" s="4"/>
      <c r="L139" s="9">
        <v>29.306000000000001</v>
      </c>
      <c r="M139" s="9">
        <v>12.063700000000001</v>
      </c>
      <c r="N139" s="9">
        <v>4.9444999999999997</v>
      </c>
      <c r="O139" s="9">
        <v>0.37409999999999999</v>
      </c>
      <c r="P139" s="9">
        <v>1.2927</v>
      </c>
      <c r="Q139" s="9">
        <v>32.254300000000001</v>
      </c>
      <c r="R139" s="9"/>
      <c r="S139" s="11"/>
    </row>
    <row r="140" spans="1:19" ht="15.75">
      <c r="A140" s="13">
        <v>45748</v>
      </c>
      <c r="B140" s="8">
        <f>6.4495 * CHOOSE(CONTROL!$C$15, $D$11, 100%, $F$11)</f>
        <v>6.4494999999999996</v>
      </c>
      <c r="C140" s="8">
        <f>6.4603 * CHOOSE(CONTROL!$C$15, $D$11, 100%, $F$11)</f>
        <v>6.4603000000000002</v>
      </c>
      <c r="D140" s="8">
        <f>6.4972 * CHOOSE( CONTROL!$C$15, $D$11, 100%, $F$11)</f>
        <v>6.4972000000000003</v>
      </c>
      <c r="E140" s="12">
        <f>6.4838 * CHOOSE( CONTROL!$C$15, $D$11, 100%, $F$11)</f>
        <v>6.4837999999999996</v>
      </c>
      <c r="F140" s="4">
        <f>7.1888 * CHOOSE(CONTROL!$C$15, $D$11, 100%, $F$11)</f>
        <v>7.1887999999999996</v>
      </c>
      <c r="G140" s="8">
        <f>6.2969 * CHOOSE( CONTROL!$C$15, $D$11, 100%, $F$11)</f>
        <v>6.2968999999999999</v>
      </c>
      <c r="H140" s="4">
        <f>7.2626 * CHOOSE(CONTROL!$C$15, $D$11, 100%, $F$11)</f>
        <v>7.2625999999999999</v>
      </c>
      <c r="I140" s="8">
        <f>6.29 * CHOOSE(CONTROL!$C$15, $D$11, 100%, $F$11)</f>
        <v>6.29</v>
      </c>
      <c r="J140" s="4">
        <f>6.1778 * CHOOSE(CONTROL!$C$15, $D$11, 100%, $F$11)</f>
        <v>6.1778000000000004</v>
      </c>
      <c r="K140" s="4"/>
      <c r="L140" s="9">
        <v>30.092199999999998</v>
      </c>
      <c r="M140" s="9">
        <v>11.6745</v>
      </c>
      <c r="N140" s="9">
        <v>4.7850000000000001</v>
      </c>
      <c r="O140" s="9">
        <v>0.36199999999999999</v>
      </c>
      <c r="P140" s="9">
        <v>1.1791</v>
      </c>
      <c r="Q140" s="9">
        <v>31.213799999999999</v>
      </c>
      <c r="R140" s="9"/>
      <c r="S140" s="11"/>
    </row>
    <row r="141" spans="1:19" ht="15.75">
      <c r="A141" s="13">
        <v>45778</v>
      </c>
      <c r="B141" s="8">
        <f>CHOOSE( CONTROL!$C$32, 6.6233, 6.6209) * CHOOSE(CONTROL!$C$15, $D$11, 100%, $F$11)</f>
        <v>6.6233000000000004</v>
      </c>
      <c r="C141" s="8">
        <f>CHOOSE( CONTROL!$C$32, 6.6338, 6.6314) * CHOOSE(CONTROL!$C$15, $D$11, 100%, $F$11)</f>
        <v>6.6337999999999999</v>
      </c>
      <c r="D141" s="8">
        <f>CHOOSE( CONTROL!$C$32, 6.6697, 6.6673) * CHOOSE( CONTROL!$C$15, $D$11, 100%, $F$11)</f>
        <v>6.6696999999999997</v>
      </c>
      <c r="E141" s="12">
        <f>CHOOSE( CONTROL!$C$32, 6.6551, 6.6527) * CHOOSE( CONTROL!$C$15, $D$11, 100%, $F$11)</f>
        <v>6.6551</v>
      </c>
      <c r="F141" s="4">
        <f>CHOOSE( CONTROL!$C$32, 7.3626, 7.3602) * CHOOSE(CONTROL!$C$15, $D$11, 100%, $F$11)</f>
        <v>7.3625999999999996</v>
      </c>
      <c r="G141" s="8">
        <f>CHOOSE( CONTROL!$C$32, 6.4674, 6.465) * CHOOSE( CONTROL!$C$15, $D$11, 100%, $F$11)</f>
        <v>6.4673999999999996</v>
      </c>
      <c r="H141" s="4">
        <f>CHOOSE( CONTROL!$C$32, 7.4326, 7.4302) * CHOOSE(CONTROL!$C$15, $D$11, 100%, $F$11)</f>
        <v>7.4325999999999999</v>
      </c>
      <c r="I141" s="8">
        <f>CHOOSE( CONTROL!$C$32, 6.4571, 6.4548) * CHOOSE(CONTROL!$C$15, $D$11, 100%, $F$11)</f>
        <v>6.4570999999999996</v>
      </c>
      <c r="J141" s="4">
        <f>CHOOSE( CONTROL!$C$32, 6.3447, 6.3424) * CHOOSE(CONTROL!$C$15, $D$11, 100%, $F$11)</f>
        <v>6.3446999999999996</v>
      </c>
      <c r="K141" s="4"/>
      <c r="L141" s="9">
        <v>30.7165</v>
      </c>
      <c r="M141" s="9">
        <v>12.063700000000001</v>
      </c>
      <c r="N141" s="9">
        <v>4.9444999999999997</v>
      </c>
      <c r="O141" s="9">
        <v>0.37409999999999999</v>
      </c>
      <c r="P141" s="9">
        <v>1.2183999999999999</v>
      </c>
      <c r="Q141" s="9">
        <v>32.254300000000001</v>
      </c>
      <c r="R141" s="9"/>
      <c r="S141" s="11"/>
    </row>
    <row r="142" spans="1:19" ht="15.75">
      <c r="A142" s="13">
        <v>45809</v>
      </c>
      <c r="B142" s="8">
        <f>CHOOSE( CONTROL!$C$32, 6.5171, 6.5147) * CHOOSE(CONTROL!$C$15, $D$11, 100%, $F$11)</f>
        <v>6.5171000000000001</v>
      </c>
      <c r="C142" s="8">
        <f>CHOOSE( CONTROL!$C$32, 6.5276, 6.5252) * CHOOSE(CONTROL!$C$15, $D$11, 100%, $F$11)</f>
        <v>6.5275999999999996</v>
      </c>
      <c r="D142" s="8">
        <f>CHOOSE( CONTROL!$C$32, 6.5637, 6.5613) * CHOOSE( CONTROL!$C$15, $D$11, 100%, $F$11)</f>
        <v>6.5636999999999999</v>
      </c>
      <c r="E142" s="12">
        <f>CHOOSE( CONTROL!$C$32, 6.549, 6.5466) * CHOOSE( CONTROL!$C$15, $D$11, 100%, $F$11)</f>
        <v>6.5490000000000004</v>
      </c>
      <c r="F142" s="4">
        <f>CHOOSE( CONTROL!$C$32, 7.2564, 7.254) * CHOOSE(CONTROL!$C$15, $D$11, 100%, $F$11)</f>
        <v>7.2564000000000002</v>
      </c>
      <c r="G142" s="8">
        <f>CHOOSE( CONTROL!$C$32, 6.3638, 6.3615) * CHOOSE( CONTROL!$C$15, $D$11, 100%, $F$11)</f>
        <v>6.3638000000000003</v>
      </c>
      <c r="H142" s="4">
        <f>CHOOSE( CONTROL!$C$32, 7.3287, 7.3264) * CHOOSE(CONTROL!$C$15, $D$11, 100%, $F$11)</f>
        <v>7.3287000000000004</v>
      </c>
      <c r="I142" s="8">
        <f>CHOOSE( CONTROL!$C$32, 6.356, 6.3537) * CHOOSE(CONTROL!$C$15, $D$11, 100%, $F$11)</f>
        <v>6.3559999999999999</v>
      </c>
      <c r="J142" s="4">
        <f>CHOOSE( CONTROL!$C$32, 6.2427, 6.2404) * CHOOSE(CONTROL!$C$15, $D$11, 100%, $F$11)</f>
        <v>6.2427000000000001</v>
      </c>
      <c r="K142" s="4"/>
      <c r="L142" s="9">
        <v>29.7257</v>
      </c>
      <c r="M142" s="9">
        <v>11.6745</v>
      </c>
      <c r="N142" s="9">
        <v>4.7850000000000001</v>
      </c>
      <c r="O142" s="9">
        <v>0.36199999999999999</v>
      </c>
      <c r="P142" s="9">
        <v>1.1791</v>
      </c>
      <c r="Q142" s="9">
        <v>31.213799999999999</v>
      </c>
      <c r="R142" s="9"/>
      <c r="S142" s="11"/>
    </row>
    <row r="143" spans="1:19" ht="15.75">
      <c r="A143" s="13">
        <v>45839</v>
      </c>
      <c r="B143" s="8">
        <f>CHOOSE( CONTROL!$C$32, 6.7967, 6.7944) * CHOOSE(CONTROL!$C$15, $D$11, 100%, $F$11)</f>
        <v>6.7967000000000004</v>
      </c>
      <c r="C143" s="8">
        <f>CHOOSE( CONTROL!$C$32, 6.8073, 6.8049) * CHOOSE(CONTROL!$C$15, $D$11, 100%, $F$11)</f>
        <v>6.8072999999999997</v>
      </c>
      <c r="D143" s="8">
        <f>CHOOSE( CONTROL!$C$32, 6.8436, 6.8412) * CHOOSE( CONTROL!$C$15, $D$11, 100%, $F$11)</f>
        <v>6.8436000000000003</v>
      </c>
      <c r="E143" s="12">
        <f>CHOOSE( CONTROL!$C$32, 6.8288, 6.8264) * CHOOSE( CONTROL!$C$15, $D$11, 100%, $F$11)</f>
        <v>6.8288000000000002</v>
      </c>
      <c r="F143" s="4">
        <f>CHOOSE( CONTROL!$C$32, 7.5361, 7.5337) * CHOOSE(CONTROL!$C$15, $D$11, 100%, $F$11)</f>
        <v>7.5361000000000002</v>
      </c>
      <c r="G143" s="8">
        <f>CHOOSE( CONTROL!$C$32, 6.6376, 6.6353) * CHOOSE( CONTROL!$C$15, $D$11, 100%, $F$11)</f>
        <v>6.6375999999999999</v>
      </c>
      <c r="H143" s="4">
        <f>CHOOSE( CONTROL!$C$32, 7.6022, 7.5998) * CHOOSE(CONTROL!$C$15, $D$11, 100%, $F$11)</f>
        <v>7.6021999999999998</v>
      </c>
      <c r="I143" s="8">
        <f>CHOOSE( CONTROL!$C$32, 6.6257, 6.6234) * CHOOSE(CONTROL!$C$15, $D$11, 100%, $F$11)</f>
        <v>6.6257000000000001</v>
      </c>
      <c r="J143" s="4">
        <f>CHOOSE( CONTROL!$C$32, 6.5112, 6.5089) * CHOOSE(CONTROL!$C$15, $D$11, 100%, $F$11)</f>
        <v>6.5111999999999997</v>
      </c>
      <c r="K143" s="4"/>
      <c r="L143" s="9">
        <v>30.7165</v>
      </c>
      <c r="M143" s="9">
        <v>12.063700000000001</v>
      </c>
      <c r="N143" s="9">
        <v>4.9444999999999997</v>
      </c>
      <c r="O143" s="9">
        <v>0.37409999999999999</v>
      </c>
      <c r="P143" s="9">
        <v>1.2183999999999999</v>
      </c>
      <c r="Q143" s="9">
        <v>32.254300000000001</v>
      </c>
      <c r="R143" s="9"/>
      <c r="S143" s="11"/>
    </row>
    <row r="144" spans="1:19" ht="15.75">
      <c r="A144" s="13">
        <v>45870</v>
      </c>
      <c r="B144" s="8">
        <f>CHOOSE( CONTROL!$C$32, 6.2734, 6.271) * CHOOSE(CONTROL!$C$15, $D$11, 100%, $F$11)</f>
        <v>6.2733999999999996</v>
      </c>
      <c r="C144" s="8">
        <f>CHOOSE( CONTROL!$C$32, 6.284, 6.2816) * CHOOSE(CONTROL!$C$15, $D$11, 100%, $F$11)</f>
        <v>6.2839999999999998</v>
      </c>
      <c r="D144" s="8">
        <f>CHOOSE( CONTROL!$C$32, 6.3203, 6.3179) * CHOOSE( CONTROL!$C$15, $D$11, 100%, $F$11)</f>
        <v>6.3202999999999996</v>
      </c>
      <c r="E144" s="12">
        <f>CHOOSE( CONTROL!$C$32, 6.3055, 6.3031) * CHOOSE( CONTROL!$C$15, $D$11, 100%, $F$11)</f>
        <v>6.3055000000000003</v>
      </c>
      <c r="F144" s="4">
        <f>CHOOSE( CONTROL!$C$32, 7.0128, 7.0104) * CHOOSE(CONTROL!$C$15, $D$11, 100%, $F$11)</f>
        <v>7.0128000000000004</v>
      </c>
      <c r="G144" s="8">
        <f>CHOOSE( CONTROL!$C$32, 6.126, 6.1237) * CHOOSE( CONTROL!$C$15, $D$11, 100%, $F$11)</f>
        <v>6.1260000000000003</v>
      </c>
      <c r="H144" s="4">
        <f>CHOOSE( CONTROL!$C$32, 7.0905, 7.0882) * CHOOSE(CONTROL!$C$15, $D$11, 100%, $F$11)</f>
        <v>7.0904999999999996</v>
      </c>
      <c r="I144" s="8">
        <f>CHOOSE( CONTROL!$C$32, 6.1232, 6.1209) * CHOOSE(CONTROL!$C$15, $D$11, 100%, $F$11)</f>
        <v>6.1231999999999998</v>
      </c>
      <c r="J144" s="4">
        <f>CHOOSE( CONTROL!$C$32, 6.0088, 6.0065) * CHOOSE(CONTROL!$C$15, $D$11, 100%, $F$11)</f>
        <v>6.0087999999999999</v>
      </c>
      <c r="K144" s="4"/>
      <c r="L144" s="9">
        <v>30.7165</v>
      </c>
      <c r="M144" s="9">
        <v>12.063700000000001</v>
      </c>
      <c r="N144" s="9">
        <v>4.9444999999999997</v>
      </c>
      <c r="O144" s="9">
        <v>0.37409999999999999</v>
      </c>
      <c r="P144" s="9">
        <v>1.2183999999999999</v>
      </c>
      <c r="Q144" s="9">
        <v>32.254300000000001</v>
      </c>
      <c r="R144" s="9"/>
      <c r="S144" s="11"/>
    </row>
    <row r="145" spans="1:19" ht="15.75">
      <c r="A145" s="13">
        <v>45901</v>
      </c>
      <c r="B145" s="8">
        <f>CHOOSE( CONTROL!$C$32, 6.1424, 6.14) * CHOOSE(CONTROL!$C$15, $D$11, 100%, $F$11)</f>
        <v>6.1424000000000003</v>
      </c>
      <c r="C145" s="8">
        <f>CHOOSE( CONTROL!$C$32, 6.1529, 6.1506) * CHOOSE(CONTROL!$C$15, $D$11, 100%, $F$11)</f>
        <v>6.1528999999999998</v>
      </c>
      <c r="D145" s="8">
        <f>CHOOSE( CONTROL!$C$32, 6.1892, 6.1868) * CHOOSE( CONTROL!$C$15, $D$11, 100%, $F$11)</f>
        <v>6.1891999999999996</v>
      </c>
      <c r="E145" s="12">
        <f>CHOOSE( CONTROL!$C$32, 6.1744, 6.1721) * CHOOSE( CONTROL!$C$15, $D$11, 100%, $F$11)</f>
        <v>6.1744000000000003</v>
      </c>
      <c r="F145" s="4">
        <f>CHOOSE( CONTROL!$C$32, 6.8817, 6.8793) * CHOOSE(CONTROL!$C$15, $D$11, 100%, $F$11)</f>
        <v>6.8817000000000004</v>
      </c>
      <c r="G145" s="8">
        <f>CHOOSE( CONTROL!$C$32, 5.9978, 5.9955) * CHOOSE( CONTROL!$C$15, $D$11, 100%, $F$11)</f>
        <v>5.9977999999999998</v>
      </c>
      <c r="H145" s="4">
        <f>CHOOSE( CONTROL!$C$32, 6.9624, 6.9601) * CHOOSE(CONTROL!$C$15, $D$11, 100%, $F$11)</f>
        <v>6.9623999999999997</v>
      </c>
      <c r="I145" s="8">
        <f>CHOOSE( CONTROL!$C$32, 5.997, 5.9947) * CHOOSE(CONTROL!$C$15, $D$11, 100%, $F$11)</f>
        <v>5.9969999999999999</v>
      </c>
      <c r="J145" s="4">
        <f>CHOOSE( CONTROL!$C$32, 5.883, 5.8807) * CHOOSE(CONTROL!$C$15, $D$11, 100%, $F$11)</f>
        <v>5.883</v>
      </c>
      <c r="K145" s="4"/>
      <c r="L145" s="9">
        <v>29.7257</v>
      </c>
      <c r="M145" s="9">
        <v>11.6745</v>
      </c>
      <c r="N145" s="9">
        <v>4.7850000000000001</v>
      </c>
      <c r="O145" s="9">
        <v>0.36199999999999999</v>
      </c>
      <c r="P145" s="9">
        <v>1.1791</v>
      </c>
      <c r="Q145" s="9">
        <v>31.213799999999999</v>
      </c>
      <c r="R145" s="9"/>
      <c r="S145" s="11"/>
    </row>
    <row r="146" spans="1:19" ht="15.75">
      <c r="A146" s="13">
        <v>45931</v>
      </c>
      <c r="B146" s="8">
        <f>6.4122 * CHOOSE(CONTROL!$C$15, $D$11, 100%, $F$11)</f>
        <v>6.4122000000000003</v>
      </c>
      <c r="C146" s="8">
        <f>6.4229 * CHOOSE(CONTROL!$C$15, $D$11, 100%, $F$11)</f>
        <v>6.4229000000000003</v>
      </c>
      <c r="D146" s="8">
        <f>6.4605 * CHOOSE( CONTROL!$C$15, $D$11, 100%, $F$11)</f>
        <v>6.4604999999999997</v>
      </c>
      <c r="E146" s="12">
        <f>6.4469 * CHOOSE( CONTROL!$C$15, $D$11, 100%, $F$11)</f>
        <v>6.4469000000000003</v>
      </c>
      <c r="F146" s="4">
        <f>7.1514 * CHOOSE(CONTROL!$C$15, $D$11, 100%, $F$11)</f>
        <v>7.1513999999999998</v>
      </c>
      <c r="G146" s="8">
        <f>6.2613 * CHOOSE( CONTROL!$C$15, $D$11, 100%, $F$11)</f>
        <v>6.2613000000000003</v>
      </c>
      <c r="H146" s="4">
        <f>7.2261 * CHOOSE(CONTROL!$C$15, $D$11, 100%, $F$11)</f>
        <v>7.2260999999999997</v>
      </c>
      <c r="I146" s="8">
        <f>6.2569 * CHOOSE(CONTROL!$C$15, $D$11, 100%, $F$11)</f>
        <v>6.2568999999999999</v>
      </c>
      <c r="J146" s="4">
        <f>6.1419 * CHOOSE(CONTROL!$C$15, $D$11, 100%, $F$11)</f>
        <v>6.1418999999999997</v>
      </c>
      <c r="K146" s="4"/>
      <c r="L146" s="9">
        <v>31.095300000000002</v>
      </c>
      <c r="M146" s="9">
        <v>12.063700000000001</v>
      </c>
      <c r="N146" s="9">
        <v>4.9444999999999997</v>
      </c>
      <c r="O146" s="9">
        <v>0.37409999999999999</v>
      </c>
      <c r="P146" s="9">
        <v>1.2183999999999999</v>
      </c>
      <c r="Q146" s="9">
        <v>32.254300000000001</v>
      </c>
      <c r="R146" s="9"/>
      <c r="S146" s="11"/>
    </row>
    <row r="147" spans="1:19" ht="15.75">
      <c r="A147" s="13">
        <v>45962</v>
      </c>
      <c r="B147" s="8">
        <f>6.9145 * CHOOSE(CONTROL!$C$15, $D$11, 100%, $F$11)</f>
        <v>6.9145000000000003</v>
      </c>
      <c r="C147" s="8">
        <f>6.9252 * CHOOSE(CONTROL!$C$15, $D$11, 100%, $F$11)</f>
        <v>6.9252000000000002</v>
      </c>
      <c r="D147" s="8">
        <f>6.908 * CHOOSE( CONTROL!$C$15, $D$11, 100%, $F$11)</f>
        <v>6.9080000000000004</v>
      </c>
      <c r="E147" s="12">
        <f>6.9131 * CHOOSE( CONTROL!$C$15, $D$11, 100%, $F$11)</f>
        <v>6.9131</v>
      </c>
      <c r="F147" s="4">
        <f>7.573 * CHOOSE(CONTROL!$C$15, $D$11, 100%, $F$11)</f>
        <v>7.5730000000000004</v>
      </c>
      <c r="G147" s="8">
        <f>6.7589 * CHOOSE( CONTROL!$C$15, $D$11, 100%, $F$11)</f>
        <v>6.7588999999999997</v>
      </c>
      <c r="H147" s="4">
        <f>7.6382 * CHOOSE(CONTROL!$C$15, $D$11, 100%, $F$11)</f>
        <v>7.6382000000000003</v>
      </c>
      <c r="I147" s="8">
        <f>6.7764 * CHOOSE(CONTROL!$C$15, $D$11, 100%, $F$11)</f>
        <v>6.7763999999999998</v>
      </c>
      <c r="J147" s="4">
        <f>6.6241 * CHOOSE(CONTROL!$C$15, $D$11, 100%, $F$11)</f>
        <v>6.6241000000000003</v>
      </c>
      <c r="K147" s="4"/>
      <c r="L147" s="9">
        <v>28.360600000000002</v>
      </c>
      <c r="M147" s="9">
        <v>11.6745</v>
      </c>
      <c r="N147" s="9">
        <v>4.7850000000000001</v>
      </c>
      <c r="O147" s="9">
        <v>0.36199999999999999</v>
      </c>
      <c r="P147" s="9">
        <v>1.2509999999999999</v>
      </c>
      <c r="Q147" s="9">
        <v>31.213799999999999</v>
      </c>
      <c r="R147" s="9"/>
      <c r="S147" s="11"/>
    </row>
    <row r="148" spans="1:19" ht="15.75">
      <c r="A148" s="13">
        <v>45992</v>
      </c>
      <c r="B148" s="8">
        <f>6.9019 * CHOOSE(CONTROL!$C$15, $D$11, 100%, $F$11)</f>
        <v>6.9019000000000004</v>
      </c>
      <c r="C148" s="8">
        <f>6.9127 * CHOOSE(CONTROL!$C$15, $D$11, 100%, $F$11)</f>
        <v>6.9127000000000001</v>
      </c>
      <c r="D148" s="8">
        <f>6.8971 * CHOOSE( CONTROL!$C$15, $D$11, 100%, $F$11)</f>
        <v>6.8971</v>
      </c>
      <c r="E148" s="12">
        <f>6.9017 * CHOOSE( CONTROL!$C$15, $D$11, 100%, $F$11)</f>
        <v>6.9016999999999999</v>
      </c>
      <c r="F148" s="4">
        <f>7.5604 * CHOOSE(CONTROL!$C$15, $D$11, 100%, $F$11)</f>
        <v>7.5603999999999996</v>
      </c>
      <c r="G148" s="8">
        <f>6.7479 * CHOOSE( CONTROL!$C$15, $D$11, 100%, $F$11)</f>
        <v>6.7478999999999996</v>
      </c>
      <c r="H148" s="4">
        <f>7.6259 * CHOOSE(CONTROL!$C$15, $D$11, 100%, $F$11)</f>
        <v>7.6258999999999997</v>
      </c>
      <c r="I148" s="8">
        <f>6.7696 * CHOOSE(CONTROL!$C$15, $D$11, 100%, $F$11)</f>
        <v>6.7695999999999996</v>
      </c>
      <c r="J148" s="4">
        <f>6.6121 * CHOOSE(CONTROL!$C$15, $D$11, 100%, $F$11)</f>
        <v>6.6120999999999999</v>
      </c>
      <c r="K148" s="4"/>
      <c r="L148" s="9">
        <v>29.306000000000001</v>
      </c>
      <c r="M148" s="9">
        <v>12.063700000000001</v>
      </c>
      <c r="N148" s="9">
        <v>4.9444999999999997</v>
      </c>
      <c r="O148" s="9">
        <v>0.37409999999999999</v>
      </c>
      <c r="P148" s="9">
        <v>1.2927</v>
      </c>
      <c r="Q148" s="9">
        <v>32.254300000000001</v>
      </c>
      <c r="R148" s="9"/>
      <c r="S148" s="11"/>
    </row>
    <row r="149" spans="1:19" ht="15.75">
      <c r="A149" s="13">
        <v>46023</v>
      </c>
      <c r="B149" s="8">
        <f>7.1492 * CHOOSE(CONTROL!$C$15, $D$11, 100%, $F$11)</f>
        <v>7.1492000000000004</v>
      </c>
      <c r="C149" s="8">
        <f>7.16 * CHOOSE(CONTROL!$C$15, $D$11, 100%, $F$11)</f>
        <v>7.16</v>
      </c>
      <c r="D149" s="8">
        <f>7.1414 * CHOOSE( CONTROL!$C$15, $D$11, 100%, $F$11)</f>
        <v>7.1414</v>
      </c>
      <c r="E149" s="12">
        <f>7.1471 * CHOOSE( CONTROL!$C$15, $D$11, 100%, $F$11)</f>
        <v>7.1471</v>
      </c>
      <c r="F149" s="4">
        <f>7.8077 * CHOOSE(CONTROL!$C$15, $D$11, 100%, $F$11)</f>
        <v>7.8076999999999996</v>
      </c>
      <c r="G149" s="8">
        <f>6.9822 * CHOOSE( CONTROL!$C$15, $D$11, 100%, $F$11)</f>
        <v>6.9821999999999997</v>
      </c>
      <c r="H149" s="4">
        <f>7.8677 * CHOOSE(CONTROL!$C$15, $D$11, 100%, $F$11)</f>
        <v>7.8677000000000001</v>
      </c>
      <c r="I149" s="8">
        <f>6.972 * CHOOSE(CONTROL!$C$15, $D$11, 100%, $F$11)</f>
        <v>6.9720000000000004</v>
      </c>
      <c r="J149" s="4">
        <f>6.8495 * CHOOSE(CONTROL!$C$15, $D$11, 100%, $F$11)</f>
        <v>6.8494999999999999</v>
      </c>
      <c r="K149" s="4"/>
      <c r="L149" s="9">
        <v>29.306000000000001</v>
      </c>
      <c r="M149" s="9">
        <v>12.063700000000001</v>
      </c>
      <c r="N149" s="9">
        <v>4.9444999999999997</v>
      </c>
      <c r="O149" s="9">
        <v>0.37409999999999999</v>
      </c>
      <c r="P149" s="9">
        <v>1.2927</v>
      </c>
      <c r="Q149" s="9">
        <v>32.070099999999996</v>
      </c>
      <c r="R149" s="9"/>
      <c r="S149" s="11"/>
    </row>
    <row r="150" spans="1:19" ht="15.75">
      <c r="A150" s="13">
        <v>46054</v>
      </c>
      <c r="B150" s="8">
        <f>6.688 * CHOOSE(CONTROL!$C$15, $D$11, 100%, $F$11)</f>
        <v>6.6879999999999997</v>
      </c>
      <c r="C150" s="8">
        <f>6.6988 * CHOOSE(CONTROL!$C$15, $D$11, 100%, $F$11)</f>
        <v>6.6988000000000003</v>
      </c>
      <c r="D150" s="8">
        <f>6.6801 * CHOOSE( CONTROL!$C$15, $D$11, 100%, $F$11)</f>
        <v>6.6801000000000004</v>
      </c>
      <c r="E150" s="12">
        <f>6.6858 * CHOOSE( CONTROL!$C$15, $D$11, 100%, $F$11)</f>
        <v>6.6858000000000004</v>
      </c>
      <c r="F150" s="4">
        <f>7.3465 * CHOOSE(CONTROL!$C$15, $D$11, 100%, $F$11)</f>
        <v>7.3464999999999998</v>
      </c>
      <c r="G150" s="8">
        <f>6.5312 * CHOOSE( CONTROL!$C$15, $D$11, 100%, $F$11)</f>
        <v>6.5312000000000001</v>
      </c>
      <c r="H150" s="4">
        <f>7.4168 * CHOOSE(CONTROL!$C$15, $D$11, 100%, $F$11)</f>
        <v>7.4168000000000003</v>
      </c>
      <c r="I150" s="8">
        <f>6.5287 * CHOOSE(CONTROL!$C$15, $D$11, 100%, $F$11)</f>
        <v>6.5286999999999997</v>
      </c>
      <c r="J150" s="4">
        <f>6.4067 * CHOOSE(CONTROL!$C$15, $D$11, 100%, $F$11)</f>
        <v>6.4066999999999998</v>
      </c>
      <c r="K150" s="4"/>
      <c r="L150" s="9">
        <v>26.469899999999999</v>
      </c>
      <c r="M150" s="9">
        <v>10.8962</v>
      </c>
      <c r="N150" s="9">
        <v>4.4660000000000002</v>
      </c>
      <c r="O150" s="9">
        <v>0.33789999999999998</v>
      </c>
      <c r="P150" s="9">
        <v>1.1676</v>
      </c>
      <c r="Q150" s="9">
        <v>28.9666</v>
      </c>
      <c r="R150" s="9"/>
      <c r="S150" s="11"/>
    </row>
    <row r="151" spans="1:19" ht="15.75">
      <c r="A151" s="13">
        <v>46082</v>
      </c>
      <c r="B151" s="8">
        <f>6.546 * CHOOSE(CONTROL!$C$15, $D$11, 100%, $F$11)</f>
        <v>6.5460000000000003</v>
      </c>
      <c r="C151" s="8">
        <f>6.5567 * CHOOSE(CONTROL!$C$15, $D$11, 100%, $F$11)</f>
        <v>6.5567000000000002</v>
      </c>
      <c r="D151" s="8">
        <f>6.5375 * CHOOSE( CONTROL!$C$15, $D$11, 100%, $F$11)</f>
        <v>6.5374999999999996</v>
      </c>
      <c r="E151" s="12">
        <f>6.5434 * CHOOSE( CONTROL!$C$15, $D$11, 100%, $F$11)</f>
        <v>6.5434000000000001</v>
      </c>
      <c r="F151" s="4">
        <f>7.2045 * CHOOSE(CONTROL!$C$15, $D$11, 100%, $F$11)</f>
        <v>7.2045000000000003</v>
      </c>
      <c r="G151" s="8">
        <f>6.3919 * CHOOSE( CONTROL!$C$15, $D$11, 100%, $F$11)</f>
        <v>6.3918999999999997</v>
      </c>
      <c r="H151" s="4">
        <f>7.2779 * CHOOSE(CONTROL!$C$15, $D$11, 100%, $F$11)</f>
        <v>7.2778999999999998</v>
      </c>
      <c r="I151" s="8">
        <f>6.3908 * CHOOSE(CONTROL!$C$15, $D$11, 100%, $F$11)</f>
        <v>6.3907999999999996</v>
      </c>
      <c r="J151" s="4">
        <f>6.2703 * CHOOSE(CONTROL!$C$15, $D$11, 100%, $F$11)</f>
        <v>6.2702999999999998</v>
      </c>
      <c r="K151" s="4"/>
      <c r="L151" s="9">
        <v>29.306000000000001</v>
      </c>
      <c r="M151" s="9">
        <v>12.063700000000001</v>
      </c>
      <c r="N151" s="9">
        <v>4.9444999999999997</v>
      </c>
      <c r="O151" s="9">
        <v>0.37409999999999999</v>
      </c>
      <c r="P151" s="9">
        <v>1.2927</v>
      </c>
      <c r="Q151" s="9">
        <v>32.070099999999996</v>
      </c>
      <c r="R151" s="9"/>
      <c r="S151" s="11"/>
    </row>
    <row r="152" spans="1:19" ht="15.75">
      <c r="A152" s="13">
        <v>46113</v>
      </c>
      <c r="B152" s="8">
        <f>6.6452 * CHOOSE(CONTROL!$C$15, $D$11, 100%, $F$11)</f>
        <v>6.6452</v>
      </c>
      <c r="C152" s="8">
        <f>6.656 * CHOOSE(CONTROL!$C$15, $D$11, 100%, $F$11)</f>
        <v>6.6559999999999997</v>
      </c>
      <c r="D152" s="8">
        <f>6.6929 * CHOOSE( CONTROL!$C$15, $D$11, 100%, $F$11)</f>
        <v>6.6928999999999998</v>
      </c>
      <c r="E152" s="12">
        <f>6.6795 * CHOOSE( CONTROL!$C$15, $D$11, 100%, $F$11)</f>
        <v>6.6795</v>
      </c>
      <c r="F152" s="4">
        <f>7.3844 * CHOOSE(CONTROL!$C$15, $D$11, 100%, $F$11)</f>
        <v>7.3844000000000003</v>
      </c>
      <c r="G152" s="8">
        <f>6.4882 * CHOOSE( CONTROL!$C$15, $D$11, 100%, $F$11)</f>
        <v>6.4882</v>
      </c>
      <c r="H152" s="4">
        <f>7.4539 * CHOOSE(CONTROL!$C$15, $D$11, 100%, $F$11)</f>
        <v>7.4539</v>
      </c>
      <c r="I152" s="8">
        <f>6.478 * CHOOSE(CONTROL!$C$15, $D$11, 100%, $F$11)</f>
        <v>6.4779999999999998</v>
      </c>
      <c r="J152" s="4">
        <f>6.3656 * CHOOSE(CONTROL!$C$15, $D$11, 100%, $F$11)</f>
        <v>6.3655999999999997</v>
      </c>
      <c r="K152" s="4"/>
      <c r="L152" s="9">
        <v>30.092199999999998</v>
      </c>
      <c r="M152" s="9">
        <v>11.6745</v>
      </c>
      <c r="N152" s="9">
        <v>4.7850000000000001</v>
      </c>
      <c r="O152" s="9">
        <v>0.36199999999999999</v>
      </c>
      <c r="P152" s="9">
        <v>1.1791</v>
      </c>
      <c r="Q152" s="9">
        <v>31.035599999999999</v>
      </c>
      <c r="R152" s="9"/>
      <c r="S152" s="11"/>
    </row>
    <row r="153" spans="1:19" ht="15.75">
      <c r="A153" s="13">
        <v>46143</v>
      </c>
      <c r="B153" s="8">
        <f>CHOOSE( CONTROL!$C$32, 6.8241, 6.8218) * CHOOSE(CONTROL!$C$15, $D$11, 100%, $F$11)</f>
        <v>6.8240999999999996</v>
      </c>
      <c r="C153" s="8">
        <f>CHOOSE( CONTROL!$C$32, 6.8347, 6.8323) * CHOOSE(CONTROL!$C$15, $D$11, 100%, $F$11)</f>
        <v>6.8346999999999998</v>
      </c>
      <c r="D153" s="8">
        <f>CHOOSE( CONTROL!$C$32, 6.8705, 6.8682) * CHOOSE( CONTROL!$C$15, $D$11, 100%, $F$11)</f>
        <v>6.8704999999999998</v>
      </c>
      <c r="E153" s="12">
        <f>CHOOSE( CONTROL!$C$32, 6.8559, 6.8536) * CHOOSE( CONTROL!$C$15, $D$11, 100%, $F$11)</f>
        <v>6.8559000000000001</v>
      </c>
      <c r="F153" s="4">
        <f>CHOOSE( CONTROL!$C$32, 7.5635, 7.5611) * CHOOSE(CONTROL!$C$15, $D$11, 100%, $F$11)</f>
        <v>7.5635000000000003</v>
      </c>
      <c r="G153" s="8">
        <f>CHOOSE( CONTROL!$C$32, 6.6638, 6.6614) * CHOOSE( CONTROL!$C$15, $D$11, 100%, $F$11)</f>
        <v>6.6638000000000002</v>
      </c>
      <c r="H153" s="4">
        <f>CHOOSE( CONTROL!$C$32, 7.629, 7.6266) * CHOOSE(CONTROL!$C$15, $D$11, 100%, $F$11)</f>
        <v>7.6289999999999996</v>
      </c>
      <c r="I153" s="8">
        <f>CHOOSE( CONTROL!$C$32, 6.65, 6.6477) * CHOOSE(CONTROL!$C$15, $D$11, 100%, $F$11)</f>
        <v>6.65</v>
      </c>
      <c r="J153" s="4">
        <f>CHOOSE( CONTROL!$C$32, 6.5375, 6.5352) * CHOOSE(CONTROL!$C$15, $D$11, 100%, $F$11)</f>
        <v>6.5374999999999996</v>
      </c>
      <c r="K153" s="4"/>
      <c r="L153" s="9">
        <v>30.7165</v>
      </c>
      <c r="M153" s="9">
        <v>12.063700000000001</v>
      </c>
      <c r="N153" s="9">
        <v>4.9444999999999997</v>
      </c>
      <c r="O153" s="9">
        <v>0.37409999999999999</v>
      </c>
      <c r="P153" s="9">
        <v>1.2183999999999999</v>
      </c>
      <c r="Q153" s="9">
        <v>32.070099999999996</v>
      </c>
      <c r="R153" s="9"/>
      <c r="S153" s="11"/>
    </row>
    <row r="154" spans="1:19" ht="15.75">
      <c r="A154" s="13">
        <v>46174</v>
      </c>
      <c r="B154" s="8">
        <f>CHOOSE( CONTROL!$C$32, 6.7147, 6.7123) * CHOOSE(CONTROL!$C$15, $D$11, 100%, $F$11)</f>
        <v>6.7146999999999997</v>
      </c>
      <c r="C154" s="8">
        <f>CHOOSE( CONTROL!$C$32, 6.7253, 6.7229) * CHOOSE(CONTROL!$C$15, $D$11, 100%, $F$11)</f>
        <v>6.7252999999999998</v>
      </c>
      <c r="D154" s="8">
        <f>CHOOSE( CONTROL!$C$32, 6.7613, 6.7589) * CHOOSE( CONTROL!$C$15, $D$11, 100%, $F$11)</f>
        <v>6.7613000000000003</v>
      </c>
      <c r="E154" s="12">
        <f>CHOOSE( CONTROL!$C$32, 6.7466, 6.7442) * CHOOSE( CONTROL!$C$15, $D$11, 100%, $F$11)</f>
        <v>6.7465999999999999</v>
      </c>
      <c r="F154" s="4">
        <f>CHOOSE( CONTROL!$C$32, 7.4541, 7.4517) * CHOOSE(CONTROL!$C$15, $D$11, 100%, $F$11)</f>
        <v>7.4541000000000004</v>
      </c>
      <c r="G154" s="8">
        <f>CHOOSE( CONTROL!$C$32, 6.5571, 6.5547) * CHOOSE( CONTROL!$C$15, $D$11, 100%, $F$11)</f>
        <v>6.5571000000000002</v>
      </c>
      <c r="H154" s="4">
        <f>CHOOSE( CONTROL!$C$32, 7.522, 7.5196) * CHOOSE(CONTROL!$C$15, $D$11, 100%, $F$11)</f>
        <v>7.5220000000000002</v>
      </c>
      <c r="I154" s="8">
        <f>CHOOSE( CONTROL!$C$32, 6.5458, 6.5435) * CHOOSE(CONTROL!$C$15, $D$11, 100%, $F$11)</f>
        <v>6.5457999999999998</v>
      </c>
      <c r="J154" s="4">
        <f>CHOOSE( CONTROL!$C$32, 6.4325, 6.4302) * CHOOSE(CONTROL!$C$15, $D$11, 100%, $F$11)</f>
        <v>6.4325000000000001</v>
      </c>
      <c r="K154" s="4"/>
      <c r="L154" s="9">
        <v>29.7257</v>
      </c>
      <c r="M154" s="9">
        <v>11.6745</v>
      </c>
      <c r="N154" s="9">
        <v>4.7850000000000001</v>
      </c>
      <c r="O154" s="9">
        <v>0.36199999999999999</v>
      </c>
      <c r="P154" s="9">
        <v>1.1791</v>
      </c>
      <c r="Q154" s="9">
        <v>31.035599999999999</v>
      </c>
      <c r="R154" s="9"/>
      <c r="S154" s="11"/>
    </row>
    <row r="155" spans="1:19" ht="15.75">
      <c r="A155" s="13">
        <v>46204</v>
      </c>
      <c r="B155" s="8">
        <f>CHOOSE( CONTROL!$C$32, 7.0029, 7.0005) * CHOOSE(CONTROL!$C$15, $D$11, 100%, $F$11)</f>
        <v>7.0029000000000003</v>
      </c>
      <c r="C155" s="8">
        <f>CHOOSE( CONTROL!$C$32, 7.0135, 7.0111) * CHOOSE(CONTROL!$C$15, $D$11, 100%, $F$11)</f>
        <v>7.0134999999999996</v>
      </c>
      <c r="D155" s="8">
        <f>CHOOSE( CONTROL!$C$32, 7.0497, 7.0473) * CHOOSE( CONTROL!$C$15, $D$11, 100%, $F$11)</f>
        <v>7.0496999999999996</v>
      </c>
      <c r="E155" s="12">
        <f>CHOOSE( CONTROL!$C$32, 7.035, 7.0326) * CHOOSE( CONTROL!$C$15, $D$11, 100%, $F$11)</f>
        <v>7.0350000000000001</v>
      </c>
      <c r="F155" s="4">
        <f>CHOOSE( CONTROL!$C$32, 7.7423, 7.7399) * CHOOSE(CONTROL!$C$15, $D$11, 100%, $F$11)</f>
        <v>7.7423000000000002</v>
      </c>
      <c r="G155" s="8">
        <f>CHOOSE( CONTROL!$C$32, 6.8392, 6.8368) * CHOOSE( CONTROL!$C$15, $D$11, 100%, $F$11)</f>
        <v>6.8391999999999999</v>
      </c>
      <c r="H155" s="4">
        <f>CHOOSE( CONTROL!$C$32, 7.8037, 7.8014) * CHOOSE(CONTROL!$C$15, $D$11, 100%, $F$11)</f>
        <v>7.8037000000000001</v>
      </c>
      <c r="I155" s="8">
        <f>CHOOSE( CONTROL!$C$32, 6.8237, 6.8214) * CHOOSE(CONTROL!$C$15, $D$11, 100%, $F$11)</f>
        <v>6.8236999999999997</v>
      </c>
      <c r="J155" s="4">
        <f>CHOOSE( CONTROL!$C$32, 6.7092, 6.7069) * CHOOSE(CONTROL!$C$15, $D$11, 100%, $F$11)</f>
        <v>6.7092000000000001</v>
      </c>
      <c r="K155" s="4"/>
      <c r="L155" s="9">
        <v>30.7165</v>
      </c>
      <c r="M155" s="9">
        <v>12.063700000000001</v>
      </c>
      <c r="N155" s="9">
        <v>4.9444999999999997</v>
      </c>
      <c r="O155" s="9">
        <v>0.37409999999999999</v>
      </c>
      <c r="P155" s="9">
        <v>1.2183999999999999</v>
      </c>
      <c r="Q155" s="9">
        <v>32.070099999999996</v>
      </c>
      <c r="R155" s="9"/>
      <c r="S155" s="11"/>
    </row>
    <row r="156" spans="1:19" ht="15.75">
      <c r="A156" s="13">
        <v>46235</v>
      </c>
      <c r="B156" s="8">
        <f>CHOOSE( CONTROL!$C$32, 6.4637, 6.4613) * CHOOSE(CONTROL!$C$15, $D$11, 100%, $F$11)</f>
        <v>6.4637000000000002</v>
      </c>
      <c r="C156" s="8">
        <f>CHOOSE( CONTROL!$C$32, 6.4742, 6.4718) * CHOOSE(CONTROL!$C$15, $D$11, 100%, $F$11)</f>
        <v>6.4741999999999997</v>
      </c>
      <c r="D156" s="8">
        <f>CHOOSE( CONTROL!$C$32, 6.5105, 6.5081) * CHOOSE( CONTROL!$C$15, $D$11, 100%, $F$11)</f>
        <v>6.5105000000000004</v>
      </c>
      <c r="E156" s="12">
        <f>CHOOSE( CONTROL!$C$32, 6.4957, 6.4933) * CHOOSE( CONTROL!$C$15, $D$11, 100%, $F$11)</f>
        <v>6.4957000000000003</v>
      </c>
      <c r="F156" s="4">
        <f>CHOOSE( CONTROL!$C$32, 7.203, 7.2006) * CHOOSE(CONTROL!$C$15, $D$11, 100%, $F$11)</f>
        <v>7.2030000000000003</v>
      </c>
      <c r="G156" s="8">
        <f>CHOOSE( CONTROL!$C$32, 6.312, 6.3097) * CHOOSE( CONTROL!$C$15, $D$11, 100%, $F$11)</f>
        <v>6.3120000000000003</v>
      </c>
      <c r="H156" s="4">
        <f>CHOOSE( CONTROL!$C$32, 7.2765, 7.2742) * CHOOSE(CONTROL!$C$15, $D$11, 100%, $F$11)</f>
        <v>7.2765000000000004</v>
      </c>
      <c r="I156" s="8">
        <f>CHOOSE( CONTROL!$C$32, 6.3059, 6.3036) * CHOOSE(CONTROL!$C$15, $D$11, 100%, $F$11)</f>
        <v>6.3059000000000003</v>
      </c>
      <c r="J156" s="4">
        <f>CHOOSE( CONTROL!$C$32, 6.1914, 6.1891) * CHOOSE(CONTROL!$C$15, $D$11, 100%, $F$11)</f>
        <v>6.1913999999999998</v>
      </c>
      <c r="K156" s="4"/>
      <c r="L156" s="9">
        <v>30.7165</v>
      </c>
      <c r="M156" s="9">
        <v>12.063700000000001</v>
      </c>
      <c r="N156" s="9">
        <v>4.9444999999999997</v>
      </c>
      <c r="O156" s="9">
        <v>0.37409999999999999</v>
      </c>
      <c r="P156" s="9">
        <v>1.2183999999999999</v>
      </c>
      <c r="Q156" s="9">
        <v>32.070099999999996</v>
      </c>
      <c r="R156" s="9"/>
      <c r="S156" s="11"/>
    </row>
    <row r="157" spans="1:19" ht="15.75">
      <c r="A157" s="13">
        <v>46266</v>
      </c>
      <c r="B157" s="8">
        <f>CHOOSE( CONTROL!$C$32, 6.3286, 6.3262) * CHOOSE(CONTROL!$C$15, $D$11, 100%, $F$11)</f>
        <v>6.3285999999999998</v>
      </c>
      <c r="C157" s="8">
        <f>CHOOSE( CONTROL!$C$32, 6.3392, 6.3368) * CHOOSE(CONTROL!$C$15, $D$11, 100%, $F$11)</f>
        <v>6.3391999999999999</v>
      </c>
      <c r="D157" s="8">
        <f>CHOOSE( CONTROL!$C$32, 6.3754, 6.373) * CHOOSE( CONTROL!$C$15, $D$11, 100%, $F$11)</f>
        <v>6.3754</v>
      </c>
      <c r="E157" s="12">
        <f>CHOOSE( CONTROL!$C$32, 6.3607, 6.3583) * CHOOSE( CONTROL!$C$15, $D$11, 100%, $F$11)</f>
        <v>6.3606999999999996</v>
      </c>
      <c r="F157" s="4">
        <f>CHOOSE( CONTROL!$C$32, 7.068, 7.0656) * CHOOSE(CONTROL!$C$15, $D$11, 100%, $F$11)</f>
        <v>7.0679999999999996</v>
      </c>
      <c r="G157" s="8">
        <f>CHOOSE( CONTROL!$C$32, 6.1799, 6.1776) * CHOOSE( CONTROL!$C$15, $D$11, 100%, $F$11)</f>
        <v>6.1798999999999999</v>
      </c>
      <c r="H157" s="4">
        <f>CHOOSE( CONTROL!$C$32, 7.1445, 7.1422) * CHOOSE(CONTROL!$C$15, $D$11, 100%, $F$11)</f>
        <v>7.1444999999999999</v>
      </c>
      <c r="I157" s="8">
        <f>CHOOSE( CONTROL!$C$32, 6.1759, 6.1736) * CHOOSE(CONTROL!$C$15, $D$11, 100%, $F$11)</f>
        <v>6.1759000000000004</v>
      </c>
      <c r="J157" s="4">
        <f>CHOOSE( CONTROL!$C$32, 6.0618, 6.0595) * CHOOSE(CONTROL!$C$15, $D$11, 100%, $F$11)</f>
        <v>6.0617999999999999</v>
      </c>
      <c r="K157" s="4"/>
      <c r="L157" s="9">
        <v>29.7257</v>
      </c>
      <c r="M157" s="9">
        <v>11.6745</v>
      </c>
      <c r="N157" s="9">
        <v>4.7850000000000001</v>
      </c>
      <c r="O157" s="9">
        <v>0.36199999999999999</v>
      </c>
      <c r="P157" s="9">
        <v>1.1791</v>
      </c>
      <c r="Q157" s="9">
        <v>31.035599999999999</v>
      </c>
      <c r="R157" s="9"/>
      <c r="S157" s="11"/>
    </row>
    <row r="158" spans="1:19" ht="15.75">
      <c r="A158" s="13">
        <v>46296</v>
      </c>
      <c r="B158" s="8">
        <f>6.6067 * CHOOSE(CONTROL!$C$15, $D$11, 100%, $F$11)</f>
        <v>6.6067</v>
      </c>
      <c r="C158" s="8">
        <f>6.6175 * CHOOSE(CONTROL!$C$15, $D$11, 100%, $F$11)</f>
        <v>6.6174999999999997</v>
      </c>
      <c r="D158" s="8">
        <f>6.655 * CHOOSE( CONTROL!$C$15, $D$11, 100%, $F$11)</f>
        <v>6.6550000000000002</v>
      </c>
      <c r="E158" s="12">
        <f>6.6415 * CHOOSE( CONTROL!$C$15, $D$11, 100%, $F$11)</f>
        <v>6.6414999999999997</v>
      </c>
      <c r="F158" s="4">
        <f>7.346 * CHOOSE(CONTROL!$C$15, $D$11, 100%, $F$11)</f>
        <v>7.3460000000000001</v>
      </c>
      <c r="G158" s="8">
        <f>6.4514 * CHOOSE( CONTROL!$C$15, $D$11, 100%, $F$11)</f>
        <v>6.4513999999999996</v>
      </c>
      <c r="H158" s="4">
        <f>7.4163 * CHOOSE(CONTROL!$C$15, $D$11, 100%, $F$11)</f>
        <v>7.4162999999999997</v>
      </c>
      <c r="I158" s="8">
        <f>6.4437 * CHOOSE(CONTROL!$C$15, $D$11, 100%, $F$11)</f>
        <v>6.4436999999999998</v>
      </c>
      <c r="J158" s="4">
        <f>6.3287 * CHOOSE(CONTROL!$C$15, $D$11, 100%, $F$11)</f>
        <v>6.3287000000000004</v>
      </c>
      <c r="K158" s="4"/>
      <c r="L158" s="9">
        <v>31.095300000000002</v>
      </c>
      <c r="M158" s="9">
        <v>12.063700000000001</v>
      </c>
      <c r="N158" s="9">
        <v>4.9444999999999997</v>
      </c>
      <c r="O158" s="9">
        <v>0.37409999999999999</v>
      </c>
      <c r="P158" s="9">
        <v>1.2183999999999999</v>
      </c>
      <c r="Q158" s="9">
        <v>32.070099999999996</v>
      </c>
      <c r="R158" s="9"/>
      <c r="S158" s="11"/>
    </row>
    <row r="159" spans="1:19" ht="15.75">
      <c r="A159" s="13">
        <v>46327</v>
      </c>
      <c r="B159" s="8">
        <f>7.1243 * CHOOSE(CONTROL!$C$15, $D$11, 100%, $F$11)</f>
        <v>7.1242999999999999</v>
      </c>
      <c r="C159" s="8">
        <f>7.135 * CHOOSE(CONTROL!$C$15, $D$11, 100%, $F$11)</f>
        <v>7.1349999999999998</v>
      </c>
      <c r="D159" s="8">
        <f>7.1178 * CHOOSE( CONTROL!$C$15, $D$11, 100%, $F$11)</f>
        <v>7.1177999999999999</v>
      </c>
      <c r="E159" s="12">
        <f>7.1229 * CHOOSE( CONTROL!$C$15, $D$11, 100%, $F$11)</f>
        <v>7.1228999999999996</v>
      </c>
      <c r="F159" s="4">
        <f>7.7828 * CHOOSE(CONTROL!$C$15, $D$11, 100%, $F$11)</f>
        <v>7.7827999999999999</v>
      </c>
      <c r="G159" s="8">
        <f>6.9641 * CHOOSE( CONTROL!$C$15, $D$11, 100%, $F$11)</f>
        <v>6.9641000000000002</v>
      </c>
      <c r="H159" s="4">
        <f>7.8433 * CHOOSE(CONTROL!$C$15, $D$11, 100%, $F$11)</f>
        <v>7.8433000000000002</v>
      </c>
      <c r="I159" s="8">
        <f>6.978 * CHOOSE(CONTROL!$C$15, $D$11, 100%, $F$11)</f>
        <v>6.9779999999999998</v>
      </c>
      <c r="J159" s="4">
        <f>6.8255 * CHOOSE(CONTROL!$C$15, $D$11, 100%, $F$11)</f>
        <v>6.8254999999999999</v>
      </c>
      <c r="K159" s="4"/>
      <c r="L159" s="9">
        <v>28.360600000000002</v>
      </c>
      <c r="M159" s="9">
        <v>11.6745</v>
      </c>
      <c r="N159" s="9">
        <v>4.7850000000000001</v>
      </c>
      <c r="O159" s="9">
        <v>0.36199999999999999</v>
      </c>
      <c r="P159" s="9">
        <v>1.2509999999999999</v>
      </c>
      <c r="Q159" s="9">
        <v>31.035599999999999</v>
      </c>
      <c r="R159" s="9"/>
      <c r="S159" s="11"/>
    </row>
    <row r="160" spans="1:19" ht="15.75">
      <c r="A160" s="13">
        <v>46357</v>
      </c>
      <c r="B160" s="8">
        <f>7.1113 * CHOOSE(CONTROL!$C$15, $D$11, 100%, $F$11)</f>
        <v>7.1113</v>
      </c>
      <c r="C160" s="8">
        <f>7.1221 * CHOOSE(CONTROL!$C$15, $D$11, 100%, $F$11)</f>
        <v>7.1220999999999997</v>
      </c>
      <c r="D160" s="8">
        <f>7.1065 * CHOOSE( CONTROL!$C$15, $D$11, 100%, $F$11)</f>
        <v>7.1064999999999996</v>
      </c>
      <c r="E160" s="12">
        <f>7.1111 * CHOOSE( CONTROL!$C$15, $D$11, 100%, $F$11)</f>
        <v>7.1111000000000004</v>
      </c>
      <c r="F160" s="4">
        <f>7.7698 * CHOOSE(CONTROL!$C$15, $D$11, 100%, $F$11)</f>
        <v>7.7698</v>
      </c>
      <c r="G160" s="8">
        <f>6.9526 * CHOOSE( CONTROL!$C$15, $D$11, 100%, $F$11)</f>
        <v>6.9526000000000003</v>
      </c>
      <c r="H160" s="4">
        <f>7.8307 * CHOOSE(CONTROL!$C$15, $D$11, 100%, $F$11)</f>
        <v>7.8307000000000002</v>
      </c>
      <c r="I160" s="8">
        <f>6.9707 * CHOOSE(CONTROL!$C$15, $D$11, 100%, $F$11)</f>
        <v>6.9706999999999999</v>
      </c>
      <c r="J160" s="4">
        <f>6.8131 * CHOOSE(CONTROL!$C$15, $D$11, 100%, $F$11)</f>
        <v>6.8131000000000004</v>
      </c>
      <c r="K160" s="4"/>
      <c r="L160" s="9">
        <v>29.306000000000001</v>
      </c>
      <c r="M160" s="9">
        <v>12.063700000000001</v>
      </c>
      <c r="N160" s="9">
        <v>4.9444999999999997</v>
      </c>
      <c r="O160" s="9">
        <v>0.37409999999999999</v>
      </c>
      <c r="P160" s="9">
        <v>1.2927</v>
      </c>
      <c r="Q160" s="9">
        <v>32.070099999999996</v>
      </c>
      <c r="R160" s="9"/>
      <c r="S160" s="11"/>
    </row>
    <row r="161" spans="1:19" ht="15.75">
      <c r="A161" s="13">
        <v>46388</v>
      </c>
      <c r="B161" s="8">
        <f>7.3654 * CHOOSE(CONTROL!$C$15, $D$11, 100%, $F$11)</f>
        <v>7.3654000000000002</v>
      </c>
      <c r="C161" s="8">
        <f>7.3762 * CHOOSE(CONTROL!$C$15, $D$11, 100%, $F$11)</f>
        <v>7.3761999999999999</v>
      </c>
      <c r="D161" s="8">
        <f>7.3576 * CHOOSE( CONTROL!$C$15, $D$11, 100%, $F$11)</f>
        <v>7.3575999999999997</v>
      </c>
      <c r="E161" s="12">
        <f>7.3633 * CHOOSE( CONTROL!$C$15, $D$11, 100%, $F$11)</f>
        <v>7.3632999999999997</v>
      </c>
      <c r="F161" s="4">
        <f>8.0239 * CHOOSE(CONTROL!$C$15, $D$11, 100%, $F$11)</f>
        <v>8.0238999999999994</v>
      </c>
      <c r="G161" s="8">
        <f>7.1935 * CHOOSE( CONTROL!$C$15, $D$11, 100%, $F$11)</f>
        <v>7.1935000000000002</v>
      </c>
      <c r="H161" s="4">
        <f>8.0791 * CHOOSE(CONTROL!$C$15, $D$11, 100%, $F$11)</f>
        <v>8.0791000000000004</v>
      </c>
      <c r="I161" s="8">
        <f>7.1797 * CHOOSE(CONTROL!$C$15, $D$11, 100%, $F$11)</f>
        <v>7.1797000000000004</v>
      </c>
      <c r="J161" s="4">
        <f>7.0571 * CHOOSE(CONTROL!$C$15, $D$11, 100%, $F$11)</f>
        <v>7.0571000000000002</v>
      </c>
      <c r="K161" s="4"/>
      <c r="L161" s="9">
        <v>29.306000000000001</v>
      </c>
      <c r="M161" s="9">
        <v>12.063700000000001</v>
      </c>
      <c r="N161" s="9">
        <v>4.9444999999999997</v>
      </c>
      <c r="O161" s="9">
        <v>0.37409999999999999</v>
      </c>
      <c r="P161" s="9">
        <v>1.2927</v>
      </c>
      <c r="Q161" s="9">
        <v>31.885999999999999</v>
      </c>
      <c r="R161" s="9"/>
      <c r="S161" s="11"/>
    </row>
    <row r="162" spans="1:19" ht="15.75">
      <c r="A162" s="13">
        <v>46419</v>
      </c>
      <c r="B162" s="8">
        <f>6.8902 * CHOOSE(CONTROL!$C$15, $D$11, 100%, $F$11)</f>
        <v>6.8902000000000001</v>
      </c>
      <c r="C162" s="8">
        <f>6.901 * CHOOSE(CONTROL!$C$15, $D$11, 100%, $F$11)</f>
        <v>6.9009999999999998</v>
      </c>
      <c r="D162" s="8">
        <f>6.8823 * CHOOSE( CONTROL!$C$15, $D$11, 100%, $F$11)</f>
        <v>6.8822999999999999</v>
      </c>
      <c r="E162" s="12">
        <f>6.888 * CHOOSE( CONTROL!$C$15, $D$11, 100%, $F$11)</f>
        <v>6.8879999999999999</v>
      </c>
      <c r="F162" s="4">
        <f>7.5487 * CHOOSE(CONTROL!$C$15, $D$11, 100%, $F$11)</f>
        <v>7.5487000000000002</v>
      </c>
      <c r="G162" s="8">
        <f>6.7289 * CHOOSE( CONTROL!$C$15, $D$11, 100%, $F$11)</f>
        <v>6.7289000000000003</v>
      </c>
      <c r="H162" s="4">
        <f>7.6145 * CHOOSE(CONTROL!$C$15, $D$11, 100%, $F$11)</f>
        <v>7.6144999999999996</v>
      </c>
      <c r="I162" s="8">
        <f>6.723 * CHOOSE(CONTROL!$C$15, $D$11, 100%, $F$11)</f>
        <v>6.7229999999999999</v>
      </c>
      <c r="J162" s="4">
        <f>6.6008 * CHOOSE(CONTROL!$C$15, $D$11, 100%, $F$11)</f>
        <v>6.6007999999999996</v>
      </c>
      <c r="K162" s="4"/>
      <c r="L162" s="9">
        <v>26.469899999999999</v>
      </c>
      <c r="M162" s="9">
        <v>10.8962</v>
      </c>
      <c r="N162" s="9">
        <v>4.4660000000000002</v>
      </c>
      <c r="O162" s="9">
        <v>0.33789999999999998</v>
      </c>
      <c r="P162" s="9">
        <v>1.1676</v>
      </c>
      <c r="Q162" s="9">
        <v>28.8002</v>
      </c>
      <c r="R162" s="9"/>
      <c r="S162" s="11"/>
    </row>
    <row r="163" spans="1:19" ht="15.75">
      <c r="A163" s="13">
        <v>46447</v>
      </c>
      <c r="B163" s="8">
        <f>6.7439 * CHOOSE(CONTROL!$C$15, $D$11, 100%, $F$11)</f>
        <v>6.7439</v>
      </c>
      <c r="C163" s="8">
        <f>6.7546 * CHOOSE(CONTROL!$C$15, $D$11, 100%, $F$11)</f>
        <v>6.7545999999999999</v>
      </c>
      <c r="D163" s="8">
        <f>6.7354 * CHOOSE( CONTROL!$C$15, $D$11, 100%, $F$11)</f>
        <v>6.7354000000000003</v>
      </c>
      <c r="E163" s="12">
        <f>6.7413 * CHOOSE( CONTROL!$C$15, $D$11, 100%, $F$11)</f>
        <v>6.7412999999999998</v>
      </c>
      <c r="F163" s="4">
        <f>7.4024 * CHOOSE(CONTROL!$C$15, $D$11, 100%, $F$11)</f>
        <v>7.4024000000000001</v>
      </c>
      <c r="G163" s="8">
        <f>6.5854 * CHOOSE( CONTROL!$C$15, $D$11, 100%, $F$11)</f>
        <v>6.5853999999999999</v>
      </c>
      <c r="H163" s="4">
        <f>7.4714 * CHOOSE(CONTROL!$C$15, $D$11, 100%, $F$11)</f>
        <v>7.4714</v>
      </c>
      <c r="I163" s="8">
        <f>6.5809 * CHOOSE(CONTROL!$C$15, $D$11, 100%, $F$11)</f>
        <v>6.5808999999999997</v>
      </c>
      <c r="J163" s="4">
        <f>6.4603 * CHOOSE(CONTROL!$C$15, $D$11, 100%, $F$11)</f>
        <v>6.4603000000000002</v>
      </c>
      <c r="K163" s="4"/>
      <c r="L163" s="9">
        <v>29.306000000000001</v>
      </c>
      <c r="M163" s="9">
        <v>12.063700000000001</v>
      </c>
      <c r="N163" s="9">
        <v>4.9444999999999997</v>
      </c>
      <c r="O163" s="9">
        <v>0.37409999999999999</v>
      </c>
      <c r="P163" s="9">
        <v>1.2927</v>
      </c>
      <c r="Q163" s="9">
        <v>31.885999999999999</v>
      </c>
      <c r="R163" s="9"/>
      <c r="S163" s="11"/>
    </row>
    <row r="164" spans="1:19" ht="15.75">
      <c r="A164" s="13">
        <v>46478</v>
      </c>
      <c r="B164" s="8">
        <f>6.8461 * CHOOSE(CONTROL!$C$15, $D$11, 100%, $F$11)</f>
        <v>6.8460999999999999</v>
      </c>
      <c r="C164" s="8">
        <f>6.8569 * CHOOSE(CONTROL!$C$15, $D$11, 100%, $F$11)</f>
        <v>6.8569000000000004</v>
      </c>
      <c r="D164" s="8">
        <f>6.8938 * CHOOSE( CONTROL!$C$15, $D$11, 100%, $F$11)</f>
        <v>6.8937999999999997</v>
      </c>
      <c r="E164" s="12">
        <f>6.8804 * CHOOSE( CONTROL!$C$15, $D$11, 100%, $F$11)</f>
        <v>6.8803999999999998</v>
      </c>
      <c r="F164" s="4">
        <f>7.5854 * CHOOSE(CONTROL!$C$15, $D$11, 100%, $F$11)</f>
        <v>7.5853999999999999</v>
      </c>
      <c r="G164" s="8">
        <f>6.6846 * CHOOSE( CONTROL!$C$15, $D$11, 100%, $F$11)</f>
        <v>6.6845999999999997</v>
      </c>
      <c r="H164" s="4">
        <f>7.6503 * CHOOSE(CONTROL!$C$15, $D$11, 100%, $F$11)</f>
        <v>7.6502999999999997</v>
      </c>
      <c r="I164" s="8">
        <f>6.671 * CHOOSE(CONTROL!$C$15, $D$11, 100%, $F$11)</f>
        <v>6.6710000000000003</v>
      </c>
      <c r="J164" s="4">
        <f>6.5585 * CHOOSE(CONTROL!$C$15, $D$11, 100%, $F$11)</f>
        <v>6.5585000000000004</v>
      </c>
      <c r="K164" s="4"/>
      <c r="L164" s="9">
        <v>30.092199999999998</v>
      </c>
      <c r="M164" s="9">
        <v>11.6745</v>
      </c>
      <c r="N164" s="9">
        <v>4.7850000000000001</v>
      </c>
      <c r="O164" s="9">
        <v>0.36199999999999999</v>
      </c>
      <c r="P164" s="9">
        <v>1.1791</v>
      </c>
      <c r="Q164" s="9">
        <v>30.857399999999998</v>
      </c>
      <c r="R164" s="9"/>
      <c r="S164" s="11"/>
    </row>
    <row r="165" spans="1:19" ht="15.75">
      <c r="A165" s="13">
        <v>46508</v>
      </c>
      <c r="B165" s="8">
        <f>CHOOSE( CONTROL!$C$32, 7.0304, 7.028) * CHOOSE(CONTROL!$C$15, $D$11, 100%, $F$11)</f>
        <v>7.0304000000000002</v>
      </c>
      <c r="C165" s="8">
        <f>CHOOSE( CONTROL!$C$32, 7.041, 7.0386) * CHOOSE(CONTROL!$C$15, $D$11, 100%, $F$11)</f>
        <v>7.0410000000000004</v>
      </c>
      <c r="D165" s="8">
        <f>CHOOSE( CONTROL!$C$32, 7.0768, 7.0744) * CHOOSE( CONTROL!$C$15, $D$11, 100%, $F$11)</f>
        <v>7.0768000000000004</v>
      </c>
      <c r="E165" s="12">
        <f>CHOOSE( CONTROL!$C$32, 7.0622, 7.0598) * CHOOSE( CONTROL!$C$15, $D$11, 100%, $F$11)</f>
        <v>7.0621999999999998</v>
      </c>
      <c r="F165" s="4">
        <f>CHOOSE( CONTROL!$C$32, 7.7698, 7.7674) * CHOOSE(CONTROL!$C$15, $D$11, 100%, $F$11)</f>
        <v>7.7698</v>
      </c>
      <c r="G165" s="8">
        <f>CHOOSE( CONTROL!$C$32, 6.8654, 6.8631) * CHOOSE( CONTROL!$C$15, $D$11, 100%, $F$11)</f>
        <v>6.8654000000000002</v>
      </c>
      <c r="H165" s="4">
        <f>CHOOSE( CONTROL!$C$32, 7.8306, 7.8283) * CHOOSE(CONTROL!$C$15, $D$11, 100%, $F$11)</f>
        <v>7.8305999999999996</v>
      </c>
      <c r="I165" s="8">
        <f>CHOOSE( CONTROL!$C$32, 6.8482, 6.8459) * CHOOSE(CONTROL!$C$15, $D$11, 100%, $F$11)</f>
        <v>6.8482000000000003</v>
      </c>
      <c r="J165" s="4">
        <f>CHOOSE( CONTROL!$C$32, 6.7356, 6.7333) * CHOOSE(CONTROL!$C$15, $D$11, 100%, $F$11)</f>
        <v>6.7355999999999998</v>
      </c>
      <c r="K165" s="4"/>
      <c r="L165" s="9">
        <v>30.7165</v>
      </c>
      <c r="M165" s="9">
        <v>12.063700000000001</v>
      </c>
      <c r="N165" s="9">
        <v>4.9444999999999997</v>
      </c>
      <c r="O165" s="9">
        <v>0.37409999999999999</v>
      </c>
      <c r="P165" s="9">
        <v>1.2183999999999999</v>
      </c>
      <c r="Q165" s="9">
        <v>31.885999999999999</v>
      </c>
      <c r="R165" s="9"/>
      <c r="S165" s="11"/>
    </row>
    <row r="166" spans="1:19" ht="15.75">
      <c r="A166" s="13">
        <v>46539</v>
      </c>
      <c r="B166" s="8">
        <f>CHOOSE( CONTROL!$C$32, 6.9177, 6.9153) * CHOOSE(CONTROL!$C$15, $D$11, 100%, $F$11)</f>
        <v>6.9177</v>
      </c>
      <c r="C166" s="8">
        <f>CHOOSE( CONTROL!$C$32, 6.9282, 6.9258) * CHOOSE(CONTROL!$C$15, $D$11, 100%, $F$11)</f>
        <v>6.9282000000000004</v>
      </c>
      <c r="D166" s="8">
        <f>CHOOSE( CONTROL!$C$32, 6.9643, 6.9619) * CHOOSE( CONTROL!$C$15, $D$11, 100%, $F$11)</f>
        <v>6.9642999999999997</v>
      </c>
      <c r="E166" s="12">
        <f>CHOOSE( CONTROL!$C$32, 6.9496, 6.9472) * CHOOSE( CONTROL!$C$15, $D$11, 100%, $F$11)</f>
        <v>6.9496000000000002</v>
      </c>
      <c r="F166" s="4">
        <f>CHOOSE( CONTROL!$C$32, 7.657, 7.6546) * CHOOSE(CONTROL!$C$15, $D$11, 100%, $F$11)</f>
        <v>7.657</v>
      </c>
      <c r="G166" s="8">
        <f>CHOOSE( CONTROL!$C$32, 6.7555, 6.7532) * CHOOSE( CONTROL!$C$15, $D$11, 100%, $F$11)</f>
        <v>6.7554999999999996</v>
      </c>
      <c r="H166" s="4">
        <f>CHOOSE( CONTROL!$C$32, 7.7204, 7.7181) * CHOOSE(CONTROL!$C$15, $D$11, 100%, $F$11)</f>
        <v>7.7203999999999997</v>
      </c>
      <c r="I166" s="8">
        <f>CHOOSE( CONTROL!$C$32, 6.7408, 6.7385) * CHOOSE(CONTROL!$C$15, $D$11, 100%, $F$11)</f>
        <v>6.7408000000000001</v>
      </c>
      <c r="J166" s="4">
        <f>CHOOSE( CONTROL!$C$32, 6.6273, 6.625) * CHOOSE(CONTROL!$C$15, $D$11, 100%, $F$11)</f>
        <v>6.6273</v>
      </c>
      <c r="K166" s="4"/>
      <c r="L166" s="9">
        <v>29.7257</v>
      </c>
      <c r="M166" s="9">
        <v>11.6745</v>
      </c>
      <c r="N166" s="9">
        <v>4.7850000000000001</v>
      </c>
      <c r="O166" s="9">
        <v>0.36199999999999999</v>
      </c>
      <c r="P166" s="9">
        <v>1.1791</v>
      </c>
      <c r="Q166" s="9">
        <v>30.857399999999998</v>
      </c>
      <c r="R166" s="9"/>
      <c r="S166" s="11"/>
    </row>
    <row r="167" spans="1:19" ht="15.75">
      <c r="A167" s="13">
        <v>46569</v>
      </c>
      <c r="B167" s="8">
        <f>CHOOSE( CONTROL!$C$32, 7.2146, 7.2122) * CHOOSE(CONTROL!$C$15, $D$11, 100%, $F$11)</f>
        <v>7.2145999999999999</v>
      </c>
      <c r="C167" s="8">
        <f>CHOOSE( CONTROL!$C$32, 7.2252, 7.2228) * CHOOSE(CONTROL!$C$15, $D$11, 100%, $F$11)</f>
        <v>7.2252000000000001</v>
      </c>
      <c r="D167" s="8">
        <f>CHOOSE( CONTROL!$C$32, 7.2614, 7.259) * CHOOSE( CONTROL!$C$15, $D$11, 100%, $F$11)</f>
        <v>7.2614000000000001</v>
      </c>
      <c r="E167" s="12">
        <f>CHOOSE( CONTROL!$C$32, 7.2467, 7.2443) * CHOOSE( CONTROL!$C$15, $D$11, 100%, $F$11)</f>
        <v>7.2466999999999997</v>
      </c>
      <c r="F167" s="4">
        <f>CHOOSE( CONTROL!$C$32, 7.9539, 7.9516) * CHOOSE(CONTROL!$C$15, $D$11, 100%, $F$11)</f>
        <v>7.9539</v>
      </c>
      <c r="G167" s="8">
        <f>CHOOSE( CONTROL!$C$32, 7.0461, 7.0438) * CHOOSE( CONTROL!$C$15, $D$11, 100%, $F$11)</f>
        <v>7.0461</v>
      </c>
      <c r="H167" s="4">
        <f>CHOOSE( CONTROL!$C$32, 8.0107, 8.0084) * CHOOSE(CONTROL!$C$15, $D$11, 100%, $F$11)</f>
        <v>8.0106999999999999</v>
      </c>
      <c r="I167" s="8">
        <f>CHOOSE( CONTROL!$C$32, 7.027, 7.0247) * CHOOSE(CONTROL!$C$15, $D$11, 100%, $F$11)</f>
        <v>7.0270000000000001</v>
      </c>
      <c r="J167" s="4">
        <f>CHOOSE( CONTROL!$C$32, 6.9124, 6.9101) * CHOOSE(CONTROL!$C$15, $D$11, 100%, $F$11)</f>
        <v>6.9123999999999999</v>
      </c>
      <c r="K167" s="4"/>
      <c r="L167" s="9">
        <v>30.7165</v>
      </c>
      <c r="M167" s="9">
        <v>12.063700000000001</v>
      </c>
      <c r="N167" s="9">
        <v>4.9444999999999997</v>
      </c>
      <c r="O167" s="9">
        <v>0.37409999999999999</v>
      </c>
      <c r="P167" s="9">
        <v>1.2183999999999999</v>
      </c>
      <c r="Q167" s="9">
        <v>31.885999999999999</v>
      </c>
      <c r="R167" s="9"/>
      <c r="S167" s="11"/>
    </row>
    <row r="168" spans="1:19" ht="15.75">
      <c r="A168" s="13">
        <v>46600</v>
      </c>
      <c r="B168" s="8">
        <f>CHOOSE( CONTROL!$C$32, 6.659, 6.6566) * CHOOSE(CONTROL!$C$15, $D$11, 100%, $F$11)</f>
        <v>6.6589999999999998</v>
      </c>
      <c r="C168" s="8">
        <f>CHOOSE( CONTROL!$C$32, 6.6696, 6.6672) * CHOOSE(CONTROL!$C$15, $D$11, 100%, $F$11)</f>
        <v>6.6696</v>
      </c>
      <c r="D168" s="8">
        <f>CHOOSE( CONTROL!$C$32, 6.7059, 6.7035) * CHOOSE( CONTROL!$C$15, $D$11, 100%, $F$11)</f>
        <v>6.7058999999999997</v>
      </c>
      <c r="E168" s="12">
        <f>CHOOSE( CONTROL!$C$32, 6.6911, 6.6887) * CHOOSE( CONTROL!$C$15, $D$11, 100%, $F$11)</f>
        <v>6.6910999999999996</v>
      </c>
      <c r="F168" s="4">
        <f>CHOOSE( CONTROL!$C$32, 7.3984, 7.396) * CHOOSE(CONTROL!$C$15, $D$11, 100%, $F$11)</f>
        <v>7.3983999999999996</v>
      </c>
      <c r="G168" s="8">
        <f>CHOOSE( CONTROL!$C$32, 6.503, 6.5007) * CHOOSE( CONTROL!$C$15, $D$11, 100%, $F$11)</f>
        <v>6.5030000000000001</v>
      </c>
      <c r="H168" s="4">
        <f>CHOOSE( CONTROL!$C$32, 7.4675, 7.4652) * CHOOSE(CONTROL!$C$15, $D$11, 100%, $F$11)</f>
        <v>7.4675000000000002</v>
      </c>
      <c r="I168" s="8">
        <f>CHOOSE( CONTROL!$C$32, 6.4936, 6.4913) * CHOOSE(CONTROL!$C$15, $D$11, 100%, $F$11)</f>
        <v>6.4935999999999998</v>
      </c>
      <c r="J168" s="4">
        <f>CHOOSE( CONTROL!$C$32, 6.379, 6.3767) * CHOOSE(CONTROL!$C$15, $D$11, 100%, $F$11)</f>
        <v>6.3789999999999996</v>
      </c>
      <c r="K168" s="4"/>
      <c r="L168" s="9">
        <v>30.7165</v>
      </c>
      <c r="M168" s="9">
        <v>12.063700000000001</v>
      </c>
      <c r="N168" s="9">
        <v>4.9444999999999997</v>
      </c>
      <c r="O168" s="9">
        <v>0.37409999999999999</v>
      </c>
      <c r="P168" s="9">
        <v>1.2183999999999999</v>
      </c>
      <c r="Q168" s="9">
        <v>31.885999999999999</v>
      </c>
      <c r="R168" s="9"/>
      <c r="S168" s="11"/>
    </row>
    <row r="169" spans="1:19" ht="15.75">
      <c r="A169" s="13">
        <v>46631</v>
      </c>
      <c r="B169" s="8">
        <f>CHOOSE( CONTROL!$C$32, 6.5199, 6.5175) * CHOOSE(CONTROL!$C$15, $D$11, 100%, $F$11)</f>
        <v>6.5198999999999998</v>
      </c>
      <c r="C169" s="8">
        <f>CHOOSE( CONTROL!$C$32, 6.5305, 6.5281) * CHOOSE(CONTROL!$C$15, $D$11, 100%, $F$11)</f>
        <v>6.5305</v>
      </c>
      <c r="D169" s="8">
        <f>CHOOSE( CONTROL!$C$32, 6.5667, 6.5643) * CHOOSE( CONTROL!$C$15, $D$11, 100%, $F$11)</f>
        <v>6.5667</v>
      </c>
      <c r="E169" s="12">
        <f>CHOOSE( CONTROL!$C$32, 6.552, 6.5496) * CHOOSE( CONTROL!$C$15, $D$11, 100%, $F$11)</f>
        <v>6.5519999999999996</v>
      </c>
      <c r="F169" s="4">
        <f>CHOOSE( CONTROL!$C$32, 7.2592, 7.2569) * CHOOSE(CONTROL!$C$15, $D$11, 100%, $F$11)</f>
        <v>7.2591999999999999</v>
      </c>
      <c r="G169" s="8">
        <f>CHOOSE( CONTROL!$C$32, 6.3669, 6.3646) * CHOOSE( CONTROL!$C$15, $D$11, 100%, $F$11)</f>
        <v>6.3669000000000002</v>
      </c>
      <c r="H169" s="4">
        <f>CHOOSE( CONTROL!$C$32, 7.3315, 7.3291) * CHOOSE(CONTROL!$C$15, $D$11, 100%, $F$11)</f>
        <v>7.3315000000000001</v>
      </c>
      <c r="I169" s="8">
        <f>CHOOSE( CONTROL!$C$32, 6.3597, 6.3574) * CHOOSE(CONTROL!$C$15, $D$11, 100%, $F$11)</f>
        <v>6.3597000000000001</v>
      </c>
      <c r="J169" s="4">
        <f>CHOOSE( CONTROL!$C$32, 6.2454, 6.2431) * CHOOSE(CONTROL!$C$15, $D$11, 100%, $F$11)</f>
        <v>6.2454000000000001</v>
      </c>
      <c r="K169" s="4"/>
      <c r="L169" s="9">
        <v>29.7257</v>
      </c>
      <c r="M169" s="9">
        <v>11.6745</v>
      </c>
      <c r="N169" s="9">
        <v>4.7850000000000001</v>
      </c>
      <c r="O169" s="9">
        <v>0.36199999999999999</v>
      </c>
      <c r="P169" s="9">
        <v>1.1791</v>
      </c>
      <c r="Q169" s="9">
        <v>30.857399999999998</v>
      </c>
      <c r="R169" s="9"/>
      <c r="S169" s="11"/>
    </row>
    <row r="170" spans="1:19" ht="15.75">
      <c r="A170" s="13">
        <v>46661</v>
      </c>
      <c r="B170" s="8">
        <f>6.8065 * CHOOSE(CONTROL!$C$15, $D$11, 100%, $F$11)</f>
        <v>6.8064999999999998</v>
      </c>
      <c r="C170" s="8">
        <f>6.8172 * CHOOSE(CONTROL!$C$15, $D$11, 100%, $F$11)</f>
        <v>6.8171999999999997</v>
      </c>
      <c r="D170" s="8">
        <f>6.8548 * CHOOSE( CONTROL!$C$15, $D$11, 100%, $F$11)</f>
        <v>6.8548</v>
      </c>
      <c r="E170" s="12">
        <f>6.8412 * CHOOSE( CONTROL!$C$15, $D$11, 100%, $F$11)</f>
        <v>6.8411999999999997</v>
      </c>
      <c r="F170" s="4">
        <f>7.5457 * CHOOSE(CONTROL!$C$15, $D$11, 100%, $F$11)</f>
        <v>7.5457000000000001</v>
      </c>
      <c r="G170" s="8">
        <f>6.6467 * CHOOSE( CONTROL!$C$15, $D$11, 100%, $F$11)</f>
        <v>6.6467000000000001</v>
      </c>
      <c r="H170" s="4">
        <f>7.6116 * CHOOSE(CONTROL!$C$15, $D$11, 100%, $F$11)</f>
        <v>7.6116000000000001</v>
      </c>
      <c r="I170" s="8">
        <f>6.6356 * CHOOSE(CONTROL!$C$15, $D$11, 100%, $F$11)</f>
        <v>6.6356000000000002</v>
      </c>
      <c r="J170" s="4">
        <f>6.5205 * CHOOSE(CONTROL!$C$15, $D$11, 100%, $F$11)</f>
        <v>6.5205000000000002</v>
      </c>
      <c r="K170" s="4"/>
      <c r="L170" s="9">
        <v>31.095300000000002</v>
      </c>
      <c r="M170" s="9">
        <v>12.063700000000001</v>
      </c>
      <c r="N170" s="9">
        <v>4.9444999999999997</v>
      </c>
      <c r="O170" s="9">
        <v>0.37409999999999999</v>
      </c>
      <c r="P170" s="9">
        <v>1.2183999999999999</v>
      </c>
      <c r="Q170" s="9">
        <v>31.885999999999999</v>
      </c>
      <c r="R170" s="9"/>
      <c r="S170" s="11"/>
    </row>
    <row r="171" spans="1:19" ht="15.75">
      <c r="A171" s="13">
        <v>46692</v>
      </c>
      <c r="B171" s="8">
        <f>7.3397 * CHOOSE(CONTROL!$C$15, $D$11, 100%, $F$11)</f>
        <v>7.3396999999999997</v>
      </c>
      <c r="C171" s="8">
        <f>7.3504 * CHOOSE(CONTROL!$C$15, $D$11, 100%, $F$11)</f>
        <v>7.3503999999999996</v>
      </c>
      <c r="D171" s="8">
        <f>7.3332 * CHOOSE( CONTROL!$C$15, $D$11, 100%, $F$11)</f>
        <v>7.3331999999999997</v>
      </c>
      <c r="E171" s="12">
        <f>7.3383 * CHOOSE( CONTROL!$C$15, $D$11, 100%, $F$11)</f>
        <v>7.3383000000000003</v>
      </c>
      <c r="F171" s="4">
        <f>7.9982 * CHOOSE(CONTROL!$C$15, $D$11, 100%, $F$11)</f>
        <v>7.9981999999999998</v>
      </c>
      <c r="G171" s="8">
        <f>7.1747 * CHOOSE( CONTROL!$C$15, $D$11, 100%, $F$11)</f>
        <v>7.1746999999999996</v>
      </c>
      <c r="H171" s="4">
        <f>8.054 * CHOOSE(CONTROL!$C$15, $D$11, 100%, $F$11)</f>
        <v>8.0540000000000003</v>
      </c>
      <c r="I171" s="8">
        <f>7.1849 * CHOOSE(CONTROL!$C$15, $D$11, 100%, $F$11)</f>
        <v>7.1848999999999998</v>
      </c>
      <c r="J171" s="4">
        <f>7.0324 * CHOOSE(CONTROL!$C$15, $D$11, 100%, $F$11)</f>
        <v>7.0324</v>
      </c>
      <c r="K171" s="4"/>
      <c r="L171" s="9">
        <v>28.360600000000002</v>
      </c>
      <c r="M171" s="9">
        <v>11.6745</v>
      </c>
      <c r="N171" s="9">
        <v>4.7850000000000001</v>
      </c>
      <c r="O171" s="9">
        <v>0.36199999999999999</v>
      </c>
      <c r="P171" s="9">
        <v>1.2509999999999999</v>
      </c>
      <c r="Q171" s="9">
        <v>30.857399999999998</v>
      </c>
      <c r="R171" s="9"/>
      <c r="S171" s="11"/>
    </row>
    <row r="172" spans="1:19" ht="15.75">
      <c r="A172" s="13">
        <v>46722</v>
      </c>
      <c r="B172" s="8">
        <f>7.3264 * CHOOSE(CONTROL!$C$15, $D$11, 100%, $F$11)</f>
        <v>7.3263999999999996</v>
      </c>
      <c r="C172" s="8">
        <f>7.3371 * CHOOSE(CONTROL!$C$15, $D$11, 100%, $F$11)</f>
        <v>7.3371000000000004</v>
      </c>
      <c r="D172" s="8">
        <f>7.3216 * CHOOSE( CONTROL!$C$15, $D$11, 100%, $F$11)</f>
        <v>7.3216000000000001</v>
      </c>
      <c r="E172" s="12">
        <f>7.3261 * CHOOSE( CONTROL!$C$15, $D$11, 100%, $F$11)</f>
        <v>7.3261000000000003</v>
      </c>
      <c r="F172" s="4">
        <f>7.9849 * CHOOSE(CONTROL!$C$15, $D$11, 100%, $F$11)</f>
        <v>7.9848999999999997</v>
      </c>
      <c r="G172" s="8">
        <f>7.1629 * CHOOSE( CONTROL!$C$15, $D$11, 100%, $F$11)</f>
        <v>7.1628999999999996</v>
      </c>
      <c r="H172" s="4">
        <f>8.0409 * CHOOSE(CONTROL!$C$15, $D$11, 100%, $F$11)</f>
        <v>8.0409000000000006</v>
      </c>
      <c r="I172" s="8">
        <f>7.1773 * CHOOSE(CONTROL!$C$15, $D$11, 100%, $F$11)</f>
        <v>7.1772999999999998</v>
      </c>
      <c r="J172" s="4">
        <f>7.0196 * CHOOSE(CONTROL!$C$15, $D$11, 100%, $F$11)</f>
        <v>7.0195999999999996</v>
      </c>
      <c r="K172" s="4"/>
      <c r="L172" s="9">
        <v>29.306000000000001</v>
      </c>
      <c r="M172" s="9">
        <v>12.063700000000001</v>
      </c>
      <c r="N172" s="9">
        <v>4.9444999999999997</v>
      </c>
      <c r="O172" s="9">
        <v>0.37409999999999999</v>
      </c>
      <c r="P172" s="9">
        <v>1.2927</v>
      </c>
      <c r="Q172" s="9">
        <v>31.885999999999999</v>
      </c>
      <c r="R172" s="9"/>
      <c r="S172" s="11"/>
    </row>
    <row r="173" spans="1:19" ht="15.75">
      <c r="A173" s="13">
        <v>46753</v>
      </c>
      <c r="B173" s="8">
        <f>7.5874 * CHOOSE(CONTROL!$C$15, $D$11, 100%, $F$11)</f>
        <v>7.5873999999999997</v>
      </c>
      <c r="C173" s="8">
        <f>7.5982 * CHOOSE(CONTROL!$C$15, $D$11, 100%, $F$11)</f>
        <v>7.5982000000000003</v>
      </c>
      <c r="D173" s="8">
        <f>7.5795 * CHOOSE( CONTROL!$C$15, $D$11, 100%, $F$11)</f>
        <v>7.5795000000000003</v>
      </c>
      <c r="E173" s="12">
        <f>7.5852 * CHOOSE( CONTROL!$C$15, $D$11, 100%, $F$11)</f>
        <v>7.5852000000000004</v>
      </c>
      <c r="F173" s="4">
        <f>8.2459 * CHOOSE(CONTROL!$C$15, $D$11, 100%, $F$11)</f>
        <v>8.2459000000000007</v>
      </c>
      <c r="G173" s="8">
        <f>7.4106 * CHOOSE( CONTROL!$C$15, $D$11, 100%, $F$11)</f>
        <v>7.4105999999999996</v>
      </c>
      <c r="H173" s="4">
        <f>8.2961 * CHOOSE(CONTROL!$C$15, $D$11, 100%, $F$11)</f>
        <v>8.2960999999999991</v>
      </c>
      <c r="I173" s="8">
        <f>7.3929 * CHOOSE(CONTROL!$C$15, $D$11, 100%, $F$11)</f>
        <v>7.3929</v>
      </c>
      <c r="J173" s="4">
        <f>7.2702 * CHOOSE(CONTROL!$C$15, $D$11, 100%, $F$11)</f>
        <v>7.2702</v>
      </c>
      <c r="K173" s="4"/>
      <c r="L173" s="9">
        <v>29.306000000000001</v>
      </c>
      <c r="M173" s="9">
        <v>12.063700000000001</v>
      </c>
      <c r="N173" s="9">
        <v>4.9444999999999997</v>
      </c>
      <c r="O173" s="9">
        <v>0.37409999999999999</v>
      </c>
      <c r="P173" s="9">
        <v>1.2927</v>
      </c>
      <c r="Q173" s="9">
        <v>31.701799999999999</v>
      </c>
      <c r="R173" s="9"/>
      <c r="S173" s="11"/>
    </row>
    <row r="174" spans="1:19" ht="15.75">
      <c r="A174" s="13">
        <v>46784</v>
      </c>
      <c r="B174" s="8">
        <f>7.0979 * CHOOSE(CONTROL!$C$15, $D$11, 100%, $F$11)</f>
        <v>7.0979000000000001</v>
      </c>
      <c r="C174" s="8">
        <f>7.1086 * CHOOSE(CONTROL!$C$15, $D$11, 100%, $F$11)</f>
        <v>7.1086</v>
      </c>
      <c r="D174" s="8">
        <f>7.0899 * CHOOSE( CONTROL!$C$15, $D$11, 100%, $F$11)</f>
        <v>7.0899000000000001</v>
      </c>
      <c r="E174" s="12">
        <f>7.0956 * CHOOSE( CONTROL!$C$15, $D$11, 100%, $F$11)</f>
        <v>7.0956000000000001</v>
      </c>
      <c r="F174" s="4">
        <f>7.7564 * CHOOSE(CONTROL!$C$15, $D$11, 100%, $F$11)</f>
        <v>7.7564000000000002</v>
      </c>
      <c r="G174" s="8">
        <f>6.9319 * CHOOSE( CONTROL!$C$15, $D$11, 100%, $F$11)</f>
        <v>6.9318999999999997</v>
      </c>
      <c r="H174" s="4">
        <f>7.8175 * CHOOSE(CONTROL!$C$15, $D$11, 100%, $F$11)</f>
        <v>7.8174999999999999</v>
      </c>
      <c r="I174" s="8">
        <f>6.9224 * CHOOSE(CONTROL!$C$15, $D$11, 100%, $F$11)</f>
        <v>6.9223999999999997</v>
      </c>
      <c r="J174" s="4">
        <f>6.8002 * CHOOSE(CONTROL!$C$15, $D$11, 100%, $F$11)</f>
        <v>6.8002000000000002</v>
      </c>
      <c r="K174" s="4"/>
      <c r="L174" s="9">
        <v>27.415299999999998</v>
      </c>
      <c r="M174" s="9">
        <v>11.285299999999999</v>
      </c>
      <c r="N174" s="9">
        <v>4.6254999999999997</v>
      </c>
      <c r="O174" s="9">
        <v>0.34989999999999999</v>
      </c>
      <c r="P174" s="9">
        <v>1.2093</v>
      </c>
      <c r="Q174" s="9">
        <v>29.656600000000001</v>
      </c>
      <c r="R174" s="9"/>
      <c r="S174" s="11"/>
    </row>
    <row r="175" spans="1:19" ht="15.75">
      <c r="A175" s="13">
        <v>46813</v>
      </c>
      <c r="B175" s="8">
        <f>6.9471 * CHOOSE(CONTROL!$C$15, $D$11, 100%, $F$11)</f>
        <v>6.9470999999999998</v>
      </c>
      <c r="C175" s="8">
        <f>6.9578 * CHOOSE(CONTROL!$C$15, $D$11, 100%, $F$11)</f>
        <v>6.9577999999999998</v>
      </c>
      <c r="D175" s="8">
        <f>6.9387 * CHOOSE( CONTROL!$C$15, $D$11, 100%, $F$11)</f>
        <v>6.9386999999999999</v>
      </c>
      <c r="E175" s="12">
        <f>6.9445 * CHOOSE( CONTROL!$C$15, $D$11, 100%, $F$11)</f>
        <v>6.9444999999999997</v>
      </c>
      <c r="F175" s="4">
        <f>7.6056 * CHOOSE(CONTROL!$C$15, $D$11, 100%, $F$11)</f>
        <v>7.6055999999999999</v>
      </c>
      <c r="G175" s="8">
        <f>6.7841 * CHOOSE( CONTROL!$C$15, $D$11, 100%, $F$11)</f>
        <v>6.7840999999999996</v>
      </c>
      <c r="H175" s="4">
        <f>7.6701 * CHOOSE(CONTROL!$C$15, $D$11, 100%, $F$11)</f>
        <v>7.6700999999999997</v>
      </c>
      <c r="I175" s="8">
        <f>6.7761 * CHOOSE(CONTROL!$C$15, $D$11, 100%, $F$11)</f>
        <v>6.7760999999999996</v>
      </c>
      <c r="J175" s="4">
        <f>6.6554 * CHOOSE(CONTROL!$C$15, $D$11, 100%, $F$11)</f>
        <v>6.6554000000000002</v>
      </c>
      <c r="K175" s="4"/>
      <c r="L175" s="9">
        <v>29.306000000000001</v>
      </c>
      <c r="M175" s="9">
        <v>12.063700000000001</v>
      </c>
      <c r="N175" s="9">
        <v>4.9444999999999997</v>
      </c>
      <c r="O175" s="9">
        <v>0.37409999999999999</v>
      </c>
      <c r="P175" s="9">
        <v>1.2927</v>
      </c>
      <c r="Q175" s="9">
        <v>31.701799999999999</v>
      </c>
      <c r="R175" s="9"/>
      <c r="S175" s="11"/>
    </row>
    <row r="176" spans="1:19" ht="15.75">
      <c r="A176" s="13">
        <v>46844</v>
      </c>
      <c r="B176" s="8">
        <f>7.0524 * CHOOSE(CONTROL!$C$15, $D$11, 100%, $F$11)</f>
        <v>7.0523999999999996</v>
      </c>
      <c r="C176" s="8">
        <f>7.0632 * CHOOSE(CONTROL!$C$15, $D$11, 100%, $F$11)</f>
        <v>7.0632000000000001</v>
      </c>
      <c r="D176" s="8">
        <f>7.1001 * CHOOSE( CONTROL!$C$15, $D$11, 100%, $F$11)</f>
        <v>7.1001000000000003</v>
      </c>
      <c r="E176" s="12">
        <f>7.0867 * CHOOSE( CONTROL!$C$15, $D$11, 100%, $F$11)</f>
        <v>7.0867000000000004</v>
      </c>
      <c r="F176" s="4">
        <f>7.7917 * CHOOSE(CONTROL!$C$15, $D$11, 100%, $F$11)</f>
        <v>7.7916999999999996</v>
      </c>
      <c r="G176" s="8">
        <f>6.8863 * CHOOSE( CONTROL!$C$15, $D$11, 100%, $F$11)</f>
        <v>6.8863000000000003</v>
      </c>
      <c r="H176" s="4">
        <f>7.852 * CHOOSE(CONTROL!$C$15, $D$11, 100%, $F$11)</f>
        <v>7.8520000000000003</v>
      </c>
      <c r="I176" s="8">
        <f>6.8691 * CHOOSE(CONTROL!$C$15, $D$11, 100%, $F$11)</f>
        <v>6.8691000000000004</v>
      </c>
      <c r="J176" s="4">
        <f>6.7566 * CHOOSE(CONTROL!$C$15, $D$11, 100%, $F$11)</f>
        <v>6.7565999999999997</v>
      </c>
      <c r="K176" s="4"/>
      <c r="L176" s="9">
        <v>30.092199999999998</v>
      </c>
      <c r="M176" s="9">
        <v>11.6745</v>
      </c>
      <c r="N176" s="9">
        <v>4.7850000000000001</v>
      </c>
      <c r="O176" s="9">
        <v>0.36199999999999999</v>
      </c>
      <c r="P176" s="9">
        <v>1.1791</v>
      </c>
      <c r="Q176" s="9">
        <v>30.679200000000002</v>
      </c>
      <c r="R176" s="9"/>
      <c r="S176" s="11"/>
    </row>
    <row r="177" spans="1:19" ht="15.75">
      <c r="A177" s="13">
        <v>46874</v>
      </c>
      <c r="B177" s="8">
        <f>CHOOSE( CONTROL!$C$32, 7.2422, 7.2398) * CHOOSE(CONTROL!$C$15, $D$11, 100%, $F$11)</f>
        <v>7.2422000000000004</v>
      </c>
      <c r="C177" s="8">
        <f>CHOOSE( CONTROL!$C$32, 7.2528, 7.2504) * CHOOSE(CONTROL!$C$15, $D$11, 100%, $F$11)</f>
        <v>7.2527999999999997</v>
      </c>
      <c r="D177" s="8">
        <f>CHOOSE( CONTROL!$C$32, 7.2886, 7.2862) * CHOOSE( CONTROL!$C$15, $D$11, 100%, $F$11)</f>
        <v>7.2885999999999997</v>
      </c>
      <c r="E177" s="12">
        <f>CHOOSE( CONTROL!$C$32, 7.274, 7.2716) * CHOOSE( CONTROL!$C$15, $D$11, 100%, $F$11)</f>
        <v>7.274</v>
      </c>
      <c r="F177" s="4">
        <f>CHOOSE( CONTROL!$C$32, 7.9816, 7.9792) * CHOOSE(CONTROL!$C$15, $D$11, 100%, $F$11)</f>
        <v>7.9816000000000003</v>
      </c>
      <c r="G177" s="8">
        <f>CHOOSE( CONTROL!$C$32, 7.0725, 7.0702) * CHOOSE( CONTROL!$C$15, $D$11, 100%, $F$11)</f>
        <v>7.0724999999999998</v>
      </c>
      <c r="H177" s="4">
        <f>CHOOSE( CONTROL!$C$32, 8.0377, 8.0354) * CHOOSE(CONTROL!$C$15, $D$11, 100%, $F$11)</f>
        <v>8.0376999999999992</v>
      </c>
      <c r="I177" s="8">
        <f>CHOOSE( CONTROL!$C$32, 7.0516, 7.0493) * CHOOSE(CONTROL!$C$15, $D$11, 100%, $F$11)</f>
        <v>7.0515999999999996</v>
      </c>
      <c r="J177" s="4">
        <f>CHOOSE( CONTROL!$C$32, 6.9389, 6.9366) * CHOOSE(CONTROL!$C$15, $D$11, 100%, $F$11)</f>
        <v>6.9389000000000003</v>
      </c>
      <c r="K177" s="4"/>
      <c r="L177" s="9">
        <v>30.7165</v>
      </c>
      <c r="M177" s="9">
        <v>12.063700000000001</v>
      </c>
      <c r="N177" s="9">
        <v>4.9444999999999997</v>
      </c>
      <c r="O177" s="9">
        <v>0.37409999999999999</v>
      </c>
      <c r="P177" s="9">
        <v>1.2183999999999999</v>
      </c>
      <c r="Q177" s="9">
        <v>31.701799999999999</v>
      </c>
      <c r="R177" s="9"/>
      <c r="S177" s="11"/>
    </row>
    <row r="178" spans="1:19" ht="15.75">
      <c r="A178" s="13">
        <v>46905</v>
      </c>
      <c r="B178" s="8">
        <f>CHOOSE( CONTROL!$C$32, 7.126, 7.1237) * CHOOSE(CONTROL!$C$15, $D$11, 100%, $F$11)</f>
        <v>7.1260000000000003</v>
      </c>
      <c r="C178" s="8">
        <f>CHOOSE( CONTROL!$C$32, 7.1366, 7.1342) * CHOOSE(CONTROL!$C$15, $D$11, 100%, $F$11)</f>
        <v>7.1365999999999996</v>
      </c>
      <c r="D178" s="8">
        <f>CHOOSE( CONTROL!$C$32, 7.1726, 7.1703) * CHOOSE( CONTROL!$C$15, $D$11, 100%, $F$11)</f>
        <v>7.1726000000000001</v>
      </c>
      <c r="E178" s="12">
        <f>CHOOSE( CONTROL!$C$32, 7.1579, 7.1556) * CHOOSE( CONTROL!$C$15, $D$11, 100%, $F$11)</f>
        <v>7.1578999999999997</v>
      </c>
      <c r="F178" s="4">
        <f>CHOOSE( CONTROL!$C$32, 7.8654, 7.863) * CHOOSE(CONTROL!$C$15, $D$11, 100%, $F$11)</f>
        <v>7.8654000000000002</v>
      </c>
      <c r="G178" s="8">
        <f>CHOOSE( CONTROL!$C$32, 6.9592, 6.9569) * CHOOSE( CONTROL!$C$15, $D$11, 100%, $F$11)</f>
        <v>6.9592000000000001</v>
      </c>
      <c r="H178" s="4">
        <f>CHOOSE( CONTROL!$C$32, 7.9241, 7.9218) * CHOOSE(CONTROL!$C$15, $D$11, 100%, $F$11)</f>
        <v>7.9241000000000001</v>
      </c>
      <c r="I178" s="8">
        <f>CHOOSE( CONTROL!$C$32, 6.941, 6.9387) * CHOOSE(CONTROL!$C$15, $D$11, 100%, $F$11)</f>
        <v>6.9409999999999998</v>
      </c>
      <c r="J178" s="4">
        <f>CHOOSE( CONTROL!$C$32, 6.8274, 6.8251) * CHOOSE(CONTROL!$C$15, $D$11, 100%, $F$11)</f>
        <v>6.8273999999999999</v>
      </c>
      <c r="K178" s="4"/>
      <c r="L178" s="9">
        <v>29.7257</v>
      </c>
      <c r="M178" s="9">
        <v>11.6745</v>
      </c>
      <c r="N178" s="9">
        <v>4.7850000000000001</v>
      </c>
      <c r="O178" s="9">
        <v>0.36199999999999999</v>
      </c>
      <c r="P178" s="9">
        <v>1.1791</v>
      </c>
      <c r="Q178" s="9">
        <v>30.679200000000002</v>
      </c>
      <c r="R178" s="9"/>
      <c r="S178" s="11"/>
    </row>
    <row r="179" spans="1:19" ht="15.75">
      <c r="A179" s="13">
        <v>46935</v>
      </c>
      <c r="B179" s="8">
        <f>CHOOSE( CONTROL!$C$32, 7.4319, 7.4295) * CHOOSE(CONTROL!$C$15, $D$11, 100%, $F$11)</f>
        <v>7.4318999999999997</v>
      </c>
      <c r="C179" s="8">
        <f>CHOOSE( CONTROL!$C$32, 7.4425, 7.4401) * CHOOSE(CONTROL!$C$15, $D$11, 100%, $F$11)</f>
        <v>7.4424999999999999</v>
      </c>
      <c r="D179" s="8">
        <f>CHOOSE( CONTROL!$C$32, 7.4788, 7.4764) * CHOOSE( CONTROL!$C$15, $D$11, 100%, $F$11)</f>
        <v>7.4787999999999997</v>
      </c>
      <c r="E179" s="12">
        <f>CHOOSE( CONTROL!$C$32, 7.464, 7.4616) * CHOOSE( CONTROL!$C$15, $D$11, 100%, $F$11)</f>
        <v>7.4640000000000004</v>
      </c>
      <c r="F179" s="4">
        <f>CHOOSE( CONTROL!$C$32, 8.1713, 8.1689) * CHOOSE(CONTROL!$C$15, $D$11, 100%, $F$11)</f>
        <v>8.1713000000000005</v>
      </c>
      <c r="G179" s="8">
        <f>CHOOSE( CONTROL!$C$32, 7.2586, 7.2563) * CHOOSE( CONTROL!$C$15, $D$11, 100%, $F$11)</f>
        <v>7.2586000000000004</v>
      </c>
      <c r="H179" s="4">
        <f>CHOOSE( CONTROL!$C$32, 8.2232, 8.2209) * CHOOSE(CONTROL!$C$15, $D$11, 100%, $F$11)</f>
        <v>8.2232000000000003</v>
      </c>
      <c r="I179" s="8">
        <f>CHOOSE( CONTROL!$C$32, 7.2358, 7.2335) * CHOOSE(CONTROL!$C$15, $D$11, 100%, $F$11)</f>
        <v>7.2358000000000002</v>
      </c>
      <c r="J179" s="4">
        <f>CHOOSE( CONTROL!$C$32, 7.1211, 7.1188) * CHOOSE(CONTROL!$C$15, $D$11, 100%, $F$11)</f>
        <v>7.1211000000000002</v>
      </c>
      <c r="K179" s="4"/>
      <c r="L179" s="9">
        <v>30.7165</v>
      </c>
      <c r="M179" s="9">
        <v>12.063700000000001</v>
      </c>
      <c r="N179" s="9">
        <v>4.9444999999999997</v>
      </c>
      <c r="O179" s="9">
        <v>0.37409999999999999</v>
      </c>
      <c r="P179" s="9">
        <v>1.2183999999999999</v>
      </c>
      <c r="Q179" s="9">
        <v>31.701799999999999</v>
      </c>
      <c r="R179" s="9"/>
      <c r="S179" s="11"/>
    </row>
    <row r="180" spans="1:19" ht="15.75">
      <c r="A180" s="13">
        <v>46966</v>
      </c>
      <c r="B180" s="8">
        <f>CHOOSE( CONTROL!$C$32, 6.8596, 6.8572) * CHOOSE(CONTROL!$C$15, $D$11, 100%, $F$11)</f>
        <v>6.8596000000000004</v>
      </c>
      <c r="C180" s="8">
        <f>CHOOSE( CONTROL!$C$32, 6.8702, 6.8678) * CHOOSE(CONTROL!$C$15, $D$11, 100%, $F$11)</f>
        <v>6.8701999999999996</v>
      </c>
      <c r="D180" s="8">
        <f>CHOOSE( CONTROL!$C$32, 6.9065, 6.9041) * CHOOSE( CONTROL!$C$15, $D$11, 100%, $F$11)</f>
        <v>6.9065000000000003</v>
      </c>
      <c r="E180" s="12">
        <f>CHOOSE( CONTROL!$C$32, 6.8917, 6.8893) * CHOOSE( CONTROL!$C$15, $D$11, 100%, $F$11)</f>
        <v>6.8917000000000002</v>
      </c>
      <c r="F180" s="4">
        <f>CHOOSE( CONTROL!$C$32, 7.5989, 7.5966) * CHOOSE(CONTROL!$C$15, $D$11, 100%, $F$11)</f>
        <v>7.5989000000000004</v>
      </c>
      <c r="G180" s="8">
        <f>CHOOSE( CONTROL!$C$32, 6.6991, 6.6968) * CHOOSE( CONTROL!$C$15, $D$11, 100%, $F$11)</f>
        <v>6.6990999999999996</v>
      </c>
      <c r="H180" s="4">
        <f>CHOOSE( CONTROL!$C$32, 7.6636, 7.6613) * CHOOSE(CONTROL!$C$15, $D$11, 100%, $F$11)</f>
        <v>7.6635999999999997</v>
      </c>
      <c r="I180" s="8">
        <f>CHOOSE( CONTROL!$C$32, 6.6863, 6.684) * CHOOSE(CONTROL!$C$15, $D$11, 100%, $F$11)</f>
        <v>6.6863000000000001</v>
      </c>
      <c r="J180" s="4">
        <f>CHOOSE( CONTROL!$C$32, 6.5716, 6.5693) * CHOOSE(CONTROL!$C$15, $D$11, 100%, $F$11)</f>
        <v>6.5716000000000001</v>
      </c>
      <c r="K180" s="4"/>
      <c r="L180" s="9">
        <v>30.7165</v>
      </c>
      <c r="M180" s="9">
        <v>12.063700000000001</v>
      </c>
      <c r="N180" s="9">
        <v>4.9444999999999997</v>
      </c>
      <c r="O180" s="9">
        <v>0.37409999999999999</v>
      </c>
      <c r="P180" s="9">
        <v>1.2183999999999999</v>
      </c>
      <c r="Q180" s="9">
        <v>31.701799999999999</v>
      </c>
      <c r="R180" s="9"/>
      <c r="S180" s="11"/>
    </row>
    <row r="181" spans="1:19" ht="15.75">
      <c r="A181" s="13">
        <v>46997</v>
      </c>
      <c r="B181" s="8">
        <f>CHOOSE( CONTROL!$C$32, 6.7163, 6.7139) * CHOOSE(CONTROL!$C$15, $D$11, 100%, $F$11)</f>
        <v>6.7163000000000004</v>
      </c>
      <c r="C181" s="8">
        <f>CHOOSE( CONTROL!$C$32, 6.7268, 6.7244) * CHOOSE(CONTROL!$C$15, $D$11, 100%, $F$11)</f>
        <v>6.7267999999999999</v>
      </c>
      <c r="D181" s="8">
        <f>CHOOSE( CONTROL!$C$32, 6.7631, 6.7607) * CHOOSE( CONTROL!$C$15, $D$11, 100%, $F$11)</f>
        <v>6.7630999999999997</v>
      </c>
      <c r="E181" s="12">
        <f>CHOOSE( CONTROL!$C$32, 6.7483, 6.7459) * CHOOSE( CONTROL!$C$15, $D$11, 100%, $F$11)</f>
        <v>6.7483000000000004</v>
      </c>
      <c r="F181" s="4">
        <f>CHOOSE( CONTROL!$C$32, 7.4556, 7.4532) * CHOOSE(CONTROL!$C$15, $D$11, 100%, $F$11)</f>
        <v>7.4555999999999996</v>
      </c>
      <c r="G181" s="8">
        <f>CHOOSE( CONTROL!$C$32, 6.5589, 6.5566) * CHOOSE( CONTROL!$C$15, $D$11, 100%, $F$11)</f>
        <v>6.5589000000000004</v>
      </c>
      <c r="H181" s="4">
        <f>CHOOSE( CONTROL!$C$32, 7.5235, 7.5211) * CHOOSE(CONTROL!$C$15, $D$11, 100%, $F$11)</f>
        <v>7.5235000000000003</v>
      </c>
      <c r="I181" s="8">
        <f>CHOOSE( CONTROL!$C$32, 6.5483, 6.546) * CHOOSE(CONTROL!$C$15, $D$11, 100%, $F$11)</f>
        <v>6.5483000000000002</v>
      </c>
      <c r="J181" s="4">
        <f>CHOOSE( CONTROL!$C$32, 6.434, 6.4317) * CHOOSE(CONTROL!$C$15, $D$11, 100%, $F$11)</f>
        <v>6.4340000000000002</v>
      </c>
      <c r="K181" s="4"/>
      <c r="L181" s="9">
        <v>29.7257</v>
      </c>
      <c r="M181" s="9">
        <v>11.6745</v>
      </c>
      <c r="N181" s="9">
        <v>4.7850000000000001</v>
      </c>
      <c r="O181" s="9">
        <v>0.36199999999999999</v>
      </c>
      <c r="P181" s="9">
        <v>1.1791</v>
      </c>
      <c r="Q181" s="9">
        <v>30.679200000000002</v>
      </c>
      <c r="R181" s="9"/>
      <c r="S181" s="11"/>
    </row>
    <row r="182" spans="1:19" ht="15.75">
      <c r="A182" s="13">
        <v>47027</v>
      </c>
      <c r="B182" s="8">
        <f>7.0116 * CHOOSE(CONTROL!$C$15, $D$11, 100%, $F$11)</f>
        <v>7.0115999999999996</v>
      </c>
      <c r="C182" s="8">
        <f>7.0223 * CHOOSE(CONTROL!$C$15, $D$11, 100%, $F$11)</f>
        <v>7.0223000000000004</v>
      </c>
      <c r="D182" s="8">
        <f>7.0599 * CHOOSE( CONTROL!$C$15, $D$11, 100%, $F$11)</f>
        <v>7.0598999999999998</v>
      </c>
      <c r="E182" s="12">
        <f>7.0463 * CHOOSE( CONTROL!$C$15, $D$11, 100%, $F$11)</f>
        <v>7.0462999999999996</v>
      </c>
      <c r="F182" s="4">
        <f>7.7508 * CHOOSE(CONTROL!$C$15, $D$11, 100%, $F$11)</f>
        <v>7.7507999999999999</v>
      </c>
      <c r="G182" s="8">
        <f>6.8473 * CHOOSE( CONTROL!$C$15, $D$11, 100%, $F$11)</f>
        <v>6.8472999999999997</v>
      </c>
      <c r="H182" s="4">
        <f>7.8121 * CHOOSE(CONTROL!$C$15, $D$11, 100%, $F$11)</f>
        <v>7.8121</v>
      </c>
      <c r="I182" s="8">
        <f>6.8326 * CHOOSE(CONTROL!$C$15, $D$11, 100%, $F$11)</f>
        <v>6.8326000000000002</v>
      </c>
      <c r="J182" s="4">
        <f>6.7174 * CHOOSE(CONTROL!$C$15, $D$11, 100%, $F$11)</f>
        <v>6.7173999999999996</v>
      </c>
      <c r="K182" s="4"/>
      <c r="L182" s="9">
        <v>31.095300000000002</v>
      </c>
      <c r="M182" s="9">
        <v>12.063700000000001</v>
      </c>
      <c r="N182" s="9">
        <v>4.9444999999999997</v>
      </c>
      <c r="O182" s="9">
        <v>0.37409999999999999</v>
      </c>
      <c r="P182" s="9">
        <v>1.2183999999999999</v>
      </c>
      <c r="Q182" s="9">
        <v>31.701799999999999</v>
      </c>
      <c r="R182" s="9"/>
      <c r="S182" s="11"/>
    </row>
    <row r="183" spans="1:19" ht="15.75">
      <c r="A183" s="13">
        <v>47058</v>
      </c>
      <c r="B183" s="8">
        <f>7.5609 * CHOOSE(CONTROL!$C$15, $D$11, 100%, $F$11)</f>
        <v>7.5609000000000002</v>
      </c>
      <c r="C183" s="8">
        <f>7.5717 * CHOOSE(CONTROL!$C$15, $D$11, 100%, $F$11)</f>
        <v>7.5716999999999999</v>
      </c>
      <c r="D183" s="8">
        <f>7.5544 * CHOOSE( CONTROL!$C$15, $D$11, 100%, $F$11)</f>
        <v>7.5544000000000002</v>
      </c>
      <c r="E183" s="12">
        <f>7.5596 * CHOOSE( CONTROL!$C$15, $D$11, 100%, $F$11)</f>
        <v>7.5595999999999997</v>
      </c>
      <c r="F183" s="4">
        <f>8.2194 * CHOOSE(CONTROL!$C$15, $D$11, 100%, $F$11)</f>
        <v>8.2194000000000003</v>
      </c>
      <c r="G183" s="8">
        <f>7.391 * CHOOSE( CONTROL!$C$15, $D$11, 100%, $F$11)</f>
        <v>7.391</v>
      </c>
      <c r="H183" s="4">
        <f>8.2702 * CHOOSE(CONTROL!$C$15, $D$11, 100%, $F$11)</f>
        <v>8.2702000000000009</v>
      </c>
      <c r="I183" s="8">
        <f>7.3974 * CHOOSE(CONTROL!$C$15, $D$11, 100%, $F$11)</f>
        <v>7.3974000000000002</v>
      </c>
      <c r="J183" s="4">
        <f>7.2447 * CHOOSE(CONTROL!$C$15, $D$11, 100%, $F$11)</f>
        <v>7.2446999999999999</v>
      </c>
      <c r="K183" s="4"/>
      <c r="L183" s="9">
        <v>28.360600000000002</v>
      </c>
      <c r="M183" s="9">
        <v>11.6745</v>
      </c>
      <c r="N183" s="9">
        <v>4.7850000000000001</v>
      </c>
      <c r="O183" s="9">
        <v>0.36199999999999999</v>
      </c>
      <c r="P183" s="9">
        <v>1.2509999999999999</v>
      </c>
      <c r="Q183" s="9">
        <v>30.679200000000002</v>
      </c>
      <c r="R183" s="9"/>
      <c r="S183" s="11"/>
    </row>
    <row r="184" spans="1:19" ht="15.75">
      <c r="A184" s="13">
        <v>47088</v>
      </c>
      <c r="B184" s="8">
        <f>7.5472 * CHOOSE(CONTROL!$C$15, $D$11, 100%, $F$11)</f>
        <v>7.5472000000000001</v>
      </c>
      <c r="C184" s="8">
        <f>7.5579 * CHOOSE(CONTROL!$C$15, $D$11, 100%, $F$11)</f>
        <v>7.5579000000000001</v>
      </c>
      <c r="D184" s="8">
        <f>7.5424 * CHOOSE( CONTROL!$C$15, $D$11, 100%, $F$11)</f>
        <v>7.5423999999999998</v>
      </c>
      <c r="E184" s="12">
        <f>7.5469 * CHOOSE( CONTROL!$C$15, $D$11, 100%, $F$11)</f>
        <v>7.5468999999999999</v>
      </c>
      <c r="F184" s="4">
        <f>8.2057 * CHOOSE(CONTROL!$C$15, $D$11, 100%, $F$11)</f>
        <v>8.2057000000000002</v>
      </c>
      <c r="G184" s="8">
        <f>7.3788 * CHOOSE( CONTROL!$C$15, $D$11, 100%, $F$11)</f>
        <v>7.3788</v>
      </c>
      <c r="H184" s="4">
        <f>8.2568 * CHOOSE(CONTROL!$C$15, $D$11, 100%, $F$11)</f>
        <v>8.2568000000000001</v>
      </c>
      <c r="I184" s="8">
        <f>7.3894 * CHOOSE(CONTROL!$C$15, $D$11, 100%, $F$11)</f>
        <v>7.3894000000000002</v>
      </c>
      <c r="J184" s="4">
        <f>7.2316 * CHOOSE(CONTROL!$C$15, $D$11, 100%, $F$11)</f>
        <v>7.2316000000000003</v>
      </c>
      <c r="K184" s="4"/>
      <c r="L184" s="9">
        <v>29.306000000000001</v>
      </c>
      <c r="M184" s="9">
        <v>12.063700000000001</v>
      </c>
      <c r="N184" s="9">
        <v>4.9444999999999997</v>
      </c>
      <c r="O184" s="9">
        <v>0.37409999999999999</v>
      </c>
      <c r="P184" s="9">
        <v>1.2927</v>
      </c>
      <c r="Q184" s="9">
        <v>31.701799999999999</v>
      </c>
      <c r="R184" s="9"/>
      <c r="S184" s="11"/>
    </row>
    <row r="185" spans="1:19" ht="15.75">
      <c r="A185" s="13">
        <v>47119</v>
      </c>
      <c r="B185" s="8">
        <f>7.8153 * CHOOSE(CONTROL!$C$15, $D$11, 100%, $F$11)</f>
        <v>7.8152999999999997</v>
      </c>
      <c r="C185" s="8">
        <f>7.8261 * CHOOSE(CONTROL!$C$15, $D$11, 100%, $F$11)</f>
        <v>7.8261000000000003</v>
      </c>
      <c r="D185" s="8">
        <f>7.8075 * CHOOSE( CONTROL!$C$15, $D$11, 100%, $F$11)</f>
        <v>7.8075000000000001</v>
      </c>
      <c r="E185" s="12">
        <f>7.8132 * CHOOSE( CONTROL!$C$15, $D$11, 100%, $F$11)</f>
        <v>7.8132000000000001</v>
      </c>
      <c r="F185" s="4">
        <f>8.4738 * CHOOSE(CONTROL!$C$15, $D$11, 100%, $F$11)</f>
        <v>8.4738000000000007</v>
      </c>
      <c r="G185" s="8">
        <f>7.6334 * CHOOSE( CONTROL!$C$15, $D$11, 100%, $F$11)</f>
        <v>7.6334</v>
      </c>
      <c r="H185" s="4">
        <f>8.519 * CHOOSE(CONTROL!$C$15, $D$11, 100%, $F$11)</f>
        <v>8.5190000000000001</v>
      </c>
      <c r="I185" s="8">
        <f>7.6119 * CHOOSE(CONTROL!$C$15, $D$11, 100%, $F$11)</f>
        <v>7.6119000000000003</v>
      </c>
      <c r="J185" s="4">
        <f>7.489 * CHOOSE(CONTROL!$C$15, $D$11, 100%, $F$11)</f>
        <v>7.4889999999999999</v>
      </c>
      <c r="K185" s="4"/>
      <c r="L185" s="9">
        <v>29.306000000000001</v>
      </c>
      <c r="M185" s="9">
        <v>12.063700000000001</v>
      </c>
      <c r="N185" s="9">
        <v>4.9444999999999997</v>
      </c>
      <c r="O185" s="9">
        <v>0.37409999999999999</v>
      </c>
      <c r="P185" s="9">
        <v>1.2927</v>
      </c>
      <c r="Q185" s="9">
        <v>31.517700000000001</v>
      </c>
      <c r="R185" s="9"/>
      <c r="S185" s="11"/>
    </row>
    <row r="186" spans="1:19" ht="15.75">
      <c r="A186" s="13">
        <v>47150</v>
      </c>
      <c r="B186" s="8">
        <f>7.311 * CHOOSE(CONTROL!$C$15, $D$11, 100%, $F$11)</f>
        <v>7.3109999999999999</v>
      </c>
      <c r="C186" s="8">
        <f>7.3218 * CHOOSE(CONTROL!$C$15, $D$11, 100%, $F$11)</f>
        <v>7.3217999999999996</v>
      </c>
      <c r="D186" s="8">
        <f>7.3031 * CHOOSE( CONTROL!$C$15, $D$11, 100%, $F$11)</f>
        <v>7.3030999999999997</v>
      </c>
      <c r="E186" s="12">
        <f>7.3088 * CHOOSE( CONTROL!$C$15, $D$11, 100%, $F$11)</f>
        <v>7.3087999999999997</v>
      </c>
      <c r="F186" s="4">
        <f>7.9695 * CHOOSE(CONTROL!$C$15, $D$11, 100%, $F$11)</f>
        <v>7.9695</v>
      </c>
      <c r="G186" s="8">
        <f>7.1403 * CHOOSE( CONTROL!$C$15, $D$11, 100%, $F$11)</f>
        <v>7.1402999999999999</v>
      </c>
      <c r="H186" s="4">
        <f>8.0259 * CHOOSE(CONTROL!$C$15, $D$11, 100%, $F$11)</f>
        <v>8.0259</v>
      </c>
      <c r="I186" s="8">
        <f>7.1272 * CHOOSE(CONTROL!$C$15, $D$11, 100%, $F$11)</f>
        <v>7.1272000000000002</v>
      </c>
      <c r="J186" s="4">
        <f>7.0049 * CHOOSE(CONTROL!$C$15, $D$11, 100%, $F$11)</f>
        <v>7.0049000000000001</v>
      </c>
      <c r="K186" s="4"/>
      <c r="L186" s="9">
        <v>26.469899999999999</v>
      </c>
      <c r="M186" s="9">
        <v>10.8962</v>
      </c>
      <c r="N186" s="9">
        <v>4.4660000000000002</v>
      </c>
      <c r="O186" s="9">
        <v>0.33789999999999998</v>
      </c>
      <c r="P186" s="9">
        <v>1.1676</v>
      </c>
      <c r="Q186" s="9">
        <v>28.467600000000001</v>
      </c>
      <c r="R186" s="9"/>
      <c r="S186" s="11"/>
    </row>
    <row r="187" spans="1:19" ht="15.75">
      <c r="A187" s="13">
        <v>47178</v>
      </c>
      <c r="B187" s="8">
        <f>7.1557 * CHOOSE(CONTROL!$C$15, $D$11, 100%, $F$11)</f>
        <v>7.1557000000000004</v>
      </c>
      <c r="C187" s="8">
        <f>7.1665 * CHOOSE(CONTROL!$C$15, $D$11, 100%, $F$11)</f>
        <v>7.1665000000000001</v>
      </c>
      <c r="D187" s="8">
        <f>7.1473 * CHOOSE( CONTROL!$C$15, $D$11, 100%, $F$11)</f>
        <v>7.1473000000000004</v>
      </c>
      <c r="E187" s="12">
        <f>7.1532 * CHOOSE( CONTROL!$C$15, $D$11, 100%, $F$11)</f>
        <v>7.1532</v>
      </c>
      <c r="F187" s="4">
        <f>7.8142 * CHOOSE(CONTROL!$C$15, $D$11, 100%, $F$11)</f>
        <v>7.8141999999999996</v>
      </c>
      <c r="G187" s="8">
        <f>6.9881 * CHOOSE( CONTROL!$C$15, $D$11, 100%, $F$11)</f>
        <v>6.9881000000000002</v>
      </c>
      <c r="H187" s="4">
        <f>7.8741 * CHOOSE(CONTROL!$C$15, $D$11, 100%, $F$11)</f>
        <v>7.8741000000000003</v>
      </c>
      <c r="I187" s="8">
        <f>6.9765 * CHOOSE(CONTROL!$C$15, $D$11, 100%, $F$11)</f>
        <v>6.9764999999999997</v>
      </c>
      <c r="J187" s="4">
        <f>6.8558 * CHOOSE(CONTROL!$C$15, $D$11, 100%, $F$11)</f>
        <v>6.8558000000000003</v>
      </c>
      <c r="K187" s="4"/>
      <c r="L187" s="9">
        <v>29.306000000000001</v>
      </c>
      <c r="M187" s="9">
        <v>12.063700000000001</v>
      </c>
      <c r="N187" s="9">
        <v>4.9444999999999997</v>
      </c>
      <c r="O187" s="9">
        <v>0.37409999999999999</v>
      </c>
      <c r="P187" s="9">
        <v>1.2927</v>
      </c>
      <c r="Q187" s="9">
        <v>31.517700000000001</v>
      </c>
      <c r="R187" s="9"/>
      <c r="S187" s="11"/>
    </row>
    <row r="188" spans="1:19" ht="15.75">
      <c r="A188" s="13">
        <v>47209</v>
      </c>
      <c r="B188" s="8">
        <f>7.2642 * CHOOSE(CONTROL!$C$15, $D$11, 100%, $F$11)</f>
        <v>7.2641999999999998</v>
      </c>
      <c r="C188" s="8">
        <f>7.275 * CHOOSE(CONTROL!$C$15, $D$11, 100%, $F$11)</f>
        <v>7.2750000000000004</v>
      </c>
      <c r="D188" s="8">
        <f>7.3119 * CHOOSE( CONTROL!$C$15, $D$11, 100%, $F$11)</f>
        <v>7.3118999999999996</v>
      </c>
      <c r="E188" s="12">
        <f>7.2985 * CHOOSE( CONTROL!$C$15, $D$11, 100%, $F$11)</f>
        <v>7.2984999999999998</v>
      </c>
      <c r="F188" s="4">
        <f>8.0035 * CHOOSE(CONTROL!$C$15, $D$11, 100%, $F$11)</f>
        <v>8.0035000000000007</v>
      </c>
      <c r="G188" s="8">
        <f>7.0934 * CHOOSE( CONTROL!$C$15, $D$11, 100%, $F$11)</f>
        <v>7.0933999999999999</v>
      </c>
      <c r="H188" s="4">
        <f>8.0591 * CHOOSE(CONTROL!$C$15, $D$11, 100%, $F$11)</f>
        <v>8.0591000000000008</v>
      </c>
      <c r="I188" s="8">
        <f>7.0726 * CHOOSE(CONTROL!$C$15, $D$11, 100%, $F$11)</f>
        <v>7.0726000000000004</v>
      </c>
      <c r="J188" s="4">
        <f>6.96 * CHOOSE(CONTROL!$C$15, $D$11, 100%, $F$11)</f>
        <v>6.96</v>
      </c>
      <c r="K188" s="4"/>
      <c r="L188" s="9">
        <v>30.092199999999998</v>
      </c>
      <c r="M188" s="9">
        <v>11.6745</v>
      </c>
      <c r="N188" s="9">
        <v>4.7850000000000001</v>
      </c>
      <c r="O188" s="9">
        <v>0.36199999999999999</v>
      </c>
      <c r="P188" s="9">
        <v>1.1791</v>
      </c>
      <c r="Q188" s="9">
        <v>30.501000000000001</v>
      </c>
      <c r="R188" s="9"/>
      <c r="S188" s="11"/>
    </row>
    <row r="189" spans="1:19" ht="15.75">
      <c r="A189" s="13">
        <v>47239</v>
      </c>
      <c r="B189" s="8">
        <f>CHOOSE( CONTROL!$C$32, 7.4597, 7.4573) * CHOOSE(CONTROL!$C$15, $D$11, 100%, $F$11)</f>
        <v>7.4596999999999998</v>
      </c>
      <c r="C189" s="8">
        <f>CHOOSE( CONTROL!$C$32, 7.4702, 7.4678) * CHOOSE(CONTROL!$C$15, $D$11, 100%, $F$11)</f>
        <v>7.4702000000000002</v>
      </c>
      <c r="D189" s="8">
        <f>CHOOSE( CONTROL!$C$32, 7.5061, 7.5037) * CHOOSE( CONTROL!$C$15, $D$11, 100%, $F$11)</f>
        <v>7.5061</v>
      </c>
      <c r="E189" s="12">
        <f>CHOOSE( CONTROL!$C$32, 7.4915, 7.4891) * CHOOSE( CONTROL!$C$15, $D$11, 100%, $F$11)</f>
        <v>7.4915000000000003</v>
      </c>
      <c r="F189" s="4">
        <f>CHOOSE( CONTROL!$C$32, 8.199, 8.1966) * CHOOSE(CONTROL!$C$15, $D$11, 100%, $F$11)</f>
        <v>8.1989999999999998</v>
      </c>
      <c r="G189" s="8">
        <f>CHOOSE( CONTROL!$C$32, 7.2851, 7.2828) * CHOOSE( CONTROL!$C$15, $D$11, 100%, $F$11)</f>
        <v>7.2850999999999999</v>
      </c>
      <c r="H189" s="4">
        <f>CHOOSE( CONTROL!$C$32, 8.2503, 8.248) * CHOOSE(CONTROL!$C$15, $D$11, 100%, $F$11)</f>
        <v>8.2502999999999993</v>
      </c>
      <c r="I189" s="8">
        <f>CHOOSE( CONTROL!$C$32, 7.2605, 7.2582) * CHOOSE(CONTROL!$C$15, $D$11, 100%, $F$11)</f>
        <v>7.2605000000000004</v>
      </c>
      <c r="J189" s="4">
        <f>CHOOSE( CONTROL!$C$32, 7.1477, 7.1454) * CHOOSE(CONTROL!$C$15, $D$11, 100%, $F$11)</f>
        <v>7.1477000000000004</v>
      </c>
      <c r="K189" s="4"/>
      <c r="L189" s="9">
        <v>30.7165</v>
      </c>
      <c r="M189" s="9">
        <v>12.063700000000001</v>
      </c>
      <c r="N189" s="9">
        <v>4.9444999999999997</v>
      </c>
      <c r="O189" s="9">
        <v>0.37409999999999999</v>
      </c>
      <c r="P189" s="9">
        <v>1.2183999999999999</v>
      </c>
      <c r="Q189" s="9">
        <v>31.517700000000001</v>
      </c>
      <c r="R189" s="9"/>
      <c r="S189" s="11"/>
    </row>
    <row r="190" spans="1:19" ht="15.75">
      <c r="A190" s="13">
        <v>47270</v>
      </c>
      <c r="B190" s="8">
        <f>CHOOSE( CONTROL!$C$32, 7.34, 7.3376) * CHOOSE(CONTROL!$C$15, $D$11, 100%, $F$11)</f>
        <v>7.34</v>
      </c>
      <c r="C190" s="8">
        <f>CHOOSE( CONTROL!$C$32, 7.3506, 7.3482) * CHOOSE(CONTROL!$C$15, $D$11, 100%, $F$11)</f>
        <v>7.3506</v>
      </c>
      <c r="D190" s="8">
        <f>CHOOSE( CONTROL!$C$32, 7.3866, 7.3842) * CHOOSE( CONTROL!$C$15, $D$11, 100%, $F$11)</f>
        <v>7.3865999999999996</v>
      </c>
      <c r="E190" s="12">
        <f>CHOOSE( CONTROL!$C$32, 7.3719, 7.3695) * CHOOSE( CONTROL!$C$15, $D$11, 100%, $F$11)</f>
        <v>7.3719000000000001</v>
      </c>
      <c r="F190" s="4">
        <f>CHOOSE( CONTROL!$C$32, 8.0794, 8.077) * CHOOSE(CONTROL!$C$15, $D$11, 100%, $F$11)</f>
        <v>8.0793999999999997</v>
      </c>
      <c r="G190" s="8">
        <f>CHOOSE( CONTROL!$C$32, 7.1684, 7.1661) * CHOOSE( CONTROL!$C$15, $D$11, 100%, $F$11)</f>
        <v>7.1684000000000001</v>
      </c>
      <c r="H190" s="4">
        <f>CHOOSE( CONTROL!$C$32, 8.1333, 8.131) * CHOOSE(CONTROL!$C$15, $D$11, 100%, $F$11)</f>
        <v>8.1333000000000002</v>
      </c>
      <c r="I190" s="8">
        <f>CHOOSE( CONTROL!$C$32, 7.1465, 7.1442) * CHOOSE(CONTROL!$C$15, $D$11, 100%, $F$11)</f>
        <v>7.1464999999999996</v>
      </c>
      <c r="J190" s="4">
        <f>CHOOSE( CONTROL!$C$32, 7.0328, 7.0305) * CHOOSE(CONTROL!$C$15, $D$11, 100%, $F$11)</f>
        <v>7.0327999999999999</v>
      </c>
      <c r="K190" s="4"/>
      <c r="L190" s="9">
        <v>29.7257</v>
      </c>
      <c r="M190" s="9">
        <v>11.6745</v>
      </c>
      <c r="N190" s="9">
        <v>4.7850000000000001</v>
      </c>
      <c r="O190" s="9">
        <v>0.36199999999999999</v>
      </c>
      <c r="P190" s="9">
        <v>1.1791</v>
      </c>
      <c r="Q190" s="9">
        <v>30.501000000000001</v>
      </c>
      <c r="R190" s="9"/>
      <c r="S190" s="11"/>
    </row>
    <row r="191" spans="1:19" ht="15.75">
      <c r="A191" s="13">
        <v>47300</v>
      </c>
      <c r="B191" s="8">
        <f>CHOOSE( CONTROL!$C$32, 7.6551, 7.6527) * CHOOSE(CONTROL!$C$15, $D$11, 100%, $F$11)</f>
        <v>7.6551</v>
      </c>
      <c r="C191" s="8">
        <f>CHOOSE( CONTROL!$C$32, 7.6657, 7.6633) * CHOOSE(CONTROL!$C$15, $D$11, 100%, $F$11)</f>
        <v>7.6657000000000002</v>
      </c>
      <c r="D191" s="8">
        <f>CHOOSE( CONTROL!$C$32, 7.7019, 7.6995) * CHOOSE( CONTROL!$C$15, $D$11, 100%, $F$11)</f>
        <v>7.7019000000000002</v>
      </c>
      <c r="E191" s="12">
        <f>CHOOSE( CONTROL!$C$32, 7.6872, 7.6848) * CHOOSE( CONTROL!$C$15, $D$11, 100%, $F$11)</f>
        <v>7.6871999999999998</v>
      </c>
      <c r="F191" s="4">
        <f>CHOOSE( CONTROL!$C$32, 8.3945, 8.3921) * CHOOSE(CONTROL!$C$15, $D$11, 100%, $F$11)</f>
        <v>8.3945000000000007</v>
      </c>
      <c r="G191" s="8">
        <f>CHOOSE( CONTROL!$C$32, 7.4768, 7.4745) * CHOOSE( CONTROL!$C$15, $D$11, 100%, $F$11)</f>
        <v>7.4767999999999999</v>
      </c>
      <c r="H191" s="4">
        <f>CHOOSE( CONTROL!$C$32, 8.4414, 8.4391) * CHOOSE(CONTROL!$C$15, $D$11, 100%, $F$11)</f>
        <v>8.4413999999999998</v>
      </c>
      <c r="I191" s="8">
        <f>CHOOSE( CONTROL!$C$32, 7.4502, 7.4479) * CHOOSE(CONTROL!$C$15, $D$11, 100%, $F$11)</f>
        <v>7.4501999999999997</v>
      </c>
      <c r="J191" s="4">
        <f>CHOOSE( CONTROL!$C$32, 7.3353, 7.333) * CHOOSE(CONTROL!$C$15, $D$11, 100%, $F$11)</f>
        <v>7.3353000000000002</v>
      </c>
      <c r="K191" s="4"/>
      <c r="L191" s="9">
        <v>30.7165</v>
      </c>
      <c r="M191" s="9">
        <v>12.063700000000001</v>
      </c>
      <c r="N191" s="9">
        <v>4.9444999999999997</v>
      </c>
      <c r="O191" s="9">
        <v>0.37409999999999999</v>
      </c>
      <c r="P191" s="9">
        <v>1.2183999999999999</v>
      </c>
      <c r="Q191" s="9">
        <v>31.517700000000001</v>
      </c>
      <c r="R191" s="9"/>
      <c r="S191" s="11"/>
    </row>
    <row r="192" spans="1:19" ht="15.75">
      <c r="A192" s="13">
        <v>47331</v>
      </c>
      <c r="B192" s="8">
        <f>CHOOSE( CONTROL!$C$32, 7.0655, 7.0631) * CHOOSE(CONTROL!$C$15, $D$11, 100%, $F$11)</f>
        <v>7.0655000000000001</v>
      </c>
      <c r="C192" s="8">
        <f>CHOOSE( CONTROL!$C$32, 7.0761, 7.0737) * CHOOSE(CONTROL!$C$15, $D$11, 100%, $F$11)</f>
        <v>7.0761000000000003</v>
      </c>
      <c r="D192" s="8">
        <f>CHOOSE( CONTROL!$C$32, 7.1124, 7.11) * CHOOSE( CONTROL!$C$15, $D$11, 100%, $F$11)</f>
        <v>7.1124000000000001</v>
      </c>
      <c r="E192" s="12">
        <f>CHOOSE( CONTROL!$C$32, 7.0976, 7.0952) * CHOOSE( CONTROL!$C$15, $D$11, 100%, $F$11)</f>
        <v>7.0975999999999999</v>
      </c>
      <c r="F192" s="4">
        <f>CHOOSE( CONTROL!$C$32, 7.8049, 7.8025) * CHOOSE(CONTROL!$C$15, $D$11, 100%, $F$11)</f>
        <v>7.8048999999999999</v>
      </c>
      <c r="G192" s="8">
        <f>CHOOSE( CONTROL!$C$32, 6.9005, 6.8981) * CHOOSE( CONTROL!$C$15, $D$11, 100%, $F$11)</f>
        <v>6.9005000000000001</v>
      </c>
      <c r="H192" s="4">
        <f>CHOOSE( CONTROL!$C$32, 7.865, 7.8626) * CHOOSE(CONTROL!$C$15, $D$11, 100%, $F$11)</f>
        <v>7.8650000000000002</v>
      </c>
      <c r="I192" s="8">
        <f>CHOOSE( CONTROL!$C$32, 6.8841, 6.8818) * CHOOSE(CONTROL!$C$15, $D$11, 100%, $F$11)</f>
        <v>6.8841000000000001</v>
      </c>
      <c r="J192" s="4">
        <f>CHOOSE( CONTROL!$C$32, 6.7693, 6.767) * CHOOSE(CONTROL!$C$15, $D$11, 100%, $F$11)</f>
        <v>6.7693000000000003</v>
      </c>
      <c r="K192" s="4"/>
      <c r="L192" s="9">
        <v>30.7165</v>
      </c>
      <c r="M192" s="9">
        <v>12.063700000000001</v>
      </c>
      <c r="N192" s="9">
        <v>4.9444999999999997</v>
      </c>
      <c r="O192" s="9">
        <v>0.37409999999999999</v>
      </c>
      <c r="P192" s="9">
        <v>1.2183999999999999</v>
      </c>
      <c r="Q192" s="9">
        <v>31.517700000000001</v>
      </c>
      <c r="R192" s="9"/>
      <c r="S192" s="11"/>
    </row>
    <row r="193" spans="1:19" ht="15.75">
      <c r="A193" s="13">
        <v>47362</v>
      </c>
      <c r="B193" s="8">
        <f>CHOOSE( CONTROL!$C$32, 6.9179, 6.9155) * CHOOSE(CONTROL!$C$15, $D$11, 100%, $F$11)</f>
        <v>6.9179000000000004</v>
      </c>
      <c r="C193" s="8">
        <f>CHOOSE( CONTROL!$C$32, 6.9285, 6.9261) * CHOOSE(CONTROL!$C$15, $D$11, 100%, $F$11)</f>
        <v>6.9284999999999997</v>
      </c>
      <c r="D193" s="8">
        <f>CHOOSE( CONTROL!$C$32, 6.9647, 6.9623) * CHOOSE( CONTROL!$C$15, $D$11, 100%, $F$11)</f>
        <v>6.9646999999999997</v>
      </c>
      <c r="E193" s="12">
        <f>CHOOSE( CONTROL!$C$32, 6.95, 6.9476) * CHOOSE( CONTROL!$C$15, $D$11, 100%, $F$11)</f>
        <v>6.95</v>
      </c>
      <c r="F193" s="4">
        <f>CHOOSE( CONTROL!$C$32, 7.6573, 7.6549) * CHOOSE(CONTROL!$C$15, $D$11, 100%, $F$11)</f>
        <v>7.6573000000000002</v>
      </c>
      <c r="G193" s="8">
        <f>CHOOSE( CONTROL!$C$32, 6.756, 6.7537) * CHOOSE( CONTROL!$C$15, $D$11, 100%, $F$11)</f>
        <v>6.7560000000000002</v>
      </c>
      <c r="H193" s="4">
        <f>CHOOSE( CONTROL!$C$32, 7.7206, 7.7183) * CHOOSE(CONTROL!$C$15, $D$11, 100%, $F$11)</f>
        <v>7.7206000000000001</v>
      </c>
      <c r="I193" s="8">
        <f>CHOOSE( CONTROL!$C$32, 6.742, 6.7397) * CHOOSE(CONTROL!$C$15, $D$11, 100%, $F$11)</f>
        <v>6.742</v>
      </c>
      <c r="J193" s="4">
        <f>CHOOSE( CONTROL!$C$32, 6.6275, 6.6252) * CHOOSE(CONTROL!$C$15, $D$11, 100%, $F$11)</f>
        <v>6.6275000000000004</v>
      </c>
      <c r="K193" s="4"/>
      <c r="L193" s="9">
        <v>29.7257</v>
      </c>
      <c r="M193" s="9">
        <v>11.6745</v>
      </c>
      <c r="N193" s="9">
        <v>4.7850000000000001</v>
      </c>
      <c r="O193" s="9">
        <v>0.36199999999999999</v>
      </c>
      <c r="P193" s="9">
        <v>1.1791</v>
      </c>
      <c r="Q193" s="9">
        <v>30.501000000000001</v>
      </c>
      <c r="R193" s="9"/>
      <c r="S193" s="11"/>
    </row>
    <row r="194" spans="1:19" ht="15.75">
      <c r="A194" s="13">
        <v>47392</v>
      </c>
      <c r="B194" s="8">
        <f>7.2222 * CHOOSE(CONTROL!$C$15, $D$11, 100%, $F$11)</f>
        <v>7.2222</v>
      </c>
      <c r="C194" s="8">
        <f>7.2329 * CHOOSE(CONTROL!$C$15, $D$11, 100%, $F$11)</f>
        <v>7.2328999999999999</v>
      </c>
      <c r="D194" s="8">
        <f>7.2705 * CHOOSE( CONTROL!$C$15, $D$11, 100%, $F$11)</f>
        <v>7.2705000000000002</v>
      </c>
      <c r="E194" s="12">
        <f>7.2569 * CHOOSE( CONTROL!$C$15, $D$11, 100%, $F$11)</f>
        <v>7.2568999999999999</v>
      </c>
      <c r="F194" s="4">
        <f>7.9614 * CHOOSE(CONTROL!$C$15, $D$11, 100%, $F$11)</f>
        <v>7.9614000000000003</v>
      </c>
      <c r="G194" s="8">
        <f>7.0532 * CHOOSE( CONTROL!$C$15, $D$11, 100%, $F$11)</f>
        <v>7.0532000000000004</v>
      </c>
      <c r="H194" s="4">
        <f>8.018 * CHOOSE(CONTROL!$C$15, $D$11, 100%, $F$11)</f>
        <v>8.0180000000000007</v>
      </c>
      <c r="I194" s="8">
        <f>7.0349 * CHOOSE(CONTROL!$C$15, $D$11, 100%, $F$11)</f>
        <v>7.0349000000000004</v>
      </c>
      <c r="J194" s="4">
        <f>6.9196 * CHOOSE(CONTROL!$C$15, $D$11, 100%, $F$11)</f>
        <v>6.9196</v>
      </c>
      <c r="K194" s="4"/>
      <c r="L194" s="9">
        <v>31.095300000000002</v>
      </c>
      <c r="M194" s="9">
        <v>12.063700000000001</v>
      </c>
      <c r="N194" s="9">
        <v>4.9444999999999997</v>
      </c>
      <c r="O194" s="9">
        <v>0.37409999999999999</v>
      </c>
      <c r="P194" s="9">
        <v>1.2183999999999999</v>
      </c>
      <c r="Q194" s="9">
        <v>31.517700000000001</v>
      </c>
      <c r="R194" s="9"/>
      <c r="S194" s="11"/>
    </row>
    <row r="195" spans="1:19" ht="15.75">
      <c r="A195" s="13">
        <v>47423</v>
      </c>
      <c r="B195" s="8">
        <f>7.788 * CHOOSE(CONTROL!$C$15, $D$11, 100%, $F$11)</f>
        <v>7.7880000000000003</v>
      </c>
      <c r="C195" s="8">
        <f>7.7988 * CHOOSE(CONTROL!$C$15, $D$11, 100%, $F$11)</f>
        <v>7.7988</v>
      </c>
      <c r="D195" s="8">
        <f>7.7815 * CHOOSE( CONTROL!$C$15, $D$11, 100%, $F$11)</f>
        <v>7.7815000000000003</v>
      </c>
      <c r="E195" s="12">
        <f>7.7867 * CHOOSE( CONTROL!$C$15, $D$11, 100%, $F$11)</f>
        <v>7.7866999999999997</v>
      </c>
      <c r="F195" s="4">
        <f>8.4465 * CHOOSE(CONTROL!$C$15, $D$11, 100%, $F$11)</f>
        <v>8.4465000000000003</v>
      </c>
      <c r="G195" s="8">
        <f>7.613 * CHOOSE( CONTROL!$C$15, $D$11, 100%, $F$11)</f>
        <v>7.6130000000000004</v>
      </c>
      <c r="H195" s="4">
        <f>8.4923 * CHOOSE(CONTROL!$C$15, $D$11, 100%, $F$11)</f>
        <v>8.4923000000000002</v>
      </c>
      <c r="I195" s="8">
        <f>7.6156 * CHOOSE(CONTROL!$C$15, $D$11, 100%, $F$11)</f>
        <v>7.6155999999999997</v>
      </c>
      <c r="J195" s="4">
        <f>7.4628 * CHOOSE(CONTROL!$C$15, $D$11, 100%, $F$11)</f>
        <v>7.4627999999999997</v>
      </c>
      <c r="K195" s="4"/>
      <c r="L195" s="9">
        <v>28.360600000000002</v>
      </c>
      <c r="M195" s="9">
        <v>11.6745</v>
      </c>
      <c r="N195" s="9">
        <v>4.7850000000000001</v>
      </c>
      <c r="O195" s="9">
        <v>0.36199999999999999</v>
      </c>
      <c r="P195" s="9">
        <v>1.2509999999999999</v>
      </c>
      <c r="Q195" s="9">
        <v>30.501000000000001</v>
      </c>
      <c r="R195" s="9"/>
      <c r="S195" s="11"/>
    </row>
    <row r="196" spans="1:19" ht="15.75">
      <c r="A196" s="13">
        <v>47453</v>
      </c>
      <c r="B196" s="8">
        <f>7.7739 * CHOOSE(CONTROL!$C$15, $D$11, 100%, $F$11)</f>
        <v>7.7739000000000003</v>
      </c>
      <c r="C196" s="8">
        <f>7.7846 * CHOOSE(CONTROL!$C$15, $D$11, 100%, $F$11)</f>
        <v>7.7846000000000002</v>
      </c>
      <c r="D196" s="8">
        <f>7.7691 * CHOOSE( CONTROL!$C$15, $D$11, 100%, $F$11)</f>
        <v>7.7690999999999999</v>
      </c>
      <c r="E196" s="12">
        <f>7.7736 * CHOOSE( CONTROL!$C$15, $D$11, 100%, $F$11)</f>
        <v>7.7736000000000001</v>
      </c>
      <c r="F196" s="4">
        <f>8.4324 * CHOOSE(CONTROL!$C$15, $D$11, 100%, $F$11)</f>
        <v>8.4323999999999995</v>
      </c>
      <c r="G196" s="8">
        <f>7.6004 * CHOOSE( CONTROL!$C$15, $D$11, 100%, $F$11)</f>
        <v>7.6003999999999996</v>
      </c>
      <c r="H196" s="4">
        <f>8.4785 * CHOOSE(CONTROL!$C$15, $D$11, 100%, $F$11)</f>
        <v>8.4785000000000004</v>
      </c>
      <c r="I196" s="8">
        <f>7.6072 * CHOOSE(CONTROL!$C$15, $D$11, 100%, $F$11)</f>
        <v>7.6071999999999997</v>
      </c>
      <c r="J196" s="4">
        <f>7.4492 * CHOOSE(CONTROL!$C$15, $D$11, 100%, $F$11)</f>
        <v>7.4492000000000003</v>
      </c>
      <c r="K196" s="4"/>
      <c r="L196" s="9">
        <v>29.306000000000001</v>
      </c>
      <c r="M196" s="9">
        <v>12.063700000000001</v>
      </c>
      <c r="N196" s="9">
        <v>4.9444999999999997</v>
      </c>
      <c r="O196" s="9">
        <v>0.37409999999999999</v>
      </c>
      <c r="P196" s="9">
        <v>1.2927</v>
      </c>
      <c r="Q196" s="9">
        <v>31.517700000000001</v>
      </c>
      <c r="R196" s="9"/>
      <c r="S196" s="11"/>
    </row>
    <row r="197" spans="1:19" ht="15.75">
      <c r="A197" s="13">
        <v>47484</v>
      </c>
      <c r="B197" s="8">
        <f>8.0493 * CHOOSE(CONTROL!$C$15, $D$11, 100%, $F$11)</f>
        <v>8.0493000000000006</v>
      </c>
      <c r="C197" s="8">
        <f>8.0601 * CHOOSE(CONTROL!$C$15, $D$11, 100%, $F$11)</f>
        <v>8.0601000000000003</v>
      </c>
      <c r="D197" s="8">
        <f>8.0415 * CHOOSE( CONTROL!$C$15, $D$11, 100%, $F$11)</f>
        <v>8.0414999999999992</v>
      </c>
      <c r="E197" s="12">
        <f>8.0472 * CHOOSE( CONTROL!$C$15, $D$11, 100%, $F$11)</f>
        <v>8.0472000000000001</v>
      </c>
      <c r="F197" s="4">
        <f>8.7078 * CHOOSE(CONTROL!$C$15, $D$11, 100%, $F$11)</f>
        <v>8.7078000000000007</v>
      </c>
      <c r="G197" s="8">
        <f>7.8622 * CHOOSE( CONTROL!$C$15, $D$11, 100%, $F$11)</f>
        <v>7.8621999999999996</v>
      </c>
      <c r="H197" s="4">
        <f>8.7478 * CHOOSE(CONTROL!$C$15, $D$11, 100%, $F$11)</f>
        <v>8.7477999999999998</v>
      </c>
      <c r="I197" s="8">
        <f>7.8366 * CHOOSE(CONTROL!$C$15, $D$11, 100%, $F$11)</f>
        <v>7.8365999999999998</v>
      </c>
      <c r="J197" s="4">
        <f>7.7137 * CHOOSE(CONTROL!$C$15, $D$11, 100%, $F$11)</f>
        <v>7.7137000000000002</v>
      </c>
      <c r="K197" s="4"/>
      <c r="L197" s="9">
        <v>29.306000000000001</v>
      </c>
      <c r="M197" s="9">
        <v>12.063700000000001</v>
      </c>
      <c r="N197" s="9">
        <v>4.9444999999999997</v>
      </c>
      <c r="O197" s="9">
        <v>0.37409999999999999</v>
      </c>
      <c r="P197" s="9">
        <v>1.2927</v>
      </c>
      <c r="Q197" s="9">
        <v>31.333600000000001</v>
      </c>
      <c r="R197" s="9"/>
      <c r="S197" s="11"/>
    </row>
    <row r="198" spans="1:19" ht="15.75">
      <c r="A198" s="13">
        <v>47515</v>
      </c>
      <c r="B198" s="8">
        <f>7.5299 * CHOOSE(CONTROL!$C$15, $D$11, 100%, $F$11)</f>
        <v>7.5298999999999996</v>
      </c>
      <c r="C198" s="8">
        <f>7.5407 * CHOOSE(CONTROL!$C$15, $D$11, 100%, $F$11)</f>
        <v>7.5407000000000002</v>
      </c>
      <c r="D198" s="8">
        <f>7.522 * CHOOSE( CONTROL!$C$15, $D$11, 100%, $F$11)</f>
        <v>7.5220000000000002</v>
      </c>
      <c r="E198" s="12">
        <f>7.5277 * CHOOSE( CONTROL!$C$15, $D$11, 100%, $F$11)</f>
        <v>7.5277000000000003</v>
      </c>
      <c r="F198" s="4">
        <f>8.1884 * CHOOSE(CONTROL!$C$15, $D$11, 100%, $F$11)</f>
        <v>8.1883999999999997</v>
      </c>
      <c r="G198" s="8">
        <f>7.3543 * CHOOSE( CONTROL!$C$15, $D$11, 100%, $F$11)</f>
        <v>7.3543000000000003</v>
      </c>
      <c r="H198" s="4">
        <f>8.2399 * CHOOSE(CONTROL!$C$15, $D$11, 100%, $F$11)</f>
        <v>8.2399000000000004</v>
      </c>
      <c r="I198" s="8">
        <f>7.3374 * CHOOSE(CONTROL!$C$15, $D$11, 100%, $F$11)</f>
        <v>7.3373999999999997</v>
      </c>
      <c r="J198" s="4">
        <f>7.215 * CHOOSE(CONTROL!$C$15, $D$11, 100%, $F$11)</f>
        <v>7.2149999999999999</v>
      </c>
      <c r="K198" s="4"/>
      <c r="L198" s="9">
        <v>26.469899999999999</v>
      </c>
      <c r="M198" s="9">
        <v>10.8962</v>
      </c>
      <c r="N198" s="9">
        <v>4.4660000000000002</v>
      </c>
      <c r="O198" s="9">
        <v>0.33789999999999998</v>
      </c>
      <c r="P198" s="9">
        <v>1.1676</v>
      </c>
      <c r="Q198" s="9">
        <v>28.301300000000001</v>
      </c>
      <c r="R198" s="9"/>
      <c r="S198" s="11"/>
    </row>
    <row r="199" spans="1:19" ht="15.75">
      <c r="A199" s="13">
        <v>47543</v>
      </c>
      <c r="B199" s="8">
        <f>7.3699 * CHOOSE(CONTROL!$C$15, $D$11, 100%, $F$11)</f>
        <v>7.3699000000000003</v>
      </c>
      <c r="C199" s="8">
        <f>7.3807 * CHOOSE(CONTROL!$C$15, $D$11, 100%, $F$11)</f>
        <v>7.3807</v>
      </c>
      <c r="D199" s="8">
        <f>7.3615 * CHOOSE( CONTROL!$C$15, $D$11, 100%, $F$11)</f>
        <v>7.3615000000000004</v>
      </c>
      <c r="E199" s="12">
        <f>7.3674 * CHOOSE( CONTROL!$C$15, $D$11, 100%, $F$11)</f>
        <v>7.3673999999999999</v>
      </c>
      <c r="F199" s="4">
        <f>8.0284 * CHOOSE(CONTROL!$C$15, $D$11, 100%, $F$11)</f>
        <v>8.0283999999999995</v>
      </c>
      <c r="G199" s="8">
        <f>7.1975 * CHOOSE( CONTROL!$C$15, $D$11, 100%, $F$11)</f>
        <v>7.1974999999999998</v>
      </c>
      <c r="H199" s="4">
        <f>8.0835 * CHOOSE(CONTROL!$C$15, $D$11, 100%, $F$11)</f>
        <v>8.0835000000000008</v>
      </c>
      <c r="I199" s="8">
        <f>7.1823 * CHOOSE(CONTROL!$C$15, $D$11, 100%, $F$11)</f>
        <v>7.1822999999999997</v>
      </c>
      <c r="J199" s="4">
        <f>7.0614 * CHOOSE(CONTROL!$C$15, $D$11, 100%, $F$11)</f>
        <v>7.0613999999999999</v>
      </c>
      <c r="K199" s="4"/>
      <c r="L199" s="9">
        <v>29.306000000000001</v>
      </c>
      <c r="M199" s="9">
        <v>12.063700000000001</v>
      </c>
      <c r="N199" s="9">
        <v>4.9444999999999997</v>
      </c>
      <c r="O199" s="9">
        <v>0.37409999999999999</v>
      </c>
      <c r="P199" s="9">
        <v>1.2927</v>
      </c>
      <c r="Q199" s="9">
        <v>31.333600000000001</v>
      </c>
      <c r="R199" s="9"/>
      <c r="S199" s="11"/>
    </row>
    <row r="200" spans="1:19" ht="15.75">
      <c r="A200" s="13">
        <v>47574</v>
      </c>
      <c r="B200" s="8">
        <f>7.4817 * CHOOSE(CONTROL!$C$15, $D$11, 100%, $F$11)</f>
        <v>7.4817</v>
      </c>
      <c r="C200" s="8">
        <f>7.4925 * CHOOSE(CONTROL!$C$15, $D$11, 100%, $F$11)</f>
        <v>7.4924999999999997</v>
      </c>
      <c r="D200" s="8">
        <f>7.5294 * CHOOSE( CONTROL!$C$15, $D$11, 100%, $F$11)</f>
        <v>7.5293999999999999</v>
      </c>
      <c r="E200" s="12">
        <f>7.516 * CHOOSE( CONTROL!$C$15, $D$11, 100%, $F$11)</f>
        <v>7.516</v>
      </c>
      <c r="F200" s="4">
        <f>8.221 * CHOOSE(CONTROL!$C$15, $D$11, 100%, $F$11)</f>
        <v>8.2210000000000001</v>
      </c>
      <c r="G200" s="8">
        <f>7.306 * CHOOSE( CONTROL!$C$15, $D$11, 100%, $F$11)</f>
        <v>7.306</v>
      </c>
      <c r="H200" s="4">
        <f>8.2718 * CHOOSE(CONTROL!$C$15, $D$11, 100%, $F$11)</f>
        <v>8.2718000000000007</v>
      </c>
      <c r="I200" s="8">
        <f>7.2815 * CHOOSE(CONTROL!$C$15, $D$11, 100%, $F$11)</f>
        <v>7.2815000000000003</v>
      </c>
      <c r="J200" s="4">
        <f>7.1687 * CHOOSE(CONTROL!$C$15, $D$11, 100%, $F$11)</f>
        <v>7.1687000000000003</v>
      </c>
      <c r="K200" s="4"/>
      <c r="L200" s="9">
        <v>30.092199999999998</v>
      </c>
      <c r="M200" s="9">
        <v>11.6745</v>
      </c>
      <c r="N200" s="9">
        <v>4.7850000000000001</v>
      </c>
      <c r="O200" s="9">
        <v>0.36199999999999999</v>
      </c>
      <c r="P200" s="9">
        <v>1.1791</v>
      </c>
      <c r="Q200" s="9">
        <v>30.322800000000001</v>
      </c>
      <c r="R200" s="9"/>
      <c r="S200" s="11"/>
    </row>
    <row r="201" spans="1:19" ht="15.75">
      <c r="A201" s="13">
        <v>47604</v>
      </c>
      <c r="B201" s="8">
        <f>CHOOSE( CONTROL!$C$32, 7.6829, 7.6805) * CHOOSE(CONTROL!$C$15, $D$11, 100%, $F$11)</f>
        <v>7.6829000000000001</v>
      </c>
      <c r="C201" s="8">
        <f>CHOOSE( CONTROL!$C$32, 7.6935, 7.6911) * CHOOSE(CONTROL!$C$15, $D$11, 100%, $F$11)</f>
        <v>7.6935000000000002</v>
      </c>
      <c r="D201" s="8">
        <f>CHOOSE( CONTROL!$C$32, 7.7293, 7.7269) * CHOOSE( CONTROL!$C$15, $D$11, 100%, $F$11)</f>
        <v>7.7293000000000003</v>
      </c>
      <c r="E201" s="12">
        <f>CHOOSE( CONTROL!$C$32, 7.7147, 7.7123) * CHOOSE( CONTROL!$C$15, $D$11, 100%, $F$11)</f>
        <v>7.7146999999999997</v>
      </c>
      <c r="F201" s="4">
        <f>CHOOSE( CONTROL!$C$32, 8.4223, 8.4199) * CHOOSE(CONTROL!$C$15, $D$11, 100%, $F$11)</f>
        <v>8.4222999999999999</v>
      </c>
      <c r="G201" s="8">
        <f>CHOOSE( CONTROL!$C$32, 7.5034, 7.5011) * CHOOSE( CONTROL!$C$15, $D$11, 100%, $F$11)</f>
        <v>7.5034000000000001</v>
      </c>
      <c r="H201" s="4">
        <f>CHOOSE( CONTROL!$C$32, 8.4686, 8.4663) * CHOOSE(CONTROL!$C$15, $D$11, 100%, $F$11)</f>
        <v>8.4686000000000003</v>
      </c>
      <c r="I201" s="8">
        <f>CHOOSE( CONTROL!$C$32, 7.475, 7.4727) * CHOOSE(CONTROL!$C$15, $D$11, 100%, $F$11)</f>
        <v>7.4749999999999996</v>
      </c>
      <c r="J201" s="4">
        <f>CHOOSE( CONTROL!$C$32, 7.3621, 7.3598) * CHOOSE(CONTROL!$C$15, $D$11, 100%, $F$11)</f>
        <v>7.3620999999999999</v>
      </c>
      <c r="K201" s="4"/>
      <c r="L201" s="9">
        <v>30.7165</v>
      </c>
      <c r="M201" s="9">
        <v>12.063700000000001</v>
      </c>
      <c r="N201" s="9">
        <v>4.9444999999999997</v>
      </c>
      <c r="O201" s="9">
        <v>0.37409999999999999</v>
      </c>
      <c r="P201" s="9">
        <v>1.2183999999999999</v>
      </c>
      <c r="Q201" s="9">
        <v>31.333600000000001</v>
      </c>
      <c r="R201" s="9"/>
      <c r="S201" s="11"/>
    </row>
    <row r="202" spans="1:19" ht="15.75">
      <c r="A202" s="13">
        <v>47635</v>
      </c>
      <c r="B202" s="8">
        <f>CHOOSE( CONTROL!$C$32, 7.5597, 7.5573) * CHOOSE(CONTROL!$C$15, $D$11, 100%, $F$11)</f>
        <v>7.5597000000000003</v>
      </c>
      <c r="C202" s="8">
        <f>CHOOSE( CONTROL!$C$32, 7.5703, 7.5679) * CHOOSE(CONTROL!$C$15, $D$11, 100%, $F$11)</f>
        <v>7.5702999999999996</v>
      </c>
      <c r="D202" s="8">
        <f>CHOOSE( CONTROL!$C$32, 7.6063, 7.6039) * CHOOSE( CONTROL!$C$15, $D$11, 100%, $F$11)</f>
        <v>7.6063000000000001</v>
      </c>
      <c r="E202" s="12">
        <f>CHOOSE( CONTROL!$C$32, 7.5916, 7.5892) * CHOOSE( CONTROL!$C$15, $D$11, 100%, $F$11)</f>
        <v>7.5915999999999997</v>
      </c>
      <c r="F202" s="4">
        <f>CHOOSE( CONTROL!$C$32, 8.2991, 8.2967) * CHOOSE(CONTROL!$C$15, $D$11, 100%, $F$11)</f>
        <v>8.2990999999999993</v>
      </c>
      <c r="G202" s="8">
        <f>CHOOSE( CONTROL!$C$32, 7.3832, 7.3809) * CHOOSE( CONTROL!$C$15, $D$11, 100%, $F$11)</f>
        <v>7.3832000000000004</v>
      </c>
      <c r="H202" s="4">
        <f>CHOOSE( CONTROL!$C$32, 8.3481, 8.3458) * CHOOSE(CONTROL!$C$15, $D$11, 100%, $F$11)</f>
        <v>8.3481000000000005</v>
      </c>
      <c r="I202" s="8">
        <f>CHOOSE( CONTROL!$C$32, 7.3575, 7.3552) * CHOOSE(CONTROL!$C$15, $D$11, 100%, $F$11)</f>
        <v>7.3574999999999999</v>
      </c>
      <c r="J202" s="4">
        <f>CHOOSE( CONTROL!$C$32, 7.2437, 7.2414) * CHOOSE(CONTROL!$C$15, $D$11, 100%, $F$11)</f>
        <v>7.2436999999999996</v>
      </c>
      <c r="K202" s="4"/>
      <c r="L202" s="9">
        <v>29.7257</v>
      </c>
      <c r="M202" s="9">
        <v>11.6745</v>
      </c>
      <c r="N202" s="9">
        <v>4.7850000000000001</v>
      </c>
      <c r="O202" s="9">
        <v>0.36199999999999999</v>
      </c>
      <c r="P202" s="9">
        <v>1.1791</v>
      </c>
      <c r="Q202" s="9">
        <v>30.322800000000001</v>
      </c>
      <c r="R202" s="9"/>
      <c r="S202" s="11"/>
    </row>
    <row r="203" spans="1:19" ht="15.75">
      <c r="A203" s="13">
        <v>47665</v>
      </c>
      <c r="B203" s="8">
        <f>CHOOSE( CONTROL!$C$32, 7.8842, 7.8819) * CHOOSE(CONTROL!$C$15, $D$11, 100%, $F$11)</f>
        <v>7.8841999999999999</v>
      </c>
      <c r="C203" s="8">
        <f>CHOOSE( CONTROL!$C$32, 7.8948, 7.8924) * CHOOSE(CONTROL!$C$15, $D$11, 100%, $F$11)</f>
        <v>7.8948</v>
      </c>
      <c r="D203" s="8">
        <f>CHOOSE( CONTROL!$C$32, 7.9311, 7.9287) * CHOOSE( CONTROL!$C$15, $D$11, 100%, $F$11)</f>
        <v>7.9310999999999998</v>
      </c>
      <c r="E203" s="12">
        <f>CHOOSE( CONTROL!$C$32, 7.9163, 7.9139) * CHOOSE( CONTROL!$C$15, $D$11, 100%, $F$11)</f>
        <v>7.9162999999999997</v>
      </c>
      <c r="F203" s="4">
        <f>CHOOSE( CONTROL!$C$32, 8.6236, 8.6212) * CHOOSE(CONTROL!$C$15, $D$11, 100%, $F$11)</f>
        <v>8.6235999999999997</v>
      </c>
      <c r="G203" s="8">
        <f>CHOOSE( CONTROL!$C$32, 7.7009, 7.6985) * CHOOSE( CONTROL!$C$15, $D$11, 100%, $F$11)</f>
        <v>7.7008999999999999</v>
      </c>
      <c r="H203" s="4">
        <f>CHOOSE( CONTROL!$C$32, 8.6654, 8.6631) * CHOOSE(CONTROL!$C$15, $D$11, 100%, $F$11)</f>
        <v>8.6654</v>
      </c>
      <c r="I203" s="8">
        <f>CHOOSE( CONTROL!$C$32, 7.6703, 7.668) * CHOOSE(CONTROL!$C$15, $D$11, 100%, $F$11)</f>
        <v>7.6703000000000001</v>
      </c>
      <c r="J203" s="4">
        <f>CHOOSE( CONTROL!$C$32, 7.5553, 7.553) * CHOOSE(CONTROL!$C$15, $D$11, 100%, $F$11)</f>
        <v>7.5552999999999999</v>
      </c>
      <c r="K203" s="4"/>
      <c r="L203" s="9">
        <v>30.7165</v>
      </c>
      <c r="M203" s="9">
        <v>12.063700000000001</v>
      </c>
      <c r="N203" s="9">
        <v>4.9444999999999997</v>
      </c>
      <c r="O203" s="9">
        <v>0.37409999999999999</v>
      </c>
      <c r="P203" s="9">
        <v>1.2183999999999999</v>
      </c>
      <c r="Q203" s="9">
        <v>31.333600000000001</v>
      </c>
      <c r="R203" s="9"/>
      <c r="S203" s="11"/>
    </row>
    <row r="204" spans="1:19" ht="15.75">
      <c r="A204" s="13">
        <v>47696</v>
      </c>
      <c r="B204" s="8">
        <f>CHOOSE( CONTROL!$C$32, 7.277, 7.2746) * CHOOSE(CONTROL!$C$15, $D$11, 100%, $F$11)</f>
        <v>7.2770000000000001</v>
      </c>
      <c r="C204" s="8">
        <f>CHOOSE( CONTROL!$C$32, 7.2875, 7.2852) * CHOOSE(CONTROL!$C$15, $D$11, 100%, $F$11)</f>
        <v>7.2874999999999996</v>
      </c>
      <c r="D204" s="8">
        <f>CHOOSE( CONTROL!$C$32, 7.3238, 7.3214) * CHOOSE( CONTROL!$C$15, $D$11, 100%, $F$11)</f>
        <v>7.3238000000000003</v>
      </c>
      <c r="E204" s="12">
        <f>CHOOSE( CONTROL!$C$32, 7.309, 7.3067) * CHOOSE( CONTROL!$C$15, $D$11, 100%, $F$11)</f>
        <v>7.3090000000000002</v>
      </c>
      <c r="F204" s="4">
        <f>CHOOSE( CONTROL!$C$32, 8.0163, 8.0139) * CHOOSE(CONTROL!$C$15, $D$11, 100%, $F$11)</f>
        <v>8.0162999999999993</v>
      </c>
      <c r="G204" s="8">
        <f>CHOOSE( CONTROL!$C$32, 7.1072, 7.1049) * CHOOSE( CONTROL!$C$15, $D$11, 100%, $F$11)</f>
        <v>7.1071999999999997</v>
      </c>
      <c r="H204" s="4">
        <f>CHOOSE( CONTROL!$C$32, 8.0717, 8.0694) * CHOOSE(CONTROL!$C$15, $D$11, 100%, $F$11)</f>
        <v>8.0716999999999999</v>
      </c>
      <c r="I204" s="8">
        <f>CHOOSE( CONTROL!$C$32, 7.0872, 7.0849) * CHOOSE(CONTROL!$C$15, $D$11, 100%, $F$11)</f>
        <v>7.0872000000000002</v>
      </c>
      <c r="J204" s="4">
        <f>CHOOSE( CONTROL!$C$32, 6.9723, 6.97) * CHOOSE(CONTROL!$C$15, $D$11, 100%, $F$11)</f>
        <v>6.9722999999999997</v>
      </c>
      <c r="K204" s="4"/>
      <c r="L204" s="9">
        <v>30.7165</v>
      </c>
      <c r="M204" s="9">
        <v>12.063700000000001</v>
      </c>
      <c r="N204" s="9">
        <v>4.9444999999999997</v>
      </c>
      <c r="O204" s="9">
        <v>0.37409999999999999</v>
      </c>
      <c r="P204" s="9">
        <v>1.2183999999999999</v>
      </c>
      <c r="Q204" s="9">
        <v>31.333600000000001</v>
      </c>
      <c r="R204" s="9"/>
      <c r="S204" s="11"/>
    </row>
    <row r="205" spans="1:19" ht="15.75">
      <c r="A205" s="13">
        <v>47727</v>
      </c>
      <c r="B205" s="8">
        <f>CHOOSE( CONTROL!$C$32, 7.1249, 7.1225) * CHOOSE(CONTROL!$C$15, $D$11, 100%, $F$11)</f>
        <v>7.1249000000000002</v>
      </c>
      <c r="C205" s="8">
        <f>CHOOSE( CONTROL!$C$32, 7.1355, 7.1331) * CHOOSE(CONTROL!$C$15, $D$11, 100%, $F$11)</f>
        <v>7.1355000000000004</v>
      </c>
      <c r="D205" s="8">
        <f>CHOOSE( CONTROL!$C$32, 7.1717, 7.1693) * CHOOSE( CONTROL!$C$15, $D$11, 100%, $F$11)</f>
        <v>7.1717000000000004</v>
      </c>
      <c r="E205" s="12">
        <f>CHOOSE( CONTROL!$C$32, 7.157, 7.1546) * CHOOSE( CONTROL!$C$15, $D$11, 100%, $F$11)</f>
        <v>7.157</v>
      </c>
      <c r="F205" s="4">
        <f>CHOOSE( CONTROL!$C$32, 7.8643, 7.8619) * CHOOSE(CONTROL!$C$15, $D$11, 100%, $F$11)</f>
        <v>7.8643000000000001</v>
      </c>
      <c r="G205" s="8">
        <f>CHOOSE( CONTROL!$C$32, 6.9584, 6.9561) * CHOOSE( CONTROL!$C$15, $D$11, 100%, $F$11)</f>
        <v>6.9584000000000001</v>
      </c>
      <c r="H205" s="4">
        <f>CHOOSE( CONTROL!$C$32, 7.923, 7.9207) * CHOOSE(CONTROL!$C$15, $D$11, 100%, $F$11)</f>
        <v>7.923</v>
      </c>
      <c r="I205" s="8">
        <f>CHOOSE( CONTROL!$C$32, 6.9408, 6.9385) * CHOOSE(CONTROL!$C$15, $D$11, 100%, $F$11)</f>
        <v>6.9408000000000003</v>
      </c>
      <c r="J205" s="4">
        <f>CHOOSE( CONTROL!$C$32, 6.8263, 6.824) * CHOOSE(CONTROL!$C$15, $D$11, 100%, $F$11)</f>
        <v>6.8262999999999998</v>
      </c>
      <c r="K205" s="4"/>
      <c r="L205" s="9">
        <v>29.7257</v>
      </c>
      <c r="M205" s="9">
        <v>11.6745</v>
      </c>
      <c r="N205" s="9">
        <v>4.7850000000000001</v>
      </c>
      <c r="O205" s="9">
        <v>0.36199999999999999</v>
      </c>
      <c r="P205" s="9">
        <v>1.1791</v>
      </c>
      <c r="Q205" s="9">
        <v>30.322800000000001</v>
      </c>
      <c r="R205" s="9"/>
      <c r="S205" s="11"/>
    </row>
    <row r="206" spans="1:19" ht="15.75">
      <c r="A206" s="13">
        <v>47757</v>
      </c>
      <c r="B206" s="8">
        <f>7.4384 * CHOOSE(CONTROL!$C$15, $D$11, 100%, $F$11)</f>
        <v>7.4383999999999997</v>
      </c>
      <c r="C206" s="8">
        <f>7.4491 * CHOOSE(CONTROL!$C$15, $D$11, 100%, $F$11)</f>
        <v>7.4490999999999996</v>
      </c>
      <c r="D206" s="8">
        <f>7.4867 * CHOOSE( CONTROL!$C$15, $D$11, 100%, $F$11)</f>
        <v>7.4866999999999999</v>
      </c>
      <c r="E206" s="12">
        <f>7.4731 * CHOOSE( CONTROL!$C$15, $D$11, 100%, $F$11)</f>
        <v>7.4730999999999996</v>
      </c>
      <c r="F206" s="4">
        <f>8.1776 * CHOOSE(CONTROL!$C$15, $D$11, 100%, $F$11)</f>
        <v>8.1776</v>
      </c>
      <c r="G206" s="8">
        <f>7.2646 * CHOOSE( CONTROL!$C$15, $D$11, 100%, $F$11)</f>
        <v>7.2645999999999997</v>
      </c>
      <c r="H206" s="4">
        <f>8.2294 * CHOOSE(CONTROL!$C$15, $D$11, 100%, $F$11)</f>
        <v>8.2294</v>
      </c>
      <c r="I206" s="8">
        <f>7.2426 * CHOOSE(CONTROL!$C$15, $D$11, 100%, $F$11)</f>
        <v>7.2426000000000004</v>
      </c>
      <c r="J206" s="4">
        <f>7.1271 * CHOOSE(CONTROL!$C$15, $D$11, 100%, $F$11)</f>
        <v>7.1271000000000004</v>
      </c>
      <c r="K206" s="4"/>
      <c r="L206" s="9">
        <v>31.095300000000002</v>
      </c>
      <c r="M206" s="9">
        <v>12.063700000000001</v>
      </c>
      <c r="N206" s="9">
        <v>4.9444999999999997</v>
      </c>
      <c r="O206" s="9">
        <v>0.37409999999999999</v>
      </c>
      <c r="P206" s="9">
        <v>1.2183999999999999</v>
      </c>
      <c r="Q206" s="9">
        <v>31.333600000000001</v>
      </c>
      <c r="R206" s="9"/>
      <c r="S206" s="11"/>
    </row>
    <row r="207" spans="1:19" ht="15.75">
      <c r="A207" s="13">
        <v>47788</v>
      </c>
      <c r="B207" s="8">
        <f>8.0212 * CHOOSE(CONTROL!$C$15, $D$11, 100%, $F$11)</f>
        <v>8.0212000000000003</v>
      </c>
      <c r="C207" s="8">
        <f>8.032 * CHOOSE(CONTROL!$C$15, $D$11, 100%, $F$11)</f>
        <v>8.032</v>
      </c>
      <c r="D207" s="8">
        <f>8.0147 * CHOOSE( CONTROL!$C$15, $D$11, 100%, $F$11)</f>
        <v>8.0146999999999995</v>
      </c>
      <c r="E207" s="12">
        <f>8.0199 * CHOOSE( CONTROL!$C$15, $D$11, 100%, $F$11)</f>
        <v>8.0198999999999998</v>
      </c>
      <c r="F207" s="4">
        <f>8.6797 * CHOOSE(CONTROL!$C$15, $D$11, 100%, $F$11)</f>
        <v>8.6797000000000004</v>
      </c>
      <c r="G207" s="8">
        <f>7.841 * CHOOSE( CONTROL!$C$15, $D$11, 100%, $F$11)</f>
        <v>7.8410000000000002</v>
      </c>
      <c r="H207" s="4">
        <f>8.7203 * CHOOSE(CONTROL!$C$15, $D$11, 100%, $F$11)</f>
        <v>8.7202999999999999</v>
      </c>
      <c r="I207" s="8">
        <f>7.8396 * CHOOSE(CONTROL!$C$15, $D$11, 100%, $F$11)</f>
        <v>7.8395999999999999</v>
      </c>
      <c r="J207" s="4">
        <f>7.6867 * CHOOSE(CONTROL!$C$15, $D$11, 100%, $F$11)</f>
        <v>7.6867000000000001</v>
      </c>
      <c r="K207" s="4"/>
      <c r="L207" s="9">
        <v>28.360600000000002</v>
      </c>
      <c r="M207" s="9">
        <v>11.6745</v>
      </c>
      <c r="N207" s="9">
        <v>4.7850000000000001</v>
      </c>
      <c r="O207" s="9">
        <v>0.36199999999999999</v>
      </c>
      <c r="P207" s="9">
        <v>1.2509999999999999</v>
      </c>
      <c r="Q207" s="9">
        <v>30.322800000000001</v>
      </c>
      <c r="R207" s="9"/>
      <c r="S207" s="11"/>
    </row>
    <row r="208" spans="1:19" ht="15.75">
      <c r="A208" s="13">
        <v>47818</v>
      </c>
      <c r="B208" s="8">
        <f>8.0066 * CHOOSE(CONTROL!$C$15, $D$11, 100%, $F$11)</f>
        <v>8.0066000000000006</v>
      </c>
      <c r="C208" s="8">
        <f>8.0174 * CHOOSE(CONTROL!$C$15, $D$11, 100%, $F$11)</f>
        <v>8.0174000000000003</v>
      </c>
      <c r="D208" s="8">
        <f>8.0018 * CHOOSE( CONTROL!$C$15, $D$11, 100%, $F$11)</f>
        <v>8.0017999999999994</v>
      </c>
      <c r="E208" s="12">
        <f>8.0064 * CHOOSE( CONTROL!$C$15, $D$11, 100%, $F$11)</f>
        <v>8.0063999999999993</v>
      </c>
      <c r="F208" s="4">
        <f>8.6651 * CHOOSE(CONTROL!$C$15, $D$11, 100%, $F$11)</f>
        <v>8.6651000000000007</v>
      </c>
      <c r="G208" s="8">
        <f>7.828 * CHOOSE( CONTROL!$C$15, $D$11, 100%, $F$11)</f>
        <v>7.8280000000000003</v>
      </c>
      <c r="H208" s="4">
        <f>8.706 * CHOOSE(CONTROL!$C$15, $D$11, 100%, $F$11)</f>
        <v>8.7059999999999995</v>
      </c>
      <c r="I208" s="8">
        <f>7.8308 * CHOOSE(CONTROL!$C$15, $D$11, 100%, $F$11)</f>
        <v>7.8308</v>
      </c>
      <c r="J208" s="4">
        <f>7.6727 * CHOOSE(CONTROL!$C$15, $D$11, 100%, $F$11)</f>
        <v>7.6726999999999999</v>
      </c>
      <c r="K208" s="4"/>
      <c r="L208" s="9">
        <v>29.306000000000001</v>
      </c>
      <c r="M208" s="9">
        <v>12.063700000000001</v>
      </c>
      <c r="N208" s="9">
        <v>4.9444999999999997</v>
      </c>
      <c r="O208" s="9">
        <v>0.37409999999999999</v>
      </c>
      <c r="P208" s="9">
        <v>1.2927</v>
      </c>
      <c r="Q208" s="9">
        <v>31.333600000000001</v>
      </c>
      <c r="R208" s="9"/>
      <c r="S208" s="11"/>
    </row>
    <row r="209" spans="1:19" ht="15.75">
      <c r="A209" s="13">
        <v>47849</v>
      </c>
      <c r="B209" s="8">
        <f>8.2896 * CHOOSE(CONTROL!$C$15, $D$11, 100%, $F$11)</f>
        <v>8.2896000000000001</v>
      </c>
      <c r="C209" s="8">
        <f>8.3003 * CHOOSE(CONTROL!$C$15, $D$11, 100%, $F$11)</f>
        <v>8.3003</v>
      </c>
      <c r="D209" s="8">
        <f>8.2817 * CHOOSE( CONTROL!$C$15, $D$11, 100%, $F$11)</f>
        <v>8.2817000000000007</v>
      </c>
      <c r="E209" s="12">
        <f>8.2874 * CHOOSE( CONTROL!$C$15, $D$11, 100%, $F$11)</f>
        <v>8.2873999999999999</v>
      </c>
      <c r="F209" s="4">
        <f>8.9481 * CHOOSE(CONTROL!$C$15, $D$11, 100%, $F$11)</f>
        <v>8.9481000000000002</v>
      </c>
      <c r="G209" s="8">
        <f>8.0971 * CHOOSE( CONTROL!$C$15, $D$11, 100%, $F$11)</f>
        <v>8.0970999999999993</v>
      </c>
      <c r="H209" s="4">
        <f>8.9827 * CHOOSE(CONTROL!$C$15, $D$11, 100%, $F$11)</f>
        <v>8.9826999999999995</v>
      </c>
      <c r="I209" s="8">
        <f>8.0674 * CHOOSE(CONTROL!$C$15, $D$11, 100%, $F$11)</f>
        <v>8.0673999999999992</v>
      </c>
      <c r="J209" s="4">
        <f>7.9444 * CHOOSE(CONTROL!$C$15, $D$11, 100%, $F$11)</f>
        <v>7.9443999999999999</v>
      </c>
      <c r="K209" s="4"/>
      <c r="L209" s="9">
        <v>29.306000000000001</v>
      </c>
      <c r="M209" s="9">
        <v>12.063700000000001</v>
      </c>
      <c r="N209" s="9">
        <v>4.9444999999999997</v>
      </c>
      <c r="O209" s="9">
        <v>0.37409999999999999</v>
      </c>
      <c r="P209" s="9">
        <v>1.2927</v>
      </c>
      <c r="Q209" s="9">
        <v>31.026700000000002</v>
      </c>
      <c r="R209" s="9"/>
      <c r="S209" s="11"/>
    </row>
    <row r="210" spans="1:19" ht="15.75">
      <c r="A210" s="13">
        <v>47880</v>
      </c>
      <c r="B210" s="8">
        <f>7.7546 * CHOOSE(CONTROL!$C$15, $D$11, 100%, $F$11)</f>
        <v>7.7545999999999999</v>
      </c>
      <c r="C210" s="8">
        <f>7.7654 * CHOOSE(CONTROL!$C$15, $D$11, 100%, $F$11)</f>
        <v>7.7653999999999996</v>
      </c>
      <c r="D210" s="8">
        <f>7.7467 * CHOOSE( CONTROL!$C$15, $D$11, 100%, $F$11)</f>
        <v>7.7466999999999997</v>
      </c>
      <c r="E210" s="12">
        <f>7.7524 * CHOOSE( CONTROL!$C$15, $D$11, 100%, $F$11)</f>
        <v>7.7523999999999997</v>
      </c>
      <c r="F210" s="4">
        <f>8.4131 * CHOOSE(CONTROL!$C$15, $D$11, 100%, $F$11)</f>
        <v>8.4131</v>
      </c>
      <c r="G210" s="8">
        <f>7.574 * CHOOSE( CONTROL!$C$15, $D$11, 100%, $F$11)</f>
        <v>7.5739999999999998</v>
      </c>
      <c r="H210" s="4">
        <f>8.4596 * CHOOSE(CONTROL!$C$15, $D$11, 100%, $F$11)</f>
        <v>8.4596</v>
      </c>
      <c r="I210" s="8">
        <f>7.5533 * CHOOSE(CONTROL!$C$15, $D$11, 100%, $F$11)</f>
        <v>7.5533000000000001</v>
      </c>
      <c r="J210" s="4">
        <f>7.4308 * CHOOSE(CONTROL!$C$15, $D$11, 100%, $F$11)</f>
        <v>7.4307999999999996</v>
      </c>
      <c r="K210" s="4"/>
      <c r="L210" s="9">
        <v>26.469899999999999</v>
      </c>
      <c r="M210" s="9">
        <v>10.8962</v>
      </c>
      <c r="N210" s="9">
        <v>4.4660000000000002</v>
      </c>
      <c r="O210" s="9">
        <v>0.33789999999999998</v>
      </c>
      <c r="P210" s="9">
        <v>1.1676</v>
      </c>
      <c r="Q210" s="9">
        <v>28.024100000000001</v>
      </c>
      <c r="R210" s="9"/>
      <c r="S210" s="11"/>
    </row>
    <row r="211" spans="1:19" ht="15.75">
      <c r="A211" s="13">
        <v>47908</v>
      </c>
      <c r="B211" s="8">
        <f>7.5899 * CHOOSE(CONTROL!$C$15, $D$11, 100%, $F$11)</f>
        <v>7.5899000000000001</v>
      </c>
      <c r="C211" s="8">
        <f>7.6006 * CHOOSE(CONTROL!$C$15, $D$11, 100%, $F$11)</f>
        <v>7.6006</v>
      </c>
      <c r="D211" s="8">
        <f>7.5814 * CHOOSE( CONTROL!$C$15, $D$11, 100%, $F$11)</f>
        <v>7.5814000000000004</v>
      </c>
      <c r="E211" s="12">
        <f>7.5873 * CHOOSE( CONTROL!$C$15, $D$11, 100%, $F$11)</f>
        <v>7.5872999999999999</v>
      </c>
      <c r="F211" s="4">
        <f>8.2484 * CHOOSE(CONTROL!$C$15, $D$11, 100%, $F$11)</f>
        <v>8.2484000000000002</v>
      </c>
      <c r="G211" s="8">
        <f>7.4126 * CHOOSE( CONTROL!$C$15, $D$11, 100%, $F$11)</f>
        <v>7.4126000000000003</v>
      </c>
      <c r="H211" s="4">
        <f>8.2986 * CHOOSE(CONTROL!$C$15, $D$11, 100%, $F$11)</f>
        <v>8.2986000000000004</v>
      </c>
      <c r="I211" s="8">
        <f>7.3935 * CHOOSE(CONTROL!$C$15, $D$11, 100%, $F$11)</f>
        <v>7.3935000000000004</v>
      </c>
      <c r="J211" s="4">
        <f>7.2726 * CHOOSE(CONTROL!$C$15, $D$11, 100%, $F$11)</f>
        <v>7.2725999999999997</v>
      </c>
      <c r="K211" s="4"/>
      <c r="L211" s="9">
        <v>29.306000000000001</v>
      </c>
      <c r="M211" s="9">
        <v>12.063700000000001</v>
      </c>
      <c r="N211" s="9">
        <v>4.9444999999999997</v>
      </c>
      <c r="O211" s="9">
        <v>0.37409999999999999</v>
      </c>
      <c r="P211" s="9">
        <v>1.2927</v>
      </c>
      <c r="Q211" s="9">
        <v>31.026700000000002</v>
      </c>
      <c r="R211" s="9"/>
      <c r="S211" s="11"/>
    </row>
    <row r="212" spans="1:19" ht="15.75">
      <c r="A212" s="13">
        <v>47939</v>
      </c>
      <c r="B212" s="8">
        <f>7.705 * CHOOSE(CONTROL!$C$15, $D$11, 100%, $F$11)</f>
        <v>7.7050000000000001</v>
      </c>
      <c r="C212" s="8">
        <f>7.7158 * CHOOSE(CONTROL!$C$15, $D$11, 100%, $F$11)</f>
        <v>7.7157999999999998</v>
      </c>
      <c r="D212" s="8">
        <f>7.7527 * CHOOSE( CONTROL!$C$15, $D$11, 100%, $F$11)</f>
        <v>7.7526999999999999</v>
      </c>
      <c r="E212" s="12">
        <f>7.7393 * CHOOSE( CONTROL!$C$15, $D$11, 100%, $F$11)</f>
        <v>7.7393000000000001</v>
      </c>
      <c r="F212" s="4">
        <f>8.4442 * CHOOSE(CONTROL!$C$15, $D$11, 100%, $F$11)</f>
        <v>8.4442000000000004</v>
      </c>
      <c r="G212" s="8">
        <f>7.5243 * CHOOSE( CONTROL!$C$15, $D$11, 100%, $F$11)</f>
        <v>7.5243000000000002</v>
      </c>
      <c r="H212" s="4">
        <f>8.49 * CHOOSE(CONTROL!$C$15, $D$11, 100%, $F$11)</f>
        <v>8.49</v>
      </c>
      <c r="I212" s="8">
        <f>7.496 * CHOOSE(CONTROL!$C$15, $D$11, 100%, $F$11)</f>
        <v>7.4960000000000004</v>
      </c>
      <c r="J212" s="4">
        <f>7.3831 * CHOOSE(CONTROL!$C$15, $D$11, 100%, $F$11)</f>
        <v>7.3830999999999998</v>
      </c>
      <c r="K212" s="4"/>
      <c r="L212" s="9">
        <v>30.092199999999998</v>
      </c>
      <c r="M212" s="9">
        <v>11.6745</v>
      </c>
      <c r="N212" s="9">
        <v>4.7850000000000001</v>
      </c>
      <c r="O212" s="9">
        <v>0.36199999999999999</v>
      </c>
      <c r="P212" s="9">
        <v>1.1791</v>
      </c>
      <c r="Q212" s="9">
        <v>30.0258</v>
      </c>
      <c r="R212" s="9"/>
      <c r="S212" s="11"/>
    </row>
    <row r="213" spans="1:19" ht="15.75">
      <c r="A213" s="13">
        <v>47969</v>
      </c>
      <c r="B213" s="8">
        <f>CHOOSE( CONTROL!$C$32, 7.9122, 7.9098) * CHOOSE(CONTROL!$C$15, $D$11, 100%, $F$11)</f>
        <v>7.9122000000000003</v>
      </c>
      <c r="C213" s="8">
        <f>CHOOSE( CONTROL!$C$32, 7.9227, 7.9203) * CHOOSE(CONTROL!$C$15, $D$11, 100%, $F$11)</f>
        <v>7.9226999999999999</v>
      </c>
      <c r="D213" s="8">
        <f>CHOOSE( CONTROL!$C$32, 7.9586, 7.9562) * CHOOSE( CONTROL!$C$15, $D$11, 100%, $F$11)</f>
        <v>7.9585999999999997</v>
      </c>
      <c r="E213" s="12">
        <f>CHOOSE( CONTROL!$C$32, 7.944, 7.9416) * CHOOSE( CONTROL!$C$15, $D$11, 100%, $F$11)</f>
        <v>7.944</v>
      </c>
      <c r="F213" s="4">
        <f>CHOOSE( CONTROL!$C$32, 8.6515, 8.6491) * CHOOSE(CONTROL!$C$15, $D$11, 100%, $F$11)</f>
        <v>8.6515000000000004</v>
      </c>
      <c r="G213" s="8">
        <f>CHOOSE( CONTROL!$C$32, 7.7275, 7.7252) * CHOOSE( CONTROL!$C$15, $D$11, 100%, $F$11)</f>
        <v>7.7275</v>
      </c>
      <c r="H213" s="4">
        <f>CHOOSE( CONTROL!$C$32, 8.6927, 8.6904) * CHOOSE(CONTROL!$C$15, $D$11, 100%, $F$11)</f>
        <v>8.6927000000000003</v>
      </c>
      <c r="I213" s="8">
        <f>CHOOSE( CONTROL!$C$32, 7.6952, 7.6929) * CHOOSE(CONTROL!$C$15, $D$11, 100%, $F$11)</f>
        <v>7.6951999999999998</v>
      </c>
      <c r="J213" s="4">
        <f>CHOOSE( CONTROL!$C$32, 7.5821, 7.5798) * CHOOSE(CONTROL!$C$15, $D$11, 100%, $F$11)</f>
        <v>7.5820999999999996</v>
      </c>
      <c r="K213" s="4"/>
      <c r="L213" s="9">
        <v>30.7165</v>
      </c>
      <c r="M213" s="9">
        <v>12.063700000000001</v>
      </c>
      <c r="N213" s="9">
        <v>4.9444999999999997</v>
      </c>
      <c r="O213" s="9">
        <v>0.37409999999999999</v>
      </c>
      <c r="P213" s="9">
        <v>1.2183999999999999</v>
      </c>
      <c r="Q213" s="9">
        <v>31.026700000000002</v>
      </c>
      <c r="R213" s="9"/>
      <c r="S213" s="11"/>
    </row>
    <row r="214" spans="1:19" ht="15.75">
      <c r="A214" s="13">
        <v>48000</v>
      </c>
      <c r="B214" s="8">
        <f>CHOOSE( CONTROL!$C$32, 7.7852, 7.7828) * CHOOSE(CONTROL!$C$15, $D$11, 100%, $F$11)</f>
        <v>7.7851999999999997</v>
      </c>
      <c r="C214" s="8">
        <f>CHOOSE( CONTROL!$C$32, 7.7958, 7.7934) * CHOOSE(CONTROL!$C$15, $D$11, 100%, $F$11)</f>
        <v>7.7957999999999998</v>
      </c>
      <c r="D214" s="8">
        <f>CHOOSE( CONTROL!$C$32, 7.8318, 7.8294) * CHOOSE( CONTROL!$C$15, $D$11, 100%, $F$11)</f>
        <v>7.8318000000000003</v>
      </c>
      <c r="E214" s="12">
        <f>CHOOSE( CONTROL!$C$32, 7.8171, 7.8147) * CHOOSE( CONTROL!$C$15, $D$11, 100%, $F$11)</f>
        <v>7.8170999999999999</v>
      </c>
      <c r="F214" s="4">
        <f>CHOOSE( CONTROL!$C$32, 8.5246, 8.5222) * CHOOSE(CONTROL!$C$15, $D$11, 100%, $F$11)</f>
        <v>8.5245999999999995</v>
      </c>
      <c r="G214" s="8">
        <f>CHOOSE( CONTROL!$C$32, 7.6037, 7.6014) * CHOOSE( CONTROL!$C$15, $D$11, 100%, $F$11)</f>
        <v>7.6036999999999999</v>
      </c>
      <c r="H214" s="4">
        <f>CHOOSE( CONTROL!$C$32, 8.5686, 8.5663) * CHOOSE(CONTROL!$C$15, $D$11, 100%, $F$11)</f>
        <v>8.5686</v>
      </c>
      <c r="I214" s="8">
        <f>CHOOSE( CONTROL!$C$32, 7.5742, 7.5719) * CHOOSE(CONTROL!$C$15, $D$11, 100%, $F$11)</f>
        <v>7.5742000000000003</v>
      </c>
      <c r="J214" s="4">
        <f>CHOOSE( CONTROL!$C$32, 7.4603, 7.458) * CHOOSE(CONTROL!$C$15, $D$11, 100%, $F$11)</f>
        <v>7.4603000000000002</v>
      </c>
      <c r="K214" s="4"/>
      <c r="L214" s="9">
        <v>29.7257</v>
      </c>
      <c r="M214" s="9">
        <v>11.6745</v>
      </c>
      <c r="N214" s="9">
        <v>4.7850000000000001</v>
      </c>
      <c r="O214" s="9">
        <v>0.36199999999999999</v>
      </c>
      <c r="P214" s="9">
        <v>1.1791</v>
      </c>
      <c r="Q214" s="9">
        <v>30.0258</v>
      </c>
      <c r="R214" s="9"/>
      <c r="S214" s="11"/>
    </row>
    <row r="215" spans="1:19" ht="15.75">
      <c r="A215" s="13">
        <v>48030</v>
      </c>
      <c r="B215" s="8">
        <f>CHOOSE( CONTROL!$C$32, 8.1195, 8.1171) * CHOOSE(CONTROL!$C$15, $D$11, 100%, $F$11)</f>
        <v>8.1195000000000004</v>
      </c>
      <c r="C215" s="8">
        <f>CHOOSE( CONTROL!$C$32, 8.1301, 8.1277) * CHOOSE(CONTROL!$C$15, $D$11, 100%, $F$11)</f>
        <v>8.1301000000000005</v>
      </c>
      <c r="D215" s="8">
        <f>CHOOSE( CONTROL!$C$32, 8.1663, 8.1639) * CHOOSE( CONTROL!$C$15, $D$11, 100%, $F$11)</f>
        <v>8.1662999999999997</v>
      </c>
      <c r="E215" s="12">
        <f>CHOOSE( CONTROL!$C$32, 8.1516, 8.1492) * CHOOSE( CONTROL!$C$15, $D$11, 100%, $F$11)</f>
        <v>8.1516000000000002</v>
      </c>
      <c r="F215" s="4">
        <f>CHOOSE( CONTROL!$C$32, 8.8589, 8.8565) * CHOOSE(CONTROL!$C$15, $D$11, 100%, $F$11)</f>
        <v>8.8589000000000002</v>
      </c>
      <c r="G215" s="8">
        <f>CHOOSE( CONTROL!$C$32, 7.9309, 7.9285) * CHOOSE( CONTROL!$C$15, $D$11, 100%, $F$11)</f>
        <v>7.9309000000000003</v>
      </c>
      <c r="H215" s="4">
        <f>CHOOSE( CONTROL!$C$32, 8.8954, 8.8931) * CHOOSE(CONTROL!$C$15, $D$11, 100%, $F$11)</f>
        <v>8.8954000000000004</v>
      </c>
      <c r="I215" s="8">
        <f>CHOOSE( CONTROL!$C$32, 7.8963, 7.894) * CHOOSE(CONTROL!$C$15, $D$11, 100%, $F$11)</f>
        <v>7.8963000000000001</v>
      </c>
      <c r="J215" s="4">
        <f>CHOOSE( CONTROL!$C$32, 7.7812, 7.7789) * CHOOSE(CONTROL!$C$15, $D$11, 100%, $F$11)</f>
        <v>7.7812000000000001</v>
      </c>
      <c r="K215" s="4"/>
      <c r="L215" s="9">
        <v>30.7165</v>
      </c>
      <c r="M215" s="9">
        <v>12.063700000000001</v>
      </c>
      <c r="N215" s="9">
        <v>4.9444999999999997</v>
      </c>
      <c r="O215" s="9">
        <v>0.37409999999999999</v>
      </c>
      <c r="P215" s="9">
        <v>1.2183999999999999</v>
      </c>
      <c r="Q215" s="9">
        <v>31.026700000000002</v>
      </c>
      <c r="R215" s="9"/>
      <c r="S215" s="11"/>
    </row>
    <row r="216" spans="1:19" ht="15.75">
      <c r="A216" s="13">
        <v>48061</v>
      </c>
      <c r="B216" s="8">
        <f>CHOOSE( CONTROL!$C$32, 7.4941, 7.4917) * CHOOSE(CONTROL!$C$15, $D$11, 100%, $F$11)</f>
        <v>7.4941000000000004</v>
      </c>
      <c r="C216" s="8">
        <f>CHOOSE( CONTROL!$C$32, 7.5046, 7.5022) * CHOOSE(CONTROL!$C$15, $D$11, 100%, $F$11)</f>
        <v>7.5045999999999999</v>
      </c>
      <c r="D216" s="8">
        <f>CHOOSE( CONTROL!$C$32, 7.5409, 7.5385) * CHOOSE( CONTROL!$C$15, $D$11, 100%, $F$11)</f>
        <v>7.5408999999999997</v>
      </c>
      <c r="E216" s="12">
        <f>CHOOSE( CONTROL!$C$32, 7.5261, 7.5237) * CHOOSE( CONTROL!$C$15, $D$11, 100%, $F$11)</f>
        <v>7.5260999999999996</v>
      </c>
      <c r="F216" s="4">
        <f>CHOOSE( CONTROL!$C$32, 8.2334, 8.231) * CHOOSE(CONTROL!$C$15, $D$11, 100%, $F$11)</f>
        <v>8.2333999999999996</v>
      </c>
      <c r="G216" s="8">
        <f>CHOOSE( CONTROL!$C$32, 7.3194, 7.3171) * CHOOSE( CONTROL!$C$15, $D$11, 100%, $F$11)</f>
        <v>7.3193999999999999</v>
      </c>
      <c r="H216" s="4">
        <f>CHOOSE( CONTROL!$C$32, 8.2839, 8.2816) * CHOOSE(CONTROL!$C$15, $D$11, 100%, $F$11)</f>
        <v>8.2838999999999992</v>
      </c>
      <c r="I216" s="8">
        <f>CHOOSE( CONTROL!$C$32, 7.2957, 7.2934) * CHOOSE(CONTROL!$C$15, $D$11, 100%, $F$11)</f>
        <v>7.2957000000000001</v>
      </c>
      <c r="J216" s="4">
        <f>CHOOSE( CONTROL!$C$32, 7.1807, 7.1784) * CHOOSE(CONTROL!$C$15, $D$11, 100%, $F$11)</f>
        <v>7.1806999999999999</v>
      </c>
      <c r="K216" s="4"/>
      <c r="L216" s="9">
        <v>30.7165</v>
      </c>
      <c r="M216" s="9">
        <v>12.063700000000001</v>
      </c>
      <c r="N216" s="9">
        <v>4.9444999999999997</v>
      </c>
      <c r="O216" s="9">
        <v>0.37409999999999999</v>
      </c>
      <c r="P216" s="9">
        <v>1.2183999999999999</v>
      </c>
      <c r="Q216" s="9">
        <v>31.026700000000002</v>
      </c>
      <c r="R216" s="9"/>
      <c r="S216" s="11"/>
    </row>
    <row r="217" spans="1:19" ht="15.75">
      <c r="A217" s="13">
        <v>48092</v>
      </c>
      <c r="B217" s="8">
        <f>CHOOSE( CONTROL!$C$32, 7.3374, 7.3351) * CHOOSE(CONTROL!$C$15, $D$11, 100%, $F$11)</f>
        <v>7.3373999999999997</v>
      </c>
      <c r="C217" s="8">
        <f>CHOOSE( CONTROL!$C$32, 7.348, 7.3456) * CHOOSE(CONTROL!$C$15, $D$11, 100%, $F$11)</f>
        <v>7.3479999999999999</v>
      </c>
      <c r="D217" s="8">
        <f>CHOOSE( CONTROL!$C$32, 7.3843, 7.3819) * CHOOSE( CONTROL!$C$15, $D$11, 100%, $F$11)</f>
        <v>7.3842999999999996</v>
      </c>
      <c r="E217" s="12">
        <f>CHOOSE( CONTROL!$C$32, 7.3695, 7.3671) * CHOOSE( CONTROL!$C$15, $D$11, 100%, $F$11)</f>
        <v>7.3695000000000004</v>
      </c>
      <c r="F217" s="4">
        <f>CHOOSE( CONTROL!$C$32, 8.0768, 8.0744) * CHOOSE(CONTROL!$C$15, $D$11, 100%, $F$11)</f>
        <v>8.0768000000000004</v>
      </c>
      <c r="G217" s="8">
        <f>CHOOSE( CONTROL!$C$32, 7.1662, 7.1639) * CHOOSE( CONTROL!$C$15, $D$11, 100%, $F$11)</f>
        <v>7.1661999999999999</v>
      </c>
      <c r="H217" s="4">
        <f>CHOOSE( CONTROL!$C$32, 8.1308, 8.1285) * CHOOSE(CONTROL!$C$15, $D$11, 100%, $F$11)</f>
        <v>8.1308000000000007</v>
      </c>
      <c r="I217" s="8">
        <f>CHOOSE( CONTROL!$C$32, 7.145, 7.1427) * CHOOSE(CONTROL!$C$15, $D$11, 100%, $F$11)</f>
        <v>7.1449999999999996</v>
      </c>
      <c r="J217" s="4">
        <f>CHOOSE( CONTROL!$C$32, 7.0304, 7.0281) * CHOOSE(CONTROL!$C$15, $D$11, 100%, $F$11)</f>
        <v>7.0304000000000002</v>
      </c>
      <c r="K217" s="4"/>
      <c r="L217" s="9">
        <v>29.7257</v>
      </c>
      <c r="M217" s="9">
        <v>11.6745</v>
      </c>
      <c r="N217" s="9">
        <v>4.7850000000000001</v>
      </c>
      <c r="O217" s="9">
        <v>0.36199999999999999</v>
      </c>
      <c r="P217" s="9">
        <v>1.1791</v>
      </c>
      <c r="Q217" s="9">
        <v>30.0258</v>
      </c>
      <c r="R217" s="9"/>
      <c r="S217" s="11"/>
    </row>
    <row r="218" spans="1:19" ht="15.75">
      <c r="A218" s="13">
        <v>48122</v>
      </c>
      <c r="B218" s="8">
        <f>7.6604 * CHOOSE(CONTROL!$C$15, $D$11, 100%, $F$11)</f>
        <v>7.6604000000000001</v>
      </c>
      <c r="C218" s="8">
        <f>7.6711 * CHOOSE(CONTROL!$C$15, $D$11, 100%, $F$11)</f>
        <v>7.6711</v>
      </c>
      <c r="D218" s="8">
        <f>7.7087 * CHOOSE( CONTROL!$C$15, $D$11, 100%, $F$11)</f>
        <v>7.7087000000000003</v>
      </c>
      <c r="E218" s="12">
        <f>7.6951 * CHOOSE( CONTROL!$C$15, $D$11, 100%, $F$11)</f>
        <v>7.6951000000000001</v>
      </c>
      <c r="F218" s="4">
        <f>8.3996 * CHOOSE(CONTROL!$C$15, $D$11, 100%, $F$11)</f>
        <v>8.3995999999999995</v>
      </c>
      <c r="G218" s="8">
        <f>7.4816 * CHOOSE( CONTROL!$C$15, $D$11, 100%, $F$11)</f>
        <v>7.4816000000000003</v>
      </c>
      <c r="H218" s="4">
        <f>8.4464 * CHOOSE(CONTROL!$C$15, $D$11, 100%, $F$11)</f>
        <v>8.4464000000000006</v>
      </c>
      <c r="I218" s="8">
        <f>7.4558 * CHOOSE(CONTROL!$C$15, $D$11, 100%, $F$11)</f>
        <v>7.4558</v>
      </c>
      <c r="J218" s="4">
        <f>7.3403 * CHOOSE(CONTROL!$C$15, $D$11, 100%, $F$11)</f>
        <v>7.3403</v>
      </c>
      <c r="K218" s="4"/>
      <c r="L218" s="9">
        <v>31.095300000000002</v>
      </c>
      <c r="M218" s="9">
        <v>12.063700000000001</v>
      </c>
      <c r="N218" s="9">
        <v>4.9444999999999997</v>
      </c>
      <c r="O218" s="9">
        <v>0.37409999999999999</v>
      </c>
      <c r="P218" s="9">
        <v>1.2183999999999999</v>
      </c>
      <c r="Q218" s="9">
        <v>31.026700000000002</v>
      </c>
      <c r="R218" s="9"/>
      <c r="S218" s="11"/>
    </row>
    <row r="219" spans="1:19" ht="15.75">
      <c r="A219" s="13">
        <v>48153</v>
      </c>
      <c r="B219" s="8">
        <f>8.2606 * CHOOSE(CONTROL!$C$15, $D$11, 100%, $F$11)</f>
        <v>8.2606000000000002</v>
      </c>
      <c r="C219" s="8">
        <f>8.2714 * CHOOSE(CONTROL!$C$15, $D$11, 100%, $F$11)</f>
        <v>8.2713999999999999</v>
      </c>
      <c r="D219" s="8">
        <f>8.2541 * CHOOSE( CONTROL!$C$15, $D$11, 100%, $F$11)</f>
        <v>8.2540999999999993</v>
      </c>
      <c r="E219" s="12">
        <f>8.2593 * CHOOSE( CONTROL!$C$15, $D$11, 100%, $F$11)</f>
        <v>8.2592999999999996</v>
      </c>
      <c r="F219" s="4">
        <f>8.9191 * CHOOSE(CONTROL!$C$15, $D$11, 100%, $F$11)</f>
        <v>8.9191000000000003</v>
      </c>
      <c r="G219" s="8">
        <f>8.0751 * CHOOSE( CONTROL!$C$15, $D$11, 100%, $F$11)</f>
        <v>8.0751000000000008</v>
      </c>
      <c r="H219" s="4">
        <f>8.9543 * CHOOSE(CONTROL!$C$15, $D$11, 100%, $F$11)</f>
        <v>8.9542999999999999</v>
      </c>
      <c r="I219" s="8">
        <f>8.0695 * CHOOSE(CONTROL!$C$15, $D$11, 100%, $F$11)</f>
        <v>8.0694999999999997</v>
      </c>
      <c r="J219" s="4">
        <f>7.9165 * CHOOSE(CONTROL!$C$15, $D$11, 100%, $F$11)</f>
        <v>7.9165000000000001</v>
      </c>
      <c r="K219" s="4"/>
      <c r="L219" s="9">
        <v>28.360600000000002</v>
      </c>
      <c r="M219" s="9">
        <v>11.6745</v>
      </c>
      <c r="N219" s="9">
        <v>4.7850000000000001</v>
      </c>
      <c r="O219" s="9">
        <v>0.36199999999999999</v>
      </c>
      <c r="P219" s="9">
        <v>1.2509999999999999</v>
      </c>
      <c r="Q219" s="9">
        <v>30.0258</v>
      </c>
      <c r="R219" s="9"/>
      <c r="S219" s="11"/>
    </row>
    <row r="220" spans="1:19" ht="15.75">
      <c r="A220" s="13">
        <v>48183</v>
      </c>
      <c r="B220" s="8">
        <f>8.2456 * CHOOSE(CONTROL!$C$15, $D$11, 100%, $F$11)</f>
        <v>8.2455999999999996</v>
      </c>
      <c r="C220" s="8">
        <f>8.2564 * CHOOSE(CONTROL!$C$15, $D$11, 100%, $F$11)</f>
        <v>8.2563999999999993</v>
      </c>
      <c r="D220" s="8">
        <f>8.2408 * CHOOSE( CONTROL!$C$15, $D$11, 100%, $F$11)</f>
        <v>8.2408000000000001</v>
      </c>
      <c r="E220" s="12">
        <f>8.2454 * CHOOSE( CONTROL!$C$15, $D$11, 100%, $F$11)</f>
        <v>8.2454000000000001</v>
      </c>
      <c r="F220" s="4">
        <f>8.9041 * CHOOSE(CONTROL!$C$15, $D$11, 100%, $F$11)</f>
        <v>8.9040999999999997</v>
      </c>
      <c r="G220" s="8">
        <f>8.0616 * CHOOSE( CONTROL!$C$15, $D$11, 100%, $F$11)</f>
        <v>8.0616000000000003</v>
      </c>
      <c r="H220" s="4">
        <f>8.9397 * CHOOSE(CONTROL!$C$15, $D$11, 100%, $F$11)</f>
        <v>8.9397000000000002</v>
      </c>
      <c r="I220" s="8">
        <f>8.0603 * CHOOSE(CONTROL!$C$15, $D$11, 100%, $F$11)</f>
        <v>8.0602999999999998</v>
      </c>
      <c r="J220" s="4">
        <f>7.9021 * CHOOSE(CONTROL!$C$15, $D$11, 100%, $F$11)</f>
        <v>7.9020999999999999</v>
      </c>
      <c r="K220" s="4"/>
      <c r="L220" s="9">
        <v>29.306000000000001</v>
      </c>
      <c r="M220" s="9">
        <v>12.063700000000001</v>
      </c>
      <c r="N220" s="9">
        <v>4.9444999999999997</v>
      </c>
      <c r="O220" s="9">
        <v>0.37409999999999999</v>
      </c>
      <c r="P220" s="9">
        <v>1.2927</v>
      </c>
      <c r="Q220" s="9">
        <v>31.026700000000002</v>
      </c>
      <c r="R220" s="9"/>
      <c r="S220" s="11"/>
    </row>
    <row r="221" spans="1:19" ht="15.75">
      <c r="A221" s="13">
        <v>48214</v>
      </c>
      <c r="B221" s="8">
        <f>8.5362 * CHOOSE(CONTROL!$C$15, $D$11, 100%, $F$11)</f>
        <v>8.5361999999999991</v>
      </c>
      <c r="C221" s="8">
        <f>8.547 * CHOOSE(CONTROL!$C$15, $D$11, 100%, $F$11)</f>
        <v>8.5470000000000006</v>
      </c>
      <c r="D221" s="8">
        <f>8.5284 * CHOOSE( CONTROL!$C$15, $D$11, 100%, $F$11)</f>
        <v>8.5283999999999995</v>
      </c>
      <c r="E221" s="12">
        <f>8.5341 * CHOOSE( CONTROL!$C$15, $D$11, 100%, $F$11)</f>
        <v>8.5341000000000005</v>
      </c>
      <c r="F221" s="4">
        <f>9.1947 * CHOOSE(CONTROL!$C$15, $D$11, 100%, $F$11)</f>
        <v>9.1946999999999992</v>
      </c>
      <c r="G221" s="8">
        <f>8.3382 * CHOOSE( CONTROL!$C$15, $D$11, 100%, $F$11)</f>
        <v>8.3382000000000005</v>
      </c>
      <c r="H221" s="4">
        <f>9.2238 * CHOOSE(CONTROL!$C$15, $D$11, 100%, $F$11)</f>
        <v>9.2238000000000007</v>
      </c>
      <c r="I221" s="8">
        <f>8.3043 * CHOOSE(CONTROL!$C$15, $D$11, 100%, $F$11)</f>
        <v>8.3042999999999996</v>
      </c>
      <c r="J221" s="4">
        <f>8.1812 * CHOOSE(CONTROL!$C$15, $D$11, 100%, $F$11)</f>
        <v>8.1812000000000005</v>
      </c>
      <c r="K221" s="4"/>
      <c r="L221" s="9">
        <v>29.306000000000001</v>
      </c>
      <c r="M221" s="9">
        <v>12.063700000000001</v>
      </c>
      <c r="N221" s="9">
        <v>4.9444999999999997</v>
      </c>
      <c r="O221" s="9">
        <v>0.37409999999999999</v>
      </c>
      <c r="P221" s="9">
        <v>1.2927</v>
      </c>
      <c r="Q221" s="9">
        <v>30.8704</v>
      </c>
      <c r="R221" s="9"/>
      <c r="S221" s="11"/>
    </row>
    <row r="222" spans="1:19" ht="15.75">
      <c r="A222" s="13">
        <v>48245</v>
      </c>
      <c r="B222" s="8">
        <f>7.9853 * CHOOSE(CONTROL!$C$15, $D$11, 100%, $F$11)</f>
        <v>7.9852999999999996</v>
      </c>
      <c r="C222" s="8">
        <f>7.9961 * CHOOSE(CONTROL!$C$15, $D$11, 100%, $F$11)</f>
        <v>7.9961000000000002</v>
      </c>
      <c r="D222" s="8">
        <f>7.9774 * CHOOSE( CONTROL!$C$15, $D$11, 100%, $F$11)</f>
        <v>7.9774000000000003</v>
      </c>
      <c r="E222" s="12">
        <f>7.9831 * CHOOSE( CONTROL!$C$15, $D$11, 100%, $F$11)</f>
        <v>7.9831000000000003</v>
      </c>
      <c r="F222" s="4">
        <f>8.6438 * CHOOSE(CONTROL!$C$15, $D$11, 100%, $F$11)</f>
        <v>8.6438000000000006</v>
      </c>
      <c r="G222" s="8">
        <f>7.7996 * CHOOSE( CONTROL!$C$15, $D$11, 100%, $F$11)</f>
        <v>7.7995999999999999</v>
      </c>
      <c r="H222" s="4">
        <f>8.6852 * CHOOSE(CONTROL!$C$15, $D$11, 100%, $F$11)</f>
        <v>8.6852</v>
      </c>
      <c r="I222" s="8">
        <f>7.7749 * CHOOSE(CONTROL!$C$15, $D$11, 100%, $F$11)</f>
        <v>7.7748999999999997</v>
      </c>
      <c r="J222" s="4">
        <f>7.6523 * CHOOSE(CONTROL!$C$15, $D$11, 100%, $F$11)</f>
        <v>7.6523000000000003</v>
      </c>
      <c r="K222" s="4"/>
      <c r="L222" s="9">
        <v>27.415299999999998</v>
      </c>
      <c r="M222" s="9">
        <v>11.285299999999999</v>
      </c>
      <c r="N222" s="9">
        <v>4.6254999999999997</v>
      </c>
      <c r="O222" s="9">
        <v>0.34989999999999999</v>
      </c>
      <c r="P222" s="9">
        <v>1.2093</v>
      </c>
      <c r="Q222" s="9">
        <v>28.878799999999998</v>
      </c>
      <c r="R222" s="9"/>
      <c r="S222" s="11"/>
    </row>
    <row r="223" spans="1:19" ht="15.75">
      <c r="A223" s="13">
        <v>48274</v>
      </c>
      <c r="B223" s="8">
        <f>7.8157 * CHOOSE(CONTROL!$C$15, $D$11, 100%, $F$11)</f>
        <v>7.8156999999999996</v>
      </c>
      <c r="C223" s="8">
        <f>7.8264 * CHOOSE(CONTROL!$C$15, $D$11, 100%, $F$11)</f>
        <v>7.8263999999999996</v>
      </c>
      <c r="D223" s="8">
        <f>7.8072 * CHOOSE( CONTROL!$C$15, $D$11, 100%, $F$11)</f>
        <v>7.8071999999999999</v>
      </c>
      <c r="E223" s="12">
        <f>7.8131 * CHOOSE( CONTROL!$C$15, $D$11, 100%, $F$11)</f>
        <v>7.8131000000000004</v>
      </c>
      <c r="F223" s="4">
        <f>8.4742 * CHOOSE(CONTROL!$C$15, $D$11, 100%, $F$11)</f>
        <v>8.4741999999999997</v>
      </c>
      <c r="G223" s="8">
        <f>7.6333 * CHOOSE( CONTROL!$C$15, $D$11, 100%, $F$11)</f>
        <v>7.6333000000000002</v>
      </c>
      <c r="H223" s="4">
        <f>8.5193 * CHOOSE(CONTROL!$C$15, $D$11, 100%, $F$11)</f>
        <v>8.5192999999999994</v>
      </c>
      <c r="I223" s="8">
        <f>7.6104 * CHOOSE(CONTROL!$C$15, $D$11, 100%, $F$11)</f>
        <v>7.6104000000000003</v>
      </c>
      <c r="J223" s="4">
        <f>7.4894 * CHOOSE(CONTROL!$C$15, $D$11, 100%, $F$11)</f>
        <v>7.4893999999999998</v>
      </c>
      <c r="K223" s="4"/>
      <c r="L223" s="9">
        <v>29.306000000000001</v>
      </c>
      <c r="M223" s="9">
        <v>12.063700000000001</v>
      </c>
      <c r="N223" s="9">
        <v>4.9444999999999997</v>
      </c>
      <c r="O223" s="9">
        <v>0.37409999999999999</v>
      </c>
      <c r="P223" s="9">
        <v>1.2927</v>
      </c>
      <c r="Q223" s="9">
        <v>30.8704</v>
      </c>
      <c r="R223" s="9"/>
      <c r="S223" s="11"/>
    </row>
    <row r="224" spans="1:19" ht="15.75">
      <c r="A224" s="13">
        <v>48305</v>
      </c>
      <c r="B224" s="8">
        <f>7.9342 * CHOOSE(CONTROL!$C$15, $D$11, 100%, $F$11)</f>
        <v>7.9341999999999997</v>
      </c>
      <c r="C224" s="8">
        <f>7.945 * CHOOSE(CONTROL!$C$15, $D$11, 100%, $F$11)</f>
        <v>7.9450000000000003</v>
      </c>
      <c r="D224" s="8">
        <f>7.9819 * CHOOSE( CONTROL!$C$15, $D$11, 100%, $F$11)</f>
        <v>7.9819000000000004</v>
      </c>
      <c r="E224" s="12">
        <f>7.9685 * CHOOSE( CONTROL!$C$15, $D$11, 100%, $F$11)</f>
        <v>7.9684999999999997</v>
      </c>
      <c r="F224" s="4">
        <f>8.6734 * CHOOSE(CONTROL!$C$15, $D$11, 100%, $F$11)</f>
        <v>8.6734000000000009</v>
      </c>
      <c r="G224" s="8">
        <f>7.7484 * CHOOSE( CONTROL!$C$15, $D$11, 100%, $F$11)</f>
        <v>7.7484000000000002</v>
      </c>
      <c r="H224" s="4">
        <f>8.7142 * CHOOSE(CONTROL!$C$15, $D$11, 100%, $F$11)</f>
        <v>8.7141999999999999</v>
      </c>
      <c r="I224" s="8">
        <f>7.7161 * CHOOSE(CONTROL!$C$15, $D$11, 100%, $F$11)</f>
        <v>7.7161</v>
      </c>
      <c r="J224" s="4">
        <f>7.6032 * CHOOSE(CONTROL!$C$15, $D$11, 100%, $F$11)</f>
        <v>7.6032000000000002</v>
      </c>
      <c r="K224" s="4"/>
      <c r="L224" s="9">
        <v>30.092199999999998</v>
      </c>
      <c r="M224" s="9">
        <v>11.6745</v>
      </c>
      <c r="N224" s="9">
        <v>4.7850000000000001</v>
      </c>
      <c r="O224" s="9">
        <v>0.36199999999999999</v>
      </c>
      <c r="P224" s="9">
        <v>1.1791</v>
      </c>
      <c r="Q224" s="9">
        <v>29.874600000000001</v>
      </c>
      <c r="R224" s="9"/>
      <c r="S224" s="11"/>
    </row>
    <row r="225" spans="1:19" ht="15.75">
      <c r="A225" s="13">
        <v>48335</v>
      </c>
      <c r="B225" s="8">
        <f>CHOOSE( CONTROL!$C$32, 8.1475, 8.1451) * CHOOSE(CONTROL!$C$15, $D$11, 100%, $F$11)</f>
        <v>8.1475000000000009</v>
      </c>
      <c r="C225" s="8">
        <f>CHOOSE( CONTROL!$C$32, 8.1581, 8.1557) * CHOOSE(CONTROL!$C$15, $D$11, 100%, $F$11)</f>
        <v>8.1580999999999992</v>
      </c>
      <c r="D225" s="8">
        <f>CHOOSE( CONTROL!$C$32, 8.1939, 8.1915) * CHOOSE( CONTROL!$C$15, $D$11, 100%, $F$11)</f>
        <v>8.1938999999999993</v>
      </c>
      <c r="E225" s="12">
        <f>CHOOSE( CONTROL!$C$32, 8.1793, 8.1769) * CHOOSE( CONTROL!$C$15, $D$11, 100%, $F$11)</f>
        <v>8.1792999999999996</v>
      </c>
      <c r="F225" s="4">
        <f>CHOOSE( CONTROL!$C$32, 8.8869, 8.8845) * CHOOSE(CONTROL!$C$15, $D$11, 100%, $F$11)</f>
        <v>8.8869000000000007</v>
      </c>
      <c r="G225" s="8">
        <f>CHOOSE( CONTROL!$C$32, 7.9576, 7.9553) * CHOOSE( CONTROL!$C$15, $D$11, 100%, $F$11)</f>
        <v>7.9576000000000002</v>
      </c>
      <c r="H225" s="4">
        <f>CHOOSE( CONTROL!$C$32, 8.9228, 8.9205) * CHOOSE(CONTROL!$C$15, $D$11, 100%, $F$11)</f>
        <v>8.9228000000000005</v>
      </c>
      <c r="I225" s="8">
        <f>CHOOSE( CONTROL!$C$32, 7.9212, 7.9189) * CHOOSE(CONTROL!$C$15, $D$11, 100%, $F$11)</f>
        <v>7.9211999999999998</v>
      </c>
      <c r="J225" s="4">
        <f>CHOOSE( CONTROL!$C$32, 7.8081, 7.8058) * CHOOSE(CONTROL!$C$15, $D$11, 100%, $F$11)</f>
        <v>7.8080999999999996</v>
      </c>
      <c r="K225" s="4"/>
      <c r="L225" s="9">
        <v>30.7165</v>
      </c>
      <c r="M225" s="9">
        <v>12.063700000000001</v>
      </c>
      <c r="N225" s="9">
        <v>4.9444999999999997</v>
      </c>
      <c r="O225" s="9">
        <v>0.37409999999999999</v>
      </c>
      <c r="P225" s="9">
        <v>1.2183999999999999</v>
      </c>
      <c r="Q225" s="9">
        <v>30.8704</v>
      </c>
      <c r="R225" s="9"/>
      <c r="S225" s="11"/>
    </row>
    <row r="226" spans="1:19" ht="15.75">
      <c r="A226" s="13">
        <v>48366</v>
      </c>
      <c r="B226" s="8">
        <f>CHOOSE( CONTROL!$C$32, 8.0168, 8.0144) * CHOOSE(CONTROL!$C$15, $D$11, 100%, $F$11)</f>
        <v>8.0167999999999999</v>
      </c>
      <c r="C226" s="8">
        <f>CHOOSE( CONTROL!$C$32, 8.0273, 8.025) * CHOOSE(CONTROL!$C$15, $D$11, 100%, $F$11)</f>
        <v>8.0273000000000003</v>
      </c>
      <c r="D226" s="8">
        <f>CHOOSE( CONTROL!$C$32, 8.0634, 8.061) * CHOOSE( CONTROL!$C$15, $D$11, 100%, $F$11)</f>
        <v>8.0633999999999997</v>
      </c>
      <c r="E226" s="12">
        <f>CHOOSE( CONTROL!$C$32, 8.0487, 8.0463) * CHOOSE( CONTROL!$C$15, $D$11, 100%, $F$11)</f>
        <v>8.0487000000000002</v>
      </c>
      <c r="F226" s="4">
        <f>CHOOSE( CONTROL!$C$32, 8.7561, 8.7537) * CHOOSE(CONTROL!$C$15, $D$11, 100%, $F$11)</f>
        <v>8.7561</v>
      </c>
      <c r="G226" s="8">
        <f>CHOOSE( CONTROL!$C$32, 7.8301, 7.8278) * CHOOSE( CONTROL!$C$15, $D$11, 100%, $F$11)</f>
        <v>7.8300999999999998</v>
      </c>
      <c r="H226" s="4">
        <f>CHOOSE( CONTROL!$C$32, 8.795, 8.7927) * CHOOSE(CONTROL!$C$15, $D$11, 100%, $F$11)</f>
        <v>8.7949999999999999</v>
      </c>
      <c r="I226" s="8">
        <f>CHOOSE( CONTROL!$C$32, 7.7966, 7.7943) * CHOOSE(CONTROL!$C$15, $D$11, 100%, $F$11)</f>
        <v>7.7965999999999998</v>
      </c>
      <c r="J226" s="4">
        <f>CHOOSE( CONTROL!$C$32, 7.6826, 7.6803) * CHOOSE(CONTROL!$C$15, $D$11, 100%, $F$11)</f>
        <v>7.6825999999999999</v>
      </c>
      <c r="K226" s="4"/>
      <c r="L226" s="9">
        <v>29.7257</v>
      </c>
      <c r="M226" s="9">
        <v>11.6745</v>
      </c>
      <c r="N226" s="9">
        <v>4.7850000000000001</v>
      </c>
      <c r="O226" s="9">
        <v>0.36199999999999999</v>
      </c>
      <c r="P226" s="9">
        <v>1.1791</v>
      </c>
      <c r="Q226" s="9">
        <v>29.874600000000001</v>
      </c>
      <c r="R226" s="9"/>
      <c r="S226" s="11"/>
    </row>
    <row r="227" spans="1:19" ht="15.75">
      <c r="A227" s="13">
        <v>48396</v>
      </c>
      <c r="B227" s="8">
        <f>CHOOSE( CONTROL!$C$32, 8.361, 8.3586) * CHOOSE(CONTROL!$C$15, $D$11, 100%, $F$11)</f>
        <v>8.3610000000000007</v>
      </c>
      <c r="C227" s="8">
        <f>CHOOSE( CONTROL!$C$32, 8.3716, 8.3692) * CHOOSE(CONTROL!$C$15, $D$11, 100%, $F$11)</f>
        <v>8.3716000000000008</v>
      </c>
      <c r="D227" s="8">
        <f>CHOOSE( CONTROL!$C$32, 8.4078, 8.4054) * CHOOSE( CONTROL!$C$15, $D$11, 100%, $F$11)</f>
        <v>8.4077999999999999</v>
      </c>
      <c r="E227" s="12">
        <f>CHOOSE( CONTROL!$C$32, 8.3931, 8.3907) * CHOOSE( CONTROL!$C$15, $D$11, 100%, $F$11)</f>
        <v>8.3931000000000004</v>
      </c>
      <c r="F227" s="4">
        <f>CHOOSE( CONTROL!$C$32, 9.1004, 9.098) * CHOOSE(CONTROL!$C$15, $D$11, 100%, $F$11)</f>
        <v>9.1004000000000005</v>
      </c>
      <c r="G227" s="8">
        <f>CHOOSE( CONTROL!$C$32, 8.167, 8.1646) * CHOOSE( CONTROL!$C$15, $D$11, 100%, $F$11)</f>
        <v>8.1669999999999998</v>
      </c>
      <c r="H227" s="4">
        <f>CHOOSE( CONTROL!$C$32, 9.1315, 9.1292) * CHOOSE(CONTROL!$C$15, $D$11, 100%, $F$11)</f>
        <v>9.1315000000000008</v>
      </c>
      <c r="I227" s="8">
        <f>CHOOSE( CONTROL!$C$32, 8.1282, 8.1259) * CHOOSE(CONTROL!$C$15, $D$11, 100%, $F$11)</f>
        <v>8.1281999999999996</v>
      </c>
      <c r="J227" s="4">
        <f>CHOOSE( CONTROL!$C$32, 8.0131, 8.0108) * CHOOSE(CONTROL!$C$15, $D$11, 100%, $F$11)</f>
        <v>8.0130999999999997</v>
      </c>
      <c r="K227" s="4"/>
      <c r="L227" s="9">
        <v>30.7165</v>
      </c>
      <c r="M227" s="9">
        <v>12.063700000000001</v>
      </c>
      <c r="N227" s="9">
        <v>4.9444999999999997</v>
      </c>
      <c r="O227" s="9">
        <v>0.37409999999999999</v>
      </c>
      <c r="P227" s="9">
        <v>1.2183999999999999</v>
      </c>
      <c r="Q227" s="9">
        <v>30.8704</v>
      </c>
      <c r="R227" s="9"/>
      <c r="S227" s="11"/>
    </row>
    <row r="228" spans="1:19" ht="15.75">
      <c r="A228" s="13">
        <v>48427</v>
      </c>
      <c r="B228" s="8">
        <f>CHOOSE( CONTROL!$C$32, 7.7169, 7.7145) * CHOOSE(CONTROL!$C$15, $D$11, 100%, $F$11)</f>
        <v>7.7168999999999999</v>
      </c>
      <c r="C228" s="8">
        <f>CHOOSE( CONTROL!$C$32, 7.7275, 7.7251) * CHOOSE(CONTROL!$C$15, $D$11, 100%, $F$11)</f>
        <v>7.7275</v>
      </c>
      <c r="D228" s="8">
        <f>CHOOSE( CONTROL!$C$32, 7.7638, 7.7614) * CHOOSE( CONTROL!$C$15, $D$11, 100%, $F$11)</f>
        <v>7.7637999999999998</v>
      </c>
      <c r="E228" s="12">
        <f>CHOOSE( CONTROL!$C$32, 7.749, 7.7466) * CHOOSE( CONTROL!$C$15, $D$11, 100%, $F$11)</f>
        <v>7.7489999999999997</v>
      </c>
      <c r="F228" s="4">
        <f>CHOOSE( CONTROL!$C$32, 8.4563, 8.4539) * CHOOSE(CONTROL!$C$15, $D$11, 100%, $F$11)</f>
        <v>8.4563000000000006</v>
      </c>
      <c r="G228" s="8">
        <f>CHOOSE( CONTROL!$C$32, 7.5373, 7.535) * CHOOSE( CONTROL!$C$15, $D$11, 100%, $F$11)</f>
        <v>7.5373000000000001</v>
      </c>
      <c r="H228" s="4">
        <f>CHOOSE( CONTROL!$C$32, 8.5018, 8.4995) * CHOOSE(CONTROL!$C$15, $D$11, 100%, $F$11)</f>
        <v>8.5017999999999994</v>
      </c>
      <c r="I228" s="8">
        <f>CHOOSE( CONTROL!$C$32, 7.5098, 7.5075) * CHOOSE(CONTROL!$C$15, $D$11, 100%, $F$11)</f>
        <v>7.5098000000000003</v>
      </c>
      <c r="J228" s="4">
        <f>CHOOSE( CONTROL!$C$32, 7.3947, 7.3924) * CHOOSE(CONTROL!$C$15, $D$11, 100%, $F$11)</f>
        <v>7.3947000000000003</v>
      </c>
      <c r="K228" s="4"/>
      <c r="L228" s="9">
        <v>30.7165</v>
      </c>
      <c r="M228" s="9">
        <v>12.063700000000001</v>
      </c>
      <c r="N228" s="9">
        <v>4.9444999999999997</v>
      </c>
      <c r="O228" s="9">
        <v>0.37409999999999999</v>
      </c>
      <c r="P228" s="9">
        <v>1.2183999999999999</v>
      </c>
      <c r="Q228" s="9">
        <v>30.8704</v>
      </c>
      <c r="R228" s="9"/>
      <c r="S228" s="11"/>
    </row>
    <row r="229" spans="1:19" ht="15.75">
      <c r="A229" s="13">
        <v>48458</v>
      </c>
      <c r="B229" s="8">
        <f>CHOOSE( CONTROL!$C$32, 7.5556, 7.5532) * CHOOSE(CONTROL!$C$15, $D$11, 100%, $F$11)</f>
        <v>7.5556000000000001</v>
      </c>
      <c r="C229" s="8">
        <f>CHOOSE( CONTROL!$C$32, 7.5662, 7.5638) * CHOOSE(CONTROL!$C$15, $D$11, 100%, $F$11)</f>
        <v>7.5662000000000003</v>
      </c>
      <c r="D229" s="8">
        <f>CHOOSE( CONTROL!$C$32, 7.6024, 7.6001) * CHOOSE( CONTROL!$C$15, $D$11, 100%, $F$11)</f>
        <v>7.6024000000000003</v>
      </c>
      <c r="E229" s="12">
        <f>CHOOSE( CONTROL!$C$32, 7.5877, 7.5853) * CHOOSE( CONTROL!$C$15, $D$11, 100%, $F$11)</f>
        <v>7.5876999999999999</v>
      </c>
      <c r="F229" s="4">
        <f>CHOOSE( CONTROL!$C$32, 8.295, 8.2926) * CHOOSE(CONTROL!$C$15, $D$11, 100%, $F$11)</f>
        <v>8.2949999999999999</v>
      </c>
      <c r="G229" s="8">
        <f>CHOOSE( CONTROL!$C$32, 7.3796, 7.3772) * CHOOSE( CONTROL!$C$15, $D$11, 100%, $F$11)</f>
        <v>7.3795999999999999</v>
      </c>
      <c r="H229" s="4">
        <f>CHOOSE( CONTROL!$C$32, 8.3441, 8.3418) * CHOOSE(CONTROL!$C$15, $D$11, 100%, $F$11)</f>
        <v>8.3440999999999992</v>
      </c>
      <c r="I229" s="8">
        <f>CHOOSE( CONTROL!$C$32, 7.3546, 7.3523) * CHOOSE(CONTROL!$C$15, $D$11, 100%, $F$11)</f>
        <v>7.3545999999999996</v>
      </c>
      <c r="J229" s="4">
        <f>CHOOSE( CONTROL!$C$32, 7.2398, 7.2375) * CHOOSE(CONTROL!$C$15, $D$11, 100%, $F$11)</f>
        <v>7.2397999999999998</v>
      </c>
      <c r="K229" s="4"/>
      <c r="L229" s="9">
        <v>29.7257</v>
      </c>
      <c r="M229" s="9">
        <v>11.6745</v>
      </c>
      <c r="N229" s="9">
        <v>4.7850000000000001</v>
      </c>
      <c r="O229" s="9">
        <v>0.36199999999999999</v>
      </c>
      <c r="P229" s="9">
        <v>1.1791</v>
      </c>
      <c r="Q229" s="9">
        <v>29.874600000000001</v>
      </c>
      <c r="R229" s="9"/>
      <c r="S229" s="11"/>
    </row>
    <row r="230" spans="1:19" ht="15.75">
      <c r="A230" s="13">
        <v>48488</v>
      </c>
      <c r="B230" s="8">
        <f>7.8882 * CHOOSE(CONTROL!$C$15, $D$11, 100%, $F$11)</f>
        <v>7.8882000000000003</v>
      </c>
      <c r="C230" s="8">
        <f>7.899 * CHOOSE(CONTROL!$C$15, $D$11, 100%, $F$11)</f>
        <v>7.899</v>
      </c>
      <c r="D230" s="8">
        <f>7.9365 * CHOOSE( CONTROL!$C$15, $D$11, 100%, $F$11)</f>
        <v>7.9364999999999997</v>
      </c>
      <c r="E230" s="12">
        <f>7.923 * CHOOSE( CONTROL!$C$15, $D$11, 100%, $F$11)</f>
        <v>7.923</v>
      </c>
      <c r="F230" s="4">
        <f>8.6275 * CHOOSE(CONTROL!$C$15, $D$11, 100%, $F$11)</f>
        <v>8.6274999999999995</v>
      </c>
      <c r="G230" s="8">
        <f>7.7044 * CHOOSE( CONTROL!$C$15, $D$11, 100%, $F$11)</f>
        <v>7.7043999999999997</v>
      </c>
      <c r="H230" s="4">
        <f>8.6692 * CHOOSE(CONTROL!$C$15, $D$11, 100%, $F$11)</f>
        <v>8.6692</v>
      </c>
      <c r="I230" s="8">
        <f>7.6747 * CHOOSE(CONTROL!$C$15, $D$11, 100%, $F$11)</f>
        <v>7.6746999999999996</v>
      </c>
      <c r="J230" s="4">
        <f>7.5591 * CHOOSE(CONTROL!$C$15, $D$11, 100%, $F$11)</f>
        <v>7.5590999999999999</v>
      </c>
      <c r="K230" s="4"/>
      <c r="L230" s="9">
        <v>31.095300000000002</v>
      </c>
      <c r="M230" s="9">
        <v>12.063700000000001</v>
      </c>
      <c r="N230" s="9">
        <v>4.9444999999999997</v>
      </c>
      <c r="O230" s="9">
        <v>0.37409999999999999</v>
      </c>
      <c r="P230" s="9">
        <v>1.2183999999999999</v>
      </c>
      <c r="Q230" s="9">
        <v>30.8704</v>
      </c>
      <c r="R230" s="9"/>
      <c r="S230" s="11"/>
    </row>
    <row r="231" spans="1:19" ht="15.75">
      <c r="A231" s="13">
        <v>48519</v>
      </c>
      <c r="B231" s="8">
        <f>8.5064 * CHOOSE(CONTROL!$C$15, $D$11, 100%, $F$11)</f>
        <v>8.5063999999999993</v>
      </c>
      <c r="C231" s="8">
        <f>8.5171 * CHOOSE(CONTROL!$C$15, $D$11, 100%, $F$11)</f>
        <v>8.5170999999999992</v>
      </c>
      <c r="D231" s="8">
        <f>8.4999 * CHOOSE( CONTROL!$C$15, $D$11, 100%, $F$11)</f>
        <v>8.4999000000000002</v>
      </c>
      <c r="E231" s="12">
        <f>8.505 * CHOOSE( CONTROL!$C$15, $D$11, 100%, $F$11)</f>
        <v>8.5050000000000008</v>
      </c>
      <c r="F231" s="4">
        <f>9.1649 * CHOOSE(CONTROL!$C$15, $D$11, 100%, $F$11)</f>
        <v>9.1648999999999994</v>
      </c>
      <c r="G231" s="8">
        <f>8.3154 * CHOOSE( CONTROL!$C$15, $D$11, 100%, $F$11)</f>
        <v>8.3154000000000003</v>
      </c>
      <c r="H231" s="4">
        <f>9.1946 * CHOOSE(CONTROL!$C$15, $D$11, 100%, $F$11)</f>
        <v>9.1945999999999994</v>
      </c>
      <c r="I231" s="8">
        <f>8.3056 * CHOOSE(CONTROL!$C$15, $D$11, 100%, $F$11)</f>
        <v>8.3056000000000001</v>
      </c>
      <c r="J231" s="4">
        <f>8.1525 * CHOOSE(CONTROL!$C$15, $D$11, 100%, $F$11)</f>
        <v>8.1524999999999999</v>
      </c>
      <c r="K231" s="4"/>
      <c r="L231" s="9">
        <v>28.360600000000002</v>
      </c>
      <c r="M231" s="9">
        <v>11.6745</v>
      </c>
      <c r="N231" s="9">
        <v>4.7850000000000001</v>
      </c>
      <c r="O231" s="9">
        <v>0.36199999999999999</v>
      </c>
      <c r="P231" s="9">
        <v>1.2509999999999999</v>
      </c>
      <c r="Q231" s="9">
        <v>29.874600000000001</v>
      </c>
      <c r="R231" s="9"/>
      <c r="S231" s="11"/>
    </row>
    <row r="232" spans="1:19" ht="15.75">
      <c r="A232" s="13">
        <v>48549</v>
      </c>
      <c r="B232" s="8">
        <f>8.4909 * CHOOSE(CONTROL!$C$15, $D$11, 100%, $F$11)</f>
        <v>8.4908999999999999</v>
      </c>
      <c r="C232" s="8">
        <f>8.5017 * CHOOSE(CONTROL!$C$15, $D$11, 100%, $F$11)</f>
        <v>8.5016999999999996</v>
      </c>
      <c r="D232" s="8">
        <f>8.4861 * CHOOSE( CONTROL!$C$15, $D$11, 100%, $F$11)</f>
        <v>8.4861000000000004</v>
      </c>
      <c r="E232" s="12">
        <f>8.4907 * CHOOSE( CONTROL!$C$15, $D$11, 100%, $F$11)</f>
        <v>8.4907000000000004</v>
      </c>
      <c r="F232" s="4">
        <f>9.1494 * CHOOSE(CONTROL!$C$15, $D$11, 100%, $F$11)</f>
        <v>9.1494</v>
      </c>
      <c r="G232" s="8">
        <f>8.3015 * CHOOSE( CONTROL!$C$15, $D$11, 100%, $F$11)</f>
        <v>8.3015000000000008</v>
      </c>
      <c r="H232" s="4">
        <f>9.1795 * CHOOSE(CONTROL!$C$15, $D$11, 100%, $F$11)</f>
        <v>9.1795000000000009</v>
      </c>
      <c r="I232" s="8">
        <f>8.296 * CHOOSE(CONTROL!$C$15, $D$11, 100%, $F$11)</f>
        <v>8.2959999999999994</v>
      </c>
      <c r="J232" s="4">
        <f>8.1377 * CHOOSE(CONTROL!$C$15, $D$11, 100%, $F$11)</f>
        <v>8.1377000000000006</v>
      </c>
      <c r="K232" s="4"/>
      <c r="L232" s="9">
        <v>29.306000000000001</v>
      </c>
      <c r="M232" s="9">
        <v>12.063700000000001</v>
      </c>
      <c r="N232" s="9">
        <v>4.9444999999999997</v>
      </c>
      <c r="O232" s="9">
        <v>0.37409999999999999</v>
      </c>
      <c r="P232" s="9">
        <v>1.2927</v>
      </c>
      <c r="Q232" s="9">
        <v>30.8704</v>
      </c>
      <c r="R232" s="9"/>
      <c r="S232" s="11"/>
    </row>
    <row r="233" spans="1:19" ht="15.75">
      <c r="A233" s="13">
        <v>48580</v>
      </c>
      <c r="B233" s="8">
        <f>8.7894 * CHOOSE(CONTROL!$C$15, $D$11, 100%, $F$11)</f>
        <v>8.7894000000000005</v>
      </c>
      <c r="C233" s="8">
        <f>8.8002 * CHOOSE(CONTROL!$C$15, $D$11, 100%, $F$11)</f>
        <v>8.8002000000000002</v>
      </c>
      <c r="D233" s="8">
        <f>8.7816 * CHOOSE( CONTROL!$C$15, $D$11, 100%, $F$11)</f>
        <v>8.7815999999999992</v>
      </c>
      <c r="E233" s="12">
        <f>8.7873 * CHOOSE( CONTROL!$C$15, $D$11, 100%, $F$11)</f>
        <v>8.7873000000000001</v>
      </c>
      <c r="F233" s="4">
        <f>9.4479 * CHOOSE(CONTROL!$C$15, $D$11, 100%, $F$11)</f>
        <v>9.4479000000000006</v>
      </c>
      <c r="G233" s="8">
        <f>8.5858 * CHOOSE( CONTROL!$C$15, $D$11, 100%, $F$11)</f>
        <v>8.5858000000000008</v>
      </c>
      <c r="H233" s="4">
        <f>9.4713 * CHOOSE(CONTROL!$C$15, $D$11, 100%, $F$11)</f>
        <v>9.4712999999999994</v>
      </c>
      <c r="I233" s="8">
        <f>8.5476 * CHOOSE(CONTROL!$C$15, $D$11, 100%, $F$11)</f>
        <v>8.5475999999999992</v>
      </c>
      <c r="J233" s="4">
        <f>8.4243 * CHOOSE(CONTROL!$C$15, $D$11, 100%, $F$11)</f>
        <v>8.4243000000000006</v>
      </c>
      <c r="K233" s="4"/>
      <c r="L233" s="9">
        <v>29.306000000000001</v>
      </c>
      <c r="M233" s="9">
        <v>12.063700000000001</v>
      </c>
      <c r="N233" s="9">
        <v>4.9444999999999997</v>
      </c>
      <c r="O233" s="9">
        <v>0.37409999999999999</v>
      </c>
      <c r="P233" s="9">
        <v>1.2927</v>
      </c>
      <c r="Q233" s="9">
        <v>30.773700000000002</v>
      </c>
      <c r="R233" s="9"/>
      <c r="S233" s="11"/>
    </row>
    <row r="234" spans="1:19" ht="15.75">
      <c r="A234" s="13">
        <v>48611</v>
      </c>
      <c r="B234" s="8">
        <f>8.2222 * CHOOSE(CONTROL!$C$15, $D$11, 100%, $F$11)</f>
        <v>8.2222000000000008</v>
      </c>
      <c r="C234" s="8">
        <f>8.2329 * CHOOSE(CONTROL!$C$15, $D$11, 100%, $F$11)</f>
        <v>8.2329000000000008</v>
      </c>
      <c r="D234" s="8">
        <f>8.2142 * CHOOSE( CONTROL!$C$15, $D$11, 100%, $F$11)</f>
        <v>8.2141999999999999</v>
      </c>
      <c r="E234" s="12">
        <f>8.2199 * CHOOSE( CONTROL!$C$15, $D$11, 100%, $F$11)</f>
        <v>8.2199000000000009</v>
      </c>
      <c r="F234" s="4">
        <f>8.8807 * CHOOSE(CONTROL!$C$15, $D$11, 100%, $F$11)</f>
        <v>8.8806999999999992</v>
      </c>
      <c r="G234" s="8">
        <f>8.0311 * CHOOSE( CONTROL!$C$15, $D$11, 100%, $F$11)</f>
        <v>8.0311000000000003</v>
      </c>
      <c r="H234" s="4">
        <f>8.9167 * CHOOSE(CONTROL!$C$15, $D$11, 100%, $F$11)</f>
        <v>8.9167000000000005</v>
      </c>
      <c r="I234" s="8">
        <f>8.0024 * CHOOSE(CONTROL!$C$15, $D$11, 100%, $F$11)</f>
        <v>8.0023999999999997</v>
      </c>
      <c r="J234" s="4">
        <f>7.8796 * CHOOSE(CONTROL!$C$15, $D$11, 100%, $F$11)</f>
        <v>7.8795999999999999</v>
      </c>
      <c r="K234" s="4"/>
      <c r="L234" s="9">
        <v>26.469899999999999</v>
      </c>
      <c r="M234" s="9">
        <v>10.8962</v>
      </c>
      <c r="N234" s="9">
        <v>4.4660000000000002</v>
      </c>
      <c r="O234" s="9">
        <v>0.33789999999999998</v>
      </c>
      <c r="P234" s="9">
        <v>1.1676</v>
      </c>
      <c r="Q234" s="9">
        <v>27.7956</v>
      </c>
      <c r="R234" s="9"/>
      <c r="S234" s="11"/>
    </row>
    <row r="235" spans="1:19" ht="15.75">
      <c r="A235" s="13">
        <v>48639</v>
      </c>
      <c r="B235" s="8">
        <f>8.0475 * CHOOSE(CONTROL!$C$15, $D$11, 100%, $F$11)</f>
        <v>8.0474999999999994</v>
      </c>
      <c r="C235" s="8">
        <f>8.0582 * CHOOSE(CONTROL!$C$15, $D$11, 100%, $F$11)</f>
        <v>8.0581999999999994</v>
      </c>
      <c r="D235" s="8">
        <f>8.039 * CHOOSE( CONTROL!$C$15, $D$11, 100%, $F$11)</f>
        <v>8.0389999999999997</v>
      </c>
      <c r="E235" s="12">
        <f>8.0449 * CHOOSE( CONTROL!$C$15, $D$11, 100%, $F$11)</f>
        <v>8.0449000000000002</v>
      </c>
      <c r="F235" s="4">
        <f>8.706 * CHOOSE(CONTROL!$C$15, $D$11, 100%, $F$11)</f>
        <v>8.7059999999999995</v>
      </c>
      <c r="G235" s="8">
        <f>7.8599 * CHOOSE( CONTROL!$C$15, $D$11, 100%, $F$11)</f>
        <v>7.8598999999999997</v>
      </c>
      <c r="H235" s="4">
        <f>8.7459 * CHOOSE(CONTROL!$C$15, $D$11, 100%, $F$11)</f>
        <v>8.7459000000000007</v>
      </c>
      <c r="I235" s="8">
        <f>7.8331 * CHOOSE(CONTROL!$C$15, $D$11, 100%, $F$11)</f>
        <v>7.8331</v>
      </c>
      <c r="J235" s="4">
        <f>7.7119 * CHOOSE(CONTROL!$C$15, $D$11, 100%, $F$11)</f>
        <v>7.7119</v>
      </c>
      <c r="K235" s="4"/>
      <c r="L235" s="9">
        <v>29.306000000000001</v>
      </c>
      <c r="M235" s="9">
        <v>12.063700000000001</v>
      </c>
      <c r="N235" s="9">
        <v>4.9444999999999997</v>
      </c>
      <c r="O235" s="9">
        <v>0.37409999999999999</v>
      </c>
      <c r="P235" s="9">
        <v>1.2927</v>
      </c>
      <c r="Q235" s="9">
        <v>30.773700000000002</v>
      </c>
      <c r="R235" s="9"/>
      <c r="S235" s="11"/>
    </row>
    <row r="236" spans="1:19" ht="15.75">
      <c r="A236" s="13">
        <v>48670</v>
      </c>
      <c r="B236" s="8">
        <f>8.1695 * CHOOSE(CONTROL!$C$15, $D$11, 100%, $F$11)</f>
        <v>8.1694999999999993</v>
      </c>
      <c r="C236" s="8">
        <f>8.1803 * CHOOSE(CONTROL!$C$15, $D$11, 100%, $F$11)</f>
        <v>8.1803000000000008</v>
      </c>
      <c r="D236" s="8">
        <f>8.2172 * CHOOSE( CONTROL!$C$15, $D$11, 100%, $F$11)</f>
        <v>8.2172000000000001</v>
      </c>
      <c r="E236" s="12">
        <f>8.2038 * CHOOSE( CONTROL!$C$15, $D$11, 100%, $F$11)</f>
        <v>8.2037999999999993</v>
      </c>
      <c r="F236" s="4">
        <f>8.9088 * CHOOSE(CONTROL!$C$15, $D$11, 100%, $F$11)</f>
        <v>8.9087999999999994</v>
      </c>
      <c r="G236" s="8">
        <f>7.9785 * CHOOSE( CONTROL!$C$15, $D$11, 100%, $F$11)</f>
        <v>7.9785000000000004</v>
      </c>
      <c r="H236" s="4">
        <f>8.9442 * CHOOSE(CONTROL!$C$15, $D$11, 100%, $F$11)</f>
        <v>8.9442000000000004</v>
      </c>
      <c r="I236" s="8">
        <f>7.9422 * CHOOSE(CONTROL!$C$15, $D$11, 100%, $F$11)</f>
        <v>7.9421999999999997</v>
      </c>
      <c r="J236" s="4">
        <f>7.8291 * CHOOSE(CONTROL!$C$15, $D$11, 100%, $F$11)</f>
        <v>7.8291000000000004</v>
      </c>
      <c r="K236" s="4"/>
      <c r="L236" s="9">
        <v>30.092199999999998</v>
      </c>
      <c r="M236" s="9">
        <v>11.6745</v>
      </c>
      <c r="N236" s="9">
        <v>4.7850000000000001</v>
      </c>
      <c r="O236" s="9">
        <v>0.36199999999999999</v>
      </c>
      <c r="P236" s="9">
        <v>1.1791</v>
      </c>
      <c r="Q236" s="9">
        <v>29.780999999999999</v>
      </c>
      <c r="R236" s="9"/>
      <c r="S236" s="11"/>
    </row>
    <row r="237" spans="1:19" ht="15.75">
      <c r="A237" s="13">
        <v>48700</v>
      </c>
      <c r="B237" s="8">
        <f>CHOOSE( CONTROL!$C$32, 8.3891, 8.3867) * CHOOSE(CONTROL!$C$15, $D$11, 100%, $F$11)</f>
        <v>8.3890999999999991</v>
      </c>
      <c r="C237" s="8">
        <f>CHOOSE( CONTROL!$C$32, 8.3996, 8.3972) * CHOOSE(CONTROL!$C$15, $D$11, 100%, $F$11)</f>
        <v>8.3995999999999995</v>
      </c>
      <c r="D237" s="8">
        <f>CHOOSE( CONTROL!$C$32, 8.4355, 8.4331) * CHOOSE( CONTROL!$C$15, $D$11, 100%, $F$11)</f>
        <v>8.4354999999999993</v>
      </c>
      <c r="E237" s="12">
        <f>CHOOSE( CONTROL!$C$32, 8.4209, 8.4185) * CHOOSE( CONTROL!$C$15, $D$11, 100%, $F$11)</f>
        <v>8.4208999999999996</v>
      </c>
      <c r="F237" s="4">
        <f>CHOOSE( CONTROL!$C$32, 9.1284, 9.126) * CHOOSE(CONTROL!$C$15, $D$11, 100%, $F$11)</f>
        <v>9.1283999999999992</v>
      </c>
      <c r="G237" s="8">
        <f>CHOOSE( CONTROL!$C$32, 8.1938, 8.1915) * CHOOSE( CONTROL!$C$15, $D$11, 100%, $F$11)</f>
        <v>8.1937999999999995</v>
      </c>
      <c r="H237" s="4">
        <f>CHOOSE( CONTROL!$C$32, 9.159, 9.1567) * CHOOSE(CONTROL!$C$15, $D$11, 100%, $F$11)</f>
        <v>9.1590000000000007</v>
      </c>
      <c r="I237" s="8">
        <f>CHOOSE( CONTROL!$C$32, 8.1533, 8.151) * CHOOSE(CONTROL!$C$15, $D$11, 100%, $F$11)</f>
        <v>8.1532999999999998</v>
      </c>
      <c r="J237" s="4">
        <f>CHOOSE( CONTROL!$C$32, 8.04, 8.0377) * CHOOSE(CONTROL!$C$15, $D$11, 100%, $F$11)</f>
        <v>8.0399999999999991</v>
      </c>
      <c r="K237" s="4"/>
      <c r="L237" s="9">
        <v>30.7165</v>
      </c>
      <c r="M237" s="9">
        <v>12.063700000000001</v>
      </c>
      <c r="N237" s="9">
        <v>4.9444999999999997</v>
      </c>
      <c r="O237" s="9">
        <v>0.37409999999999999</v>
      </c>
      <c r="P237" s="9">
        <v>1.2183999999999999</v>
      </c>
      <c r="Q237" s="9">
        <v>30.773700000000002</v>
      </c>
      <c r="R237" s="9"/>
      <c r="S237" s="11"/>
    </row>
    <row r="238" spans="1:19" ht="15.75">
      <c r="A238" s="13">
        <v>48731</v>
      </c>
      <c r="B238" s="8">
        <f>CHOOSE( CONTROL!$C$32, 8.2545, 8.2521) * CHOOSE(CONTROL!$C$15, $D$11, 100%, $F$11)</f>
        <v>8.2545000000000002</v>
      </c>
      <c r="C238" s="8">
        <f>CHOOSE( CONTROL!$C$32, 8.265, 8.2627) * CHOOSE(CONTROL!$C$15, $D$11, 100%, $F$11)</f>
        <v>8.2650000000000006</v>
      </c>
      <c r="D238" s="8">
        <f>CHOOSE( CONTROL!$C$32, 8.3011, 8.2987) * CHOOSE( CONTROL!$C$15, $D$11, 100%, $F$11)</f>
        <v>8.3010999999999999</v>
      </c>
      <c r="E238" s="12">
        <f>CHOOSE( CONTROL!$C$32, 8.2864, 8.284) * CHOOSE( CONTROL!$C$15, $D$11, 100%, $F$11)</f>
        <v>8.2864000000000004</v>
      </c>
      <c r="F238" s="4">
        <f>CHOOSE( CONTROL!$C$32, 8.9938, 8.9914) * CHOOSE(CONTROL!$C$15, $D$11, 100%, $F$11)</f>
        <v>8.9938000000000002</v>
      </c>
      <c r="G238" s="8">
        <f>CHOOSE( CONTROL!$C$32, 8.0625, 8.0602) * CHOOSE( CONTROL!$C$15, $D$11, 100%, $F$11)</f>
        <v>8.0625</v>
      </c>
      <c r="H238" s="4">
        <f>CHOOSE( CONTROL!$C$32, 9.0274, 9.0251) * CHOOSE(CONTROL!$C$15, $D$11, 100%, $F$11)</f>
        <v>9.0274000000000001</v>
      </c>
      <c r="I238" s="8">
        <f>CHOOSE( CONTROL!$C$32, 8.0249, 8.0226) * CHOOSE(CONTROL!$C$15, $D$11, 100%, $F$11)</f>
        <v>8.0249000000000006</v>
      </c>
      <c r="J238" s="4">
        <f>CHOOSE( CONTROL!$C$32, 7.9108, 7.9085) * CHOOSE(CONTROL!$C$15, $D$11, 100%, $F$11)</f>
        <v>7.9108000000000001</v>
      </c>
      <c r="K238" s="4"/>
      <c r="L238" s="9">
        <v>29.7257</v>
      </c>
      <c r="M238" s="9">
        <v>11.6745</v>
      </c>
      <c r="N238" s="9">
        <v>4.7850000000000001</v>
      </c>
      <c r="O238" s="9">
        <v>0.36199999999999999</v>
      </c>
      <c r="P238" s="9">
        <v>1.1791</v>
      </c>
      <c r="Q238" s="9">
        <v>29.780999999999999</v>
      </c>
      <c r="R238" s="9"/>
      <c r="S238" s="11"/>
    </row>
    <row r="239" spans="1:19" ht="15.75">
      <c r="A239" s="13">
        <v>48761</v>
      </c>
      <c r="B239" s="8">
        <f>CHOOSE( CONTROL!$C$32, 8.6089, 8.6065) * CHOOSE(CONTROL!$C$15, $D$11, 100%, $F$11)</f>
        <v>8.6089000000000002</v>
      </c>
      <c r="C239" s="8">
        <f>CHOOSE( CONTROL!$C$32, 8.6195, 8.6171) * CHOOSE(CONTROL!$C$15, $D$11, 100%, $F$11)</f>
        <v>8.6195000000000004</v>
      </c>
      <c r="D239" s="8">
        <f>CHOOSE( CONTROL!$C$32, 8.6557, 8.6533) * CHOOSE( CONTROL!$C$15, $D$11, 100%, $F$11)</f>
        <v>8.6556999999999995</v>
      </c>
      <c r="E239" s="12">
        <f>CHOOSE( CONTROL!$C$32, 8.641, 8.6386) * CHOOSE( CONTROL!$C$15, $D$11, 100%, $F$11)</f>
        <v>8.641</v>
      </c>
      <c r="F239" s="4">
        <f>CHOOSE( CONTROL!$C$32, 9.3483, 9.3459) * CHOOSE(CONTROL!$C$15, $D$11, 100%, $F$11)</f>
        <v>9.3483000000000001</v>
      </c>
      <c r="G239" s="8">
        <f>CHOOSE( CONTROL!$C$32, 8.4094, 8.407) * CHOOSE( CONTROL!$C$15, $D$11, 100%, $F$11)</f>
        <v>8.4093999999999998</v>
      </c>
      <c r="H239" s="4">
        <f>CHOOSE( CONTROL!$C$32, 9.3739, 9.3716) * CHOOSE(CONTROL!$C$15, $D$11, 100%, $F$11)</f>
        <v>9.3739000000000008</v>
      </c>
      <c r="I239" s="8">
        <f>CHOOSE( CONTROL!$C$32, 8.3664, 8.3641) * CHOOSE(CONTROL!$C$15, $D$11, 100%, $F$11)</f>
        <v>8.3664000000000005</v>
      </c>
      <c r="J239" s="4">
        <f>CHOOSE( CONTROL!$C$32, 8.2511, 8.2488) * CHOOSE(CONTROL!$C$15, $D$11, 100%, $F$11)</f>
        <v>8.2510999999999992</v>
      </c>
      <c r="K239" s="4"/>
      <c r="L239" s="9">
        <v>30.7165</v>
      </c>
      <c r="M239" s="9">
        <v>12.063700000000001</v>
      </c>
      <c r="N239" s="9">
        <v>4.9444999999999997</v>
      </c>
      <c r="O239" s="9">
        <v>0.37409999999999999</v>
      </c>
      <c r="P239" s="9">
        <v>1.2183999999999999</v>
      </c>
      <c r="Q239" s="9">
        <v>30.773700000000002</v>
      </c>
      <c r="R239" s="9"/>
      <c r="S239" s="11"/>
    </row>
    <row r="240" spans="1:19" ht="15.75">
      <c r="A240" s="13">
        <v>48792</v>
      </c>
      <c r="B240" s="8">
        <f>CHOOSE( CONTROL!$C$32, 7.9457, 7.9433) * CHOOSE(CONTROL!$C$15, $D$11, 100%, $F$11)</f>
        <v>7.9457000000000004</v>
      </c>
      <c r="C240" s="8">
        <f>CHOOSE( CONTROL!$C$32, 7.9563, 7.9539) * CHOOSE(CONTROL!$C$15, $D$11, 100%, $F$11)</f>
        <v>7.9562999999999997</v>
      </c>
      <c r="D240" s="8">
        <f>CHOOSE( CONTROL!$C$32, 7.9926, 7.9902) * CHOOSE( CONTROL!$C$15, $D$11, 100%, $F$11)</f>
        <v>7.9926000000000004</v>
      </c>
      <c r="E240" s="12">
        <f>CHOOSE( CONTROL!$C$32, 7.9778, 7.9754) * CHOOSE( CONTROL!$C$15, $D$11, 100%, $F$11)</f>
        <v>7.9778000000000002</v>
      </c>
      <c r="F240" s="4">
        <f>CHOOSE( CONTROL!$C$32, 8.6851, 8.6827) * CHOOSE(CONTROL!$C$15, $D$11, 100%, $F$11)</f>
        <v>8.6851000000000003</v>
      </c>
      <c r="G240" s="8">
        <f>CHOOSE( CONTROL!$C$32, 7.761, 7.7587) * CHOOSE( CONTROL!$C$15, $D$11, 100%, $F$11)</f>
        <v>7.7610000000000001</v>
      </c>
      <c r="H240" s="4">
        <f>CHOOSE( CONTROL!$C$32, 8.7255, 8.7232) * CHOOSE(CONTROL!$C$15, $D$11, 100%, $F$11)</f>
        <v>8.7255000000000003</v>
      </c>
      <c r="I240" s="8">
        <f>CHOOSE( CONTROL!$C$32, 7.7296, 7.7273) * CHOOSE(CONTROL!$C$15, $D$11, 100%, $F$11)</f>
        <v>7.7295999999999996</v>
      </c>
      <c r="J240" s="4">
        <f>CHOOSE( CONTROL!$C$32, 7.6143, 7.6121) * CHOOSE(CONTROL!$C$15, $D$11, 100%, $F$11)</f>
        <v>7.6143000000000001</v>
      </c>
      <c r="K240" s="4"/>
      <c r="L240" s="9">
        <v>30.7165</v>
      </c>
      <c r="M240" s="9">
        <v>12.063700000000001</v>
      </c>
      <c r="N240" s="9">
        <v>4.9444999999999997</v>
      </c>
      <c r="O240" s="9">
        <v>0.37409999999999999</v>
      </c>
      <c r="P240" s="9">
        <v>1.2183999999999999</v>
      </c>
      <c r="Q240" s="9">
        <v>30.773700000000002</v>
      </c>
      <c r="R240" s="9"/>
      <c r="S240" s="11"/>
    </row>
    <row r="241" spans="1:19" ht="15.75">
      <c r="A241" s="13">
        <v>48823</v>
      </c>
      <c r="B241" s="8">
        <f>CHOOSE( CONTROL!$C$32, 7.7796, 7.7772) * CHOOSE(CONTROL!$C$15, $D$11, 100%, $F$11)</f>
        <v>7.7796000000000003</v>
      </c>
      <c r="C241" s="8">
        <f>CHOOSE( CONTROL!$C$32, 7.7902, 7.7878) * CHOOSE(CONTROL!$C$15, $D$11, 100%, $F$11)</f>
        <v>7.7901999999999996</v>
      </c>
      <c r="D241" s="8">
        <f>CHOOSE( CONTROL!$C$32, 7.8264, 7.824) * CHOOSE( CONTROL!$C$15, $D$11, 100%, $F$11)</f>
        <v>7.8263999999999996</v>
      </c>
      <c r="E241" s="12">
        <f>CHOOSE( CONTROL!$C$32, 7.8117, 7.8093) * CHOOSE( CONTROL!$C$15, $D$11, 100%, $F$11)</f>
        <v>7.8117000000000001</v>
      </c>
      <c r="F241" s="4">
        <f>CHOOSE( CONTROL!$C$32, 8.519, 8.5166) * CHOOSE(CONTROL!$C$15, $D$11, 100%, $F$11)</f>
        <v>8.5190000000000001</v>
      </c>
      <c r="G241" s="8">
        <f>CHOOSE( CONTROL!$C$32, 7.5986, 7.5962) * CHOOSE( CONTROL!$C$15, $D$11, 100%, $F$11)</f>
        <v>7.5986000000000002</v>
      </c>
      <c r="H241" s="4">
        <f>CHOOSE( CONTROL!$C$32, 8.5631, 8.5608) * CHOOSE(CONTROL!$C$15, $D$11, 100%, $F$11)</f>
        <v>8.5631000000000004</v>
      </c>
      <c r="I241" s="8">
        <f>CHOOSE( CONTROL!$C$32, 7.5697, 7.5674) * CHOOSE(CONTROL!$C$15, $D$11, 100%, $F$11)</f>
        <v>7.5697000000000001</v>
      </c>
      <c r="J241" s="4">
        <f>CHOOSE( CONTROL!$C$32, 7.4549, 7.4526) * CHOOSE(CONTROL!$C$15, $D$11, 100%, $F$11)</f>
        <v>7.4549000000000003</v>
      </c>
      <c r="K241" s="4"/>
      <c r="L241" s="9">
        <v>29.7257</v>
      </c>
      <c r="M241" s="9">
        <v>11.6745</v>
      </c>
      <c r="N241" s="9">
        <v>4.7850000000000001</v>
      </c>
      <c r="O241" s="9">
        <v>0.36199999999999999</v>
      </c>
      <c r="P241" s="9">
        <v>1.1791</v>
      </c>
      <c r="Q241" s="9">
        <v>29.780999999999999</v>
      </c>
      <c r="R241" s="9"/>
      <c r="S241" s="11"/>
    </row>
    <row r="242" spans="1:19" ht="15.75">
      <c r="A242" s="13">
        <v>48853</v>
      </c>
      <c r="B242" s="8">
        <f>8.1222 * CHOOSE(CONTROL!$C$15, $D$11, 100%, $F$11)</f>
        <v>8.1221999999999994</v>
      </c>
      <c r="C242" s="8">
        <f>8.1329 * CHOOSE(CONTROL!$C$15, $D$11, 100%, $F$11)</f>
        <v>8.1328999999999994</v>
      </c>
      <c r="D242" s="8">
        <f>8.1705 * CHOOSE( CONTROL!$C$15, $D$11, 100%, $F$11)</f>
        <v>8.1705000000000005</v>
      </c>
      <c r="E242" s="12">
        <f>8.1569 * CHOOSE( CONTROL!$C$15, $D$11, 100%, $F$11)</f>
        <v>8.1569000000000003</v>
      </c>
      <c r="F242" s="4">
        <f>8.8614 * CHOOSE(CONTROL!$C$15, $D$11, 100%, $F$11)</f>
        <v>8.8613999999999997</v>
      </c>
      <c r="G242" s="8">
        <f>7.9331 * CHOOSE( CONTROL!$C$15, $D$11, 100%, $F$11)</f>
        <v>7.9330999999999996</v>
      </c>
      <c r="H242" s="4">
        <f>8.8979 * CHOOSE(CONTROL!$C$15, $D$11, 100%, $F$11)</f>
        <v>8.8978999999999999</v>
      </c>
      <c r="I242" s="8">
        <f>7.8994 * CHOOSE(CONTROL!$C$15, $D$11, 100%, $F$11)</f>
        <v>7.8994</v>
      </c>
      <c r="J242" s="4">
        <f>7.7837 * CHOOSE(CONTROL!$C$15, $D$11, 100%, $F$11)</f>
        <v>7.7836999999999996</v>
      </c>
      <c r="K242" s="4"/>
      <c r="L242" s="9">
        <v>31.095300000000002</v>
      </c>
      <c r="M242" s="9">
        <v>12.063700000000001</v>
      </c>
      <c r="N242" s="9">
        <v>4.9444999999999997</v>
      </c>
      <c r="O242" s="9">
        <v>0.37409999999999999</v>
      </c>
      <c r="P242" s="9">
        <v>1.2183999999999999</v>
      </c>
      <c r="Q242" s="9">
        <v>30.773700000000002</v>
      </c>
      <c r="R242" s="9"/>
      <c r="S242" s="11"/>
    </row>
    <row r="243" spans="1:19" ht="15.75">
      <c r="A243" s="13">
        <v>48884</v>
      </c>
      <c r="B243" s="8">
        <f>8.7587 * CHOOSE(CONTROL!$C$15, $D$11, 100%, $F$11)</f>
        <v>8.7586999999999993</v>
      </c>
      <c r="C243" s="8">
        <f>8.7695 * CHOOSE(CONTROL!$C$15, $D$11, 100%, $F$11)</f>
        <v>8.7695000000000007</v>
      </c>
      <c r="D243" s="8">
        <f>8.7522 * CHOOSE( CONTROL!$C$15, $D$11, 100%, $F$11)</f>
        <v>8.7522000000000002</v>
      </c>
      <c r="E243" s="12">
        <f>8.7574 * CHOOSE( CONTROL!$C$15, $D$11, 100%, $F$11)</f>
        <v>8.7574000000000005</v>
      </c>
      <c r="F243" s="4">
        <f>9.4172 * CHOOSE(CONTROL!$C$15, $D$11, 100%, $F$11)</f>
        <v>9.4171999999999993</v>
      </c>
      <c r="G243" s="8">
        <f>8.5621 * CHOOSE( CONTROL!$C$15, $D$11, 100%, $F$11)</f>
        <v>8.5620999999999992</v>
      </c>
      <c r="H243" s="4">
        <f>9.4413 * CHOOSE(CONTROL!$C$15, $D$11, 100%, $F$11)</f>
        <v>9.4413</v>
      </c>
      <c r="I243" s="8">
        <f>8.548 * CHOOSE(CONTROL!$C$15, $D$11, 100%, $F$11)</f>
        <v>8.548</v>
      </c>
      <c r="J243" s="4">
        <f>8.3948 * CHOOSE(CONTROL!$C$15, $D$11, 100%, $F$11)</f>
        <v>8.3948</v>
      </c>
      <c r="K243" s="4"/>
      <c r="L243" s="9">
        <v>28.360600000000002</v>
      </c>
      <c r="M243" s="9">
        <v>11.6745</v>
      </c>
      <c r="N243" s="9">
        <v>4.7850000000000001</v>
      </c>
      <c r="O243" s="9">
        <v>0.36199999999999999</v>
      </c>
      <c r="P243" s="9">
        <v>1.2509999999999999</v>
      </c>
      <c r="Q243" s="9">
        <v>29.780999999999999</v>
      </c>
      <c r="R243" s="9"/>
      <c r="S243" s="11"/>
    </row>
    <row r="244" spans="1:19" ht="15.75">
      <c r="A244" s="13">
        <v>48914</v>
      </c>
      <c r="B244" s="8">
        <f>8.7428 * CHOOSE(CONTROL!$C$15, $D$11, 100%, $F$11)</f>
        <v>8.7428000000000008</v>
      </c>
      <c r="C244" s="8">
        <f>8.7536 * CHOOSE(CONTROL!$C$15, $D$11, 100%, $F$11)</f>
        <v>8.7536000000000005</v>
      </c>
      <c r="D244" s="8">
        <f>8.738 * CHOOSE( CONTROL!$C$15, $D$11, 100%, $F$11)</f>
        <v>8.7379999999999995</v>
      </c>
      <c r="E244" s="12">
        <f>8.7426 * CHOOSE( CONTROL!$C$15, $D$11, 100%, $F$11)</f>
        <v>8.7425999999999995</v>
      </c>
      <c r="F244" s="4">
        <f>9.4013 * CHOOSE(CONTROL!$C$15, $D$11, 100%, $F$11)</f>
        <v>9.4013000000000009</v>
      </c>
      <c r="G244" s="8">
        <f>8.5477 * CHOOSE( CONTROL!$C$15, $D$11, 100%, $F$11)</f>
        <v>8.5477000000000007</v>
      </c>
      <c r="H244" s="4">
        <f>9.4258 * CHOOSE(CONTROL!$C$15, $D$11, 100%, $F$11)</f>
        <v>9.4258000000000006</v>
      </c>
      <c r="I244" s="8">
        <f>8.5379 * CHOOSE(CONTROL!$C$15, $D$11, 100%, $F$11)</f>
        <v>8.5379000000000005</v>
      </c>
      <c r="J244" s="4">
        <f>8.3795 * CHOOSE(CONTROL!$C$15, $D$11, 100%, $F$11)</f>
        <v>8.3795000000000002</v>
      </c>
      <c r="K244" s="4"/>
      <c r="L244" s="9">
        <v>29.306000000000001</v>
      </c>
      <c r="M244" s="9">
        <v>12.063700000000001</v>
      </c>
      <c r="N244" s="9">
        <v>4.9444999999999997</v>
      </c>
      <c r="O244" s="9">
        <v>0.37409999999999999</v>
      </c>
      <c r="P244" s="9">
        <v>1.2927</v>
      </c>
      <c r="Q244" s="9">
        <v>30.773700000000002</v>
      </c>
      <c r="R244" s="9"/>
      <c r="S244" s="11"/>
    </row>
    <row r="245" spans="1:19" ht="15.75">
      <c r="A245" s="13">
        <v>48945</v>
      </c>
      <c r="B245" s="8">
        <f>8.9649 * CHOOSE(CONTROL!$C$15, $D$11, 100%, $F$11)</f>
        <v>8.9649000000000001</v>
      </c>
      <c r="C245" s="8">
        <f>8.9757 * CHOOSE(CONTROL!$C$15, $D$11, 100%, $F$11)</f>
        <v>8.9756999999999998</v>
      </c>
      <c r="D245" s="8">
        <f>8.957 * CHOOSE( CONTROL!$C$15, $D$11, 100%, $F$11)</f>
        <v>8.9570000000000007</v>
      </c>
      <c r="E245" s="12">
        <f>8.9627 * CHOOSE( CONTROL!$C$15, $D$11, 100%, $F$11)</f>
        <v>8.9626999999999999</v>
      </c>
      <c r="F245" s="4">
        <f>9.6234 * CHOOSE(CONTROL!$C$15, $D$11, 100%, $F$11)</f>
        <v>9.6234000000000002</v>
      </c>
      <c r="G245" s="8">
        <f>8.7573 * CHOOSE( CONTROL!$C$15, $D$11, 100%, $F$11)</f>
        <v>8.7573000000000008</v>
      </c>
      <c r="H245" s="4">
        <f>9.6429 * CHOOSE(CONTROL!$C$15, $D$11, 100%, $F$11)</f>
        <v>9.6428999999999991</v>
      </c>
      <c r="I245" s="8">
        <f>8.7161 * CHOOSE(CONTROL!$C$15, $D$11, 100%, $F$11)</f>
        <v>8.7161000000000008</v>
      </c>
      <c r="J245" s="4">
        <f>8.5927 * CHOOSE(CONTROL!$C$15, $D$11, 100%, $F$11)</f>
        <v>8.5927000000000007</v>
      </c>
      <c r="K245" s="4"/>
      <c r="L245" s="9">
        <v>29.306000000000001</v>
      </c>
      <c r="M245" s="9">
        <v>12.063700000000001</v>
      </c>
      <c r="N245" s="9">
        <v>4.9444999999999997</v>
      </c>
      <c r="O245" s="9">
        <v>0.37409999999999999</v>
      </c>
      <c r="P245" s="9">
        <v>1.2927</v>
      </c>
      <c r="Q245" s="9">
        <v>30.7105</v>
      </c>
      <c r="R245" s="9"/>
      <c r="S245" s="11"/>
    </row>
    <row r="246" spans="1:19" ht="15.75">
      <c r="A246" s="13">
        <v>48976</v>
      </c>
      <c r="B246" s="8">
        <f>8.3863 * CHOOSE(CONTROL!$C$15, $D$11, 100%, $F$11)</f>
        <v>8.3863000000000003</v>
      </c>
      <c r="C246" s="8">
        <f>8.3971 * CHOOSE(CONTROL!$C$15, $D$11, 100%, $F$11)</f>
        <v>8.3971</v>
      </c>
      <c r="D246" s="8">
        <f>8.3784 * CHOOSE( CONTROL!$C$15, $D$11, 100%, $F$11)</f>
        <v>8.3783999999999992</v>
      </c>
      <c r="E246" s="12">
        <f>8.3841 * CHOOSE( CONTROL!$C$15, $D$11, 100%, $F$11)</f>
        <v>8.3841000000000001</v>
      </c>
      <c r="F246" s="4">
        <f>9.0448 * CHOOSE(CONTROL!$C$15, $D$11, 100%, $F$11)</f>
        <v>9.0448000000000004</v>
      </c>
      <c r="G246" s="8">
        <f>8.1916 * CHOOSE( CONTROL!$C$15, $D$11, 100%, $F$11)</f>
        <v>8.1915999999999993</v>
      </c>
      <c r="H246" s="4">
        <f>9.0772 * CHOOSE(CONTROL!$C$15, $D$11, 100%, $F$11)</f>
        <v>9.0771999999999995</v>
      </c>
      <c r="I246" s="8">
        <f>8.1601 * CHOOSE(CONTROL!$C$15, $D$11, 100%, $F$11)</f>
        <v>8.1600999999999999</v>
      </c>
      <c r="J246" s="4">
        <f>8.0372 * CHOOSE(CONTROL!$C$15, $D$11, 100%, $F$11)</f>
        <v>8.0372000000000003</v>
      </c>
      <c r="K246" s="4"/>
      <c r="L246" s="9">
        <v>26.469899999999999</v>
      </c>
      <c r="M246" s="9">
        <v>10.8962</v>
      </c>
      <c r="N246" s="9">
        <v>4.4660000000000002</v>
      </c>
      <c r="O246" s="9">
        <v>0.33789999999999998</v>
      </c>
      <c r="P246" s="9">
        <v>1.1676</v>
      </c>
      <c r="Q246" s="9">
        <v>27.738499999999998</v>
      </c>
      <c r="R246" s="9"/>
      <c r="S246" s="11"/>
    </row>
    <row r="247" spans="1:19" ht="15.75">
      <c r="A247" s="13">
        <v>49004</v>
      </c>
      <c r="B247" s="8">
        <f>8.2081 * CHOOSE(CONTROL!$C$15, $D$11, 100%, $F$11)</f>
        <v>8.2081</v>
      </c>
      <c r="C247" s="8">
        <f>8.2189 * CHOOSE(CONTROL!$C$15, $D$11, 100%, $F$11)</f>
        <v>8.2188999999999997</v>
      </c>
      <c r="D247" s="8">
        <f>8.1997 * CHOOSE( CONTROL!$C$15, $D$11, 100%, $F$11)</f>
        <v>8.1997</v>
      </c>
      <c r="E247" s="12">
        <f>8.2056 * CHOOSE( CONTROL!$C$15, $D$11, 100%, $F$11)</f>
        <v>8.2056000000000004</v>
      </c>
      <c r="F247" s="4">
        <f>8.8666 * CHOOSE(CONTROL!$C$15, $D$11, 100%, $F$11)</f>
        <v>8.8666</v>
      </c>
      <c r="G247" s="8">
        <f>8.017 * CHOOSE( CONTROL!$C$15, $D$11, 100%, $F$11)</f>
        <v>8.0169999999999995</v>
      </c>
      <c r="H247" s="4">
        <f>8.903 * CHOOSE(CONTROL!$C$15, $D$11, 100%, $F$11)</f>
        <v>8.9030000000000005</v>
      </c>
      <c r="I247" s="8">
        <f>7.9874 * CHOOSE(CONTROL!$C$15, $D$11, 100%, $F$11)</f>
        <v>7.9874000000000001</v>
      </c>
      <c r="J247" s="4">
        <f>7.8661 * CHOOSE(CONTROL!$C$15, $D$11, 100%, $F$11)</f>
        <v>7.8661000000000003</v>
      </c>
      <c r="K247" s="4"/>
      <c r="L247" s="9">
        <v>29.306000000000001</v>
      </c>
      <c r="M247" s="9">
        <v>12.063700000000001</v>
      </c>
      <c r="N247" s="9">
        <v>4.9444999999999997</v>
      </c>
      <c r="O247" s="9">
        <v>0.37409999999999999</v>
      </c>
      <c r="P247" s="9">
        <v>1.2927</v>
      </c>
      <c r="Q247" s="9">
        <v>30.7105</v>
      </c>
      <c r="R247" s="9"/>
      <c r="S247" s="11"/>
    </row>
    <row r="248" spans="1:19" ht="15.75">
      <c r="A248" s="13">
        <v>49035</v>
      </c>
      <c r="B248" s="8">
        <f>8.3326 * CHOOSE(CONTROL!$C$15, $D$11, 100%, $F$11)</f>
        <v>8.3325999999999993</v>
      </c>
      <c r="C248" s="8">
        <f>8.3434 * CHOOSE(CONTROL!$C$15, $D$11, 100%, $F$11)</f>
        <v>8.3434000000000008</v>
      </c>
      <c r="D248" s="8">
        <f>8.3803 * CHOOSE( CONTROL!$C$15, $D$11, 100%, $F$11)</f>
        <v>8.3803000000000001</v>
      </c>
      <c r="E248" s="12">
        <f>8.3669 * CHOOSE( CONTROL!$C$15, $D$11, 100%, $F$11)</f>
        <v>8.3668999999999993</v>
      </c>
      <c r="F248" s="4">
        <f>9.0718 * CHOOSE(CONTROL!$C$15, $D$11, 100%, $F$11)</f>
        <v>9.0717999999999996</v>
      </c>
      <c r="G248" s="8">
        <f>8.138 * CHOOSE( CONTROL!$C$15, $D$11, 100%, $F$11)</f>
        <v>8.1379999999999999</v>
      </c>
      <c r="H248" s="4">
        <f>9.1037 * CHOOSE(CONTROL!$C$15, $D$11, 100%, $F$11)</f>
        <v>9.1036999999999999</v>
      </c>
      <c r="I248" s="8">
        <f>8.0988 * CHOOSE(CONTROL!$C$15, $D$11, 100%, $F$11)</f>
        <v>8.0988000000000007</v>
      </c>
      <c r="J248" s="4">
        <f>7.9857 * CHOOSE(CONTROL!$C$15, $D$11, 100%, $F$11)</f>
        <v>7.9856999999999996</v>
      </c>
      <c r="K248" s="4"/>
      <c r="L248" s="9">
        <v>30.092199999999998</v>
      </c>
      <c r="M248" s="9">
        <v>11.6745</v>
      </c>
      <c r="N248" s="9">
        <v>4.7850000000000001</v>
      </c>
      <c r="O248" s="9">
        <v>0.36199999999999999</v>
      </c>
      <c r="P248" s="9">
        <v>1.1791</v>
      </c>
      <c r="Q248" s="9">
        <v>29.719799999999999</v>
      </c>
      <c r="R248" s="9"/>
      <c r="S248" s="11"/>
    </row>
    <row r="249" spans="1:19" ht="15.75">
      <c r="A249" s="13">
        <v>49065</v>
      </c>
      <c r="B249" s="8">
        <f>CHOOSE( CONTROL!$C$32, 8.5565, 8.5541) * CHOOSE(CONTROL!$C$15, $D$11, 100%, $F$11)</f>
        <v>8.5564999999999998</v>
      </c>
      <c r="C249" s="8">
        <f>CHOOSE( CONTROL!$C$32, 8.5671, 8.5647) * CHOOSE(CONTROL!$C$15, $D$11, 100%, $F$11)</f>
        <v>8.5670999999999999</v>
      </c>
      <c r="D249" s="8">
        <f>CHOOSE( CONTROL!$C$32, 8.6029, 8.6005) * CHOOSE( CONTROL!$C$15, $D$11, 100%, $F$11)</f>
        <v>8.6029</v>
      </c>
      <c r="E249" s="12">
        <f>CHOOSE( CONTROL!$C$32, 8.5883, 8.5859) * CHOOSE( CONTROL!$C$15, $D$11, 100%, $F$11)</f>
        <v>8.5883000000000003</v>
      </c>
      <c r="F249" s="4">
        <f>CHOOSE( CONTROL!$C$32, 9.2959, 9.2935) * CHOOSE(CONTROL!$C$15, $D$11, 100%, $F$11)</f>
        <v>9.2958999999999996</v>
      </c>
      <c r="G249" s="8">
        <f>CHOOSE( CONTROL!$C$32, 8.3575, 8.3552) * CHOOSE( CONTROL!$C$15, $D$11, 100%, $F$11)</f>
        <v>8.3574999999999999</v>
      </c>
      <c r="H249" s="4">
        <f>CHOOSE( CONTROL!$C$32, 9.3227, 9.3204) * CHOOSE(CONTROL!$C$15, $D$11, 100%, $F$11)</f>
        <v>9.3226999999999993</v>
      </c>
      <c r="I249" s="8">
        <f>CHOOSE( CONTROL!$C$32, 8.3141, 8.3118) * CHOOSE(CONTROL!$C$15, $D$11, 100%, $F$11)</f>
        <v>8.3140999999999998</v>
      </c>
      <c r="J249" s="4">
        <f>CHOOSE( CONTROL!$C$32, 8.2008, 8.1985) * CHOOSE(CONTROL!$C$15, $D$11, 100%, $F$11)</f>
        <v>8.2007999999999992</v>
      </c>
      <c r="K249" s="4"/>
      <c r="L249" s="9">
        <v>30.7165</v>
      </c>
      <c r="M249" s="9">
        <v>12.063700000000001</v>
      </c>
      <c r="N249" s="9">
        <v>4.9444999999999997</v>
      </c>
      <c r="O249" s="9">
        <v>0.37409999999999999</v>
      </c>
      <c r="P249" s="9">
        <v>1.2183999999999999</v>
      </c>
      <c r="Q249" s="9">
        <v>30.7105</v>
      </c>
      <c r="R249" s="9"/>
      <c r="S249" s="11"/>
    </row>
    <row r="250" spans="1:19" ht="15.75">
      <c r="A250" s="13">
        <v>49096</v>
      </c>
      <c r="B250" s="8">
        <f>CHOOSE( CONTROL!$C$32, 8.4192, 8.4168) * CHOOSE(CONTROL!$C$15, $D$11, 100%, $F$11)</f>
        <v>8.4192</v>
      </c>
      <c r="C250" s="8">
        <f>CHOOSE( CONTROL!$C$32, 8.4298, 8.4274) * CHOOSE(CONTROL!$C$15, $D$11, 100%, $F$11)</f>
        <v>8.4298000000000002</v>
      </c>
      <c r="D250" s="8">
        <f>CHOOSE( CONTROL!$C$32, 8.4658, 8.4634) * CHOOSE( CONTROL!$C$15, $D$11, 100%, $F$11)</f>
        <v>8.4657999999999998</v>
      </c>
      <c r="E250" s="12">
        <f>CHOOSE( CONTROL!$C$32, 8.4511, 8.4487) * CHOOSE( CONTROL!$C$15, $D$11, 100%, $F$11)</f>
        <v>8.4511000000000003</v>
      </c>
      <c r="F250" s="4">
        <f>CHOOSE( CONTROL!$C$32, 9.1586, 9.1562) * CHOOSE(CONTROL!$C$15, $D$11, 100%, $F$11)</f>
        <v>9.1585999999999999</v>
      </c>
      <c r="G250" s="8">
        <f>CHOOSE( CONTROL!$C$32, 8.2236, 8.2212) * CHOOSE( CONTROL!$C$15, $D$11, 100%, $F$11)</f>
        <v>8.2235999999999994</v>
      </c>
      <c r="H250" s="4">
        <f>CHOOSE( CONTROL!$C$32, 9.1885, 9.1861) * CHOOSE(CONTROL!$C$15, $D$11, 100%, $F$11)</f>
        <v>9.1884999999999994</v>
      </c>
      <c r="I250" s="8">
        <f>CHOOSE( CONTROL!$C$32, 8.1832, 8.1809) * CHOOSE(CONTROL!$C$15, $D$11, 100%, $F$11)</f>
        <v>8.1831999999999994</v>
      </c>
      <c r="J250" s="4">
        <f>CHOOSE( CONTROL!$C$32, 8.069, 8.0667) * CHOOSE(CONTROL!$C$15, $D$11, 100%, $F$11)</f>
        <v>8.0690000000000008</v>
      </c>
      <c r="K250" s="4"/>
      <c r="L250" s="9">
        <v>29.7257</v>
      </c>
      <c r="M250" s="9">
        <v>11.6745</v>
      </c>
      <c r="N250" s="9">
        <v>4.7850000000000001</v>
      </c>
      <c r="O250" s="9">
        <v>0.36199999999999999</v>
      </c>
      <c r="P250" s="9">
        <v>1.1791</v>
      </c>
      <c r="Q250" s="9">
        <v>29.719799999999999</v>
      </c>
      <c r="R250" s="9"/>
      <c r="S250" s="11"/>
    </row>
    <row r="251" spans="1:19" ht="15.75">
      <c r="A251" s="13">
        <v>49126</v>
      </c>
      <c r="B251" s="8">
        <f>CHOOSE( CONTROL!$C$32, 8.7808, 8.7784) * CHOOSE(CONTROL!$C$15, $D$11, 100%, $F$11)</f>
        <v>8.7807999999999993</v>
      </c>
      <c r="C251" s="8">
        <f>CHOOSE( CONTROL!$C$32, 8.7913, 8.7889) * CHOOSE(CONTROL!$C$15, $D$11, 100%, $F$11)</f>
        <v>8.7912999999999997</v>
      </c>
      <c r="D251" s="8">
        <f>CHOOSE( CONTROL!$C$32, 8.8276, 8.8252) * CHOOSE( CONTROL!$C$15, $D$11, 100%, $F$11)</f>
        <v>8.8276000000000003</v>
      </c>
      <c r="E251" s="12">
        <f>CHOOSE( CONTROL!$C$32, 8.8128, 8.8104) * CHOOSE( CONTROL!$C$15, $D$11, 100%, $F$11)</f>
        <v>8.8127999999999993</v>
      </c>
      <c r="F251" s="4">
        <f>CHOOSE( CONTROL!$C$32, 9.5201, 9.5177) * CHOOSE(CONTROL!$C$15, $D$11, 100%, $F$11)</f>
        <v>9.5200999999999993</v>
      </c>
      <c r="G251" s="8">
        <f>CHOOSE( CONTROL!$C$32, 8.5774, 8.575) * CHOOSE( CONTROL!$C$15, $D$11, 100%, $F$11)</f>
        <v>8.5774000000000008</v>
      </c>
      <c r="H251" s="4">
        <f>CHOOSE( CONTROL!$C$32, 9.5419, 9.5396) * CHOOSE(CONTROL!$C$15, $D$11, 100%, $F$11)</f>
        <v>9.5419</v>
      </c>
      <c r="I251" s="8">
        <f>CHOOSE( CONTROL!$C$32, 8.5315, 8.5292) * CHOOSE(CONTROL!$C$15, $D$11, 100%, $F$11)</f>
        <v>8.5314999999999994</v>
      </c>
      <c r="J251" s="4">
        <f>CHOOSE( CONTROL!$C$32, 8.4161, 8.4138) * CHOOSE(CONTROL!$C$15, $D$11, 100%, $F$11)</f>
        <v>8.4161000000000001</v>
      </c>
      <c r="K251" s="4"/>
      <c r="L251" s="9">
        <v>30.7165</v>
      </c>
      <c r="M251" s="9">
        <v>12.063700000000001</v>
      </c>
      <c r="N251" s="9">
        <v>4.9444999999999997</v>
      </c>
      <c r="O251" s="9">
        <v>0.37409999999999999</v>
      </c>
      <c r="P251" s="9">
        <v>1.2183999999999999</v>
      </c>
      <c r="Q251" s="9">
        <v>30.7105</v>
      </c>
      <c r="R251" s="9"/>
      <c r="S251" s="11"/>
    </row>
    <row r="252" spans="1:19" ht="15.75">
      <c r="A252" s="13">
        <v>49157</v>
      </c>
      <c r="B252" s="8">
        <f>CHOOSE( CONTROL!$C$32, 8.1043, 8.1019) * CHOOSE(CONTROL!$C$15, $D$11, 100%, $F$11)</f>
        <v>8.1043000000000003</v>
      </c>
      <c r="C252" s="8">
        <f>CHOOSE( CONTROL!$C$32, 8.1148, 8.1125) * CHOOSE(CONTROL!$C$15, $D$11, 100%, $F$11)</f>
        <v>8.1148000000000007</v>
      </c>
      <c r="D252" s="8">
        <f>CHOOSE( CONTROL!$C$32, 8.1511, 8.1488) * CHOOSE( CONTROL!$C$15, $D$11, 100%, $F$11)</f>
        <v>8.1510999999999996</v>
      </c>
      <c r="E252" s="12">
        <f>CHOOSE( CONTROL!$C$32, 8.1363, 8.134) * CHOOSE( CONTROL!$C$15, $D$11, 100%, $F$11)</f>
        <v>8.1363000000000003</v>
      </c>
      <c r="F252" s="4">
        <f>CHOOSE( CONTROL!$C$32, 8.8436, 8.8412) * CHOOSE(CONTROL!$C$15, $D$11, 100%, $F$11)</f>
        <v>8.8436000000000003</v>
      </c>
      <c r="G252" s="8">
        <f>CHOOSE( CONTROL!$C$32, 7.9161, 7.9137) * CHOOSE( CONTROL!$C$15, $D$11, 100%, $F$11)</f>
        <v>7.9161000000000001</v>
      </c>
      <c r="H252" s="4">
        <f>CHOOSE( CONTROL!$C$32, 8.8806, 8.8782) * CHOOSE(CONTROL!$C$15, $D$11, 100%, $F$11)</f>
        <v>8.8805999999999994</v>
      </c>
      <c r="I252" s="8">
        <f>CHOOSE( CONTROL!$C$32, 7.8819, 7.8796) * CHOOSE(CONTROL!$C$15, $D$11, 100%, $F$11)</f>
        <v>7.8818999999999999</v>
      </c>
      <c r="J252" s="4">
        <f>CHOOSE( CONTROL!$C$32, 7.7666, 7.7643) * CHOOSE(CONTROL!$C$15, $D$11, 100%, $F$11)</f>
        <v>7.7666000000000004</v>
      </c>
      <c r="K252" s="4"/>
      <c r="L252" s="9">
        <v>30.7165</v>
      </c>
      <c r="M252" s="9">
        <v>12.063700000000001</v>
      </c>
      <c r="N252" s="9">
        <v>4.9444999999999997</v>
      </c>
      <c r="O252" s="9">
        <v>0.37409999999999999</v>
      </c>
      <c r="P252" s="9">
        <v>1.2183999999999999</v>
      </c>
      <c r="Q252" s="9">
        <v>30.7105</v>
      </c>
      <c r="R252" s="9"/>
      <c r="S252" s="11"/>
    </row>
    <row r="253" spans="1:19" ht="15.75">
      <c r="A253" s="13">
        <v>49188</v>
      </c>
      <c r="B253" s="8">
        <f>CHOOSE( CONTROL!$C$32, 7.9349, 7.9325) * CHOOSE(CONTROL!$C$15, $D$11, 100%, $F$11)</f>
        <v>7.9348999999999998</v>
      </c>
      <c r="C253" s="8">
        <f>CHOOSE( CONTROL!$C$32, 7.9455, 7.9431) * CHOOSE(CONTROL!$C$15, $D$11, 100%, $F$11)</f>
        <v>7.9455</v>
      </c>
      <c r="D253" s="8">
        <f>CHOOSE( CONTROL!$C$32, 7.9817, 7.9793) * CHOOSE( CONTROL!$C$15, $D$11, 100%, $F$11)</f>
        <v>7.9817</v>
      </c>
      <c r="E253" s="12">
        <f>CHOOSE( CONTROL!$C$32, 7.967, 7.9646) * CHOOSE( CONTROL!$C$15, $D$11, 100%, $F$11)</f>
        <v>7.9669999999999996</v>
      </c>
      <c r="F253" s="4">
        <f>CHOOSE( CONTROL!$C$32, 8.6742, 8.6719) * CHOOSE(CONTROL!$C$15, $D$11, 100%, $F$11)</f>
        <v>8.6742000000000008</v>
      </c>
      <c r="G253" s="8">
        <f>CHOOSE( CONTROL!$C$32, 7.7503, 7.748) * CHOOSE( CONTROL!$C$15, $D$11, 100%, $F$11)</f>
        <v>7.7503000000000002</v>
      </c>
      <c r="H253" s="4">
        <f>CHOOSE( CONTROL!$C$32, 8.7149, 8.7126) * CHOOSE(CONTROL!$C$15, $D$11, 100%, $F$11)</f>
        <v>8.7149000000000001</v>
      </c>
      <c r="I253" s="8">
        <f>CHOOSE( CONTROL!$C$32, 7.7189, 7.7166) * CHOOSE(CONTROL!$C$15, $D$11, 100%, $F$11)</f>
        <v>7.7188999999999997</v>
      </c>
      <c r="J253" s="4">
        <f>CHOOSE( CONTROL!$C$32, 7.604, 7.6017) * CHOOSE(CONTROL!$C$15, $D$11, 100%, $F$11)</f>
        <v>7.6040000000000001</v>
      </c>
      <c r="K253" s="4"/>
      <c r="L253" s="9">
        <v>29.7257</v>
      </c>
      <c r="M253" s="9">
        <v>11.6745</v>
      </c>
      <c r="N253" s="9">
        <v>4.7850000000000001</v>
      </c>
      <c r="O253" s="9">
        <v>0.36199999999999999</v>
      </c>
      <c r="P253" s="9">
        <v>1.1791</v>
      </c>
      <c r="Q253" s="9">
        <v>29.719799999999999</v>
      </c>
      <c r="R253" s="9"/>
      <c r="S253" s="11"/>
    </row>
    <row r="254" spans="1:19" ht="15.75">
      <c r="A254" s="13">
        <v>49218</v>
      </c>
      <c r="B254" s="8">
        <f>8.2843 * CHOOSE(CONTROL!$C$15, $D$11, 100%, $F$11)</f>
        <v>8.2843</v>
      </c>
      <c r="C254" s="8">
        <f>8.2951 * CHOOSE(CONTROL!$C$15, $D$11, 100%, $F$11)</f>
        <v>8.2950999999999997</v>
      </c>
      <c r="D254" s="8">
        <f>8.3326 * CHOOSE( CONTROL!$C$15, $D$11, 100%, $F$11)</f>
        <v>8.3325999999999993</v>
      </c>
      <c r="E254" s="12">
        <f>8.3191 * CHOOSE( CONTROL!$C$15, $D$11, 100%, $F$11)</f>
        <v>8.3191000000000006</v>
      </c>
      <c r="F254" s="4">
        <f>9.0236 * CHOOSE(CONTROL!$C$15, $D$11, 100%, $F$11)</f>
        <v>9.0236000000000001</v>
      </c>
      <c r="G254" s="8">
        <f>8.0916 * CHOOSE( CONTROL!$C$15, $D$11, 100%, $F$11)</f>
        <v>8.0915999999999997</v>
      </c>
      <c r="H254" s="4">
        <f>9.0565 * CHOOSE(CONTROL!$C$15, $D$11, 100%, $F$11)</f>
        <v>9.0564999999999998</v>
      </c>
      <c r="I254" s="8">
        <f>8.0552 * CHOOSE(CONTROL!$C$15, $D$11, 100%, $F$11)</f>
        <v>8.0551999999999992</v>
      </c>
      <c r="J254" s="4">
        <f>7.9393 * CHOOSE(CONTROL!$C$15, $D$11, 100%, $F$11)</f>
        <v>7.9393000000000002</v>
      </c>
      <c r="K254" s="4"/>
      <c r="L254" s="9">
        <v>31.095300000000002</v>
      </c>
      <c r="M254" s="9">
        <v>12.063700000000001</v>
      </c>
      <c r="N254" s="9">
        <v>4.9444999999999997</v>
      </c>
      <c r="O254" s="9">
        <v>0.37409999999999999</v>
      </c>
      <c r="P254" s="9">
        <v>1.2183999999999999</v>
      </c>
      <c r="Q254" s="9">
        <v>30.7105</v>
      </c>
      <c r="R254" s="9"/>
      <c r="S254" s="11"/>
    </row>
    <row r="255" spans="1:19" ht="15.75">
      <c r="A255" s="13">
        <v>49249</v>
      </c>
      <c r="B255" s="8">
        <f>8.9336 * CHOOSE(CONTROL!$C$15, $D$11, 100%, $F$11)</f>
        <v>8.9336000000000002</v>
      </c>
      <c r="C255" s="8">
        <f>8.9443 * CHOOSE(CONTROL!$C$15, $D$11, 100%, $F$11)</f>
        <v>8.9443000000000001</v>
      </c>
      <c r="D255" s="8">
        <f>8.9271 * CHOOSE( CONTROL!$C$15, $D$11, 100%, $F$11)</f>
        <v>8.9270999999999994</v>
      </c>
      <c r="E255" s="12">
        <f>8.9322 * CHOOSE( CONTROL!$C$15, $D$11, 100%, $F$11)</f>
        <v>8.9321999999999999</v>
      </c>
      <c r="F255" s="4">
        <f>9.5921 * CHOOSE(CONTROL!$C$15, $D$11, 100%, $F$11)</f>
        <v>9.5921000000000003</v>
      </c>
      <c r="G255" s="8">
        <f>8.733 * CHOOSE( CONTROL!$C$15, $D$11, 100%, $F$11)</f>
        <v>8.7330000000000005</v>
      </c>
      <c r="H255" s="4">
        <f>9.6123 * CHOOSE(CONTROL!$C$15, $D$11, 100%, $F$11)</f>
        <v>9.6122999999999994</v>
      </c>
      <c r="I255" s="8">
        <f>8.716 * CHOOSE(CONTROL!$C$15, $D$11, 100%, $F$11)</f>
        <v>8.7159999999999993</v>
      </c>
      <c r="J255" s="4">
        <f>8.5627 * CHOOSE(CONTROL!$C$15, $D$11, 100%, $F$11)</f>
        <v>8.5626999999999995</v>
      </c>
      <c r="K255" s="4"/>
      <c r="L255" s="9">
        <v>28.360600000000002</v>
      </c>
      <c r="M255" s="9">
        <v>11.6745</v>
      </c>
      <c r="N255" s="9">
        <v>4.7850000000000001</v>
      </c>
      <c r="O255" s="9">
        <v>0.36199999999999999</v>
      </c>
      <c r="P255" s="9">
        <v>1.2509999999999999</v>
      </c>
      <c r="Q255" s="9">
        <v>29.719799999999999</v>
      </c>
      <c r="R255" s="9"/>
      <c r="S255" s="11"/>
    </row>
    <row r="256" spans="1:19" ht="15.75">
      <c r="A256" s="13">
        <v>49279</v>
      </c>
      <c r="B256" s="8">
        <f>8.9174 * CHOOSE(CONTROL!$C$15, $D$11, 100%, $F$11)</f>
        <v>8.9174000000000007</v>
      </c>
      <c r="C256" s="8">
        <f>8.9281 * CHOOSE(CONTROL!$C$15, $D$11, 100%, $F$11)</f>
        <v>8.9281000000000006</v>
      </c>
      <c r="D256" s="8">
        <f>8.9125 * CHOOSE( CONTROL!$C$15, $D$11, 100%, $F$11)</f>
        <v>8.9124999999999996</v>
      </c>
      <c r="E256" s="12">
        <f>8.9171 * CHOOSE( CONTROL!$C$15, $D$11, 100%, $F$11)</f>
        <v>8.9170999999999996</v>
      </c>
      <c r="F256" s="4">
        <f>9.5759 * CHOOSE(CONTROL!$C$15, $D$11, 100%, $F$11)</f>
        <v>9.5759000000000007</v>
      </c>
      <c r="G256" s="8">
        <f>8.7184 * CHOOSE( CONTROL!$C$15, $D$11, 100%, $F$11)</f>
        <v>8.7184000000000008</v>
      </c>
      <c r="H256" s="4">
        <f>9.5964 * CHOOSE(CONTROL!$C$15, $D$11, 100%, $F$11)</f>
        <v>9.5963999999999992</v>
      </c>
      <c r="I256" s="8">
        <f>8.7056 * CHOOSE(CONTROL!$C$15, $D$11, 100%, $F$11)</f>
        <v>8.7056000000000004</v>
      </c>
      <c r="J256" s="4">
        <f>8.5471 * CHOOSE(CONTROL!$C$15, $D$11, 100%, $F$11)</f>
        <v>8.5471000000000004</v>
      </c>
      <c r="K256" s="4"/>
      <c r="L256" s="9">
        <v>29.306000000000001</v>
      </c>
      <c r="M256" s="9">
        <v>12.063700000000001</v>
      </c>
      <c r="N256" s="9">
        <v>4.9444999999999997</v>
      </c>
      <c r="O256" s="9">
        <v>0.37409999999999999</v>
      </c>
      <c r="P256" s="9">
        <v>1.2927</v>
      </c>
      <c r="Q256" s="9">
        <v>30.7105</v>
      </c>
      <c r="R256" s="9"/>
      <c r="S256" s="11"/>
    </row>
    <row r="257" spans="1:19" ht="15.75">
      <c r="A257" s="13">
        <v>49310</v>
      </c>
      <c r="B257" s="8">
        <f>9.1439 * CHOOSE(CONTROL!$C$15, $D$11, 100%, $F$11)</f>
        <v>9.1439000000000004</v>
      </c>
      <c r="C257" s="8">
        <f>9.1547 * CHOOSE(CONTROL!$C$15, $D$11, 100%, $F$11)</f>
        <v>9.1547000000000001</v>
      </c>
      <c r="D257" s="8">
        <f>9.136 * CHOOSE( CONTROL!$C$15, $D$11, 100%, $F$11)</f>
        <v>9.1359999999999992</v>
      </c>
      <c r="E257" s="12">
        <f>9.1417 * CHOOSE( CONTROL!$C$15, $D$11, 100%, $F$11)</f>
        <v>9.1417000000000002</v>
      </c>
      <c r="F257" s="4">
        <f>9.8024 * CHOOSE(CONTROL!$C$15, $D$11, 100%, $F$11)</f>
        <v>9.8024000000000004</v>
      </c>
      <c r="G257" s="8">
        <f>8.9323 * CHOOSE( CONTROL!$C$15, $D$11, 100%, $F$11)</f>
        <v>8.9322999999999997</v>
      </c>
      <c r="H257" s="4">
        <f>9.8179 * CHOOSE(CONTROL!$C$15, $D$11, 100%, $F$11)</f>
        <v>9.8178999999999998</v>
      </c>
      <c r="I257" s="8">
        <f>8.8881 * CHOOSE(CONTROL!$C$15, $D$11, 100%, $F$11)</f>
        <v>8.8880999999999997</v>
      </c>
      <c r="J257" s="4">
        <f>8.7646 * CHOOSE(CONTROL!$C$15, $D$11, 100%, $F$11)</f>
        <v>8.7645999999999997</v>
      </c>
      <c r="K257" s="4"/>
      <c r="L257" s="9">
        <v>29.306000000000001</v>
      </c>
      <c r="M257" s="9">
        <v>12.063700000000001</v>
      </c>
      <c r="N257" s="9">
        <v>4.9444999999999997</v>
      </c>
      <c r="O257" s="9">
        <v>0.37409999999999999</v>
      </c>
      <c r="P257" s="9">
        <v>1.2927</v>
      </c>
      <c r="Q257" s="9">
        <v>30.645399999999999</v>
      </c>
      <c r="R257" s="9"/>
      <c r="S257" s="11"/>
    </row>
    <row r="258" spans="1:19" ht="15.75">
      <c r="A258" s="13">
        <v>49341</v>
      </c>
      <c r="B258" s="8">
        <f>8.5537 * CHOOSE(CONTROL!$C$15, $D$11, 100%, $F$11)</f>
        <v>8.5536999999999992</v>
      </c>
      <c r="C258" s="8">
        <f>8.5645 * CHOOSE(CONTROL!$C$15, $D$11, 100%, $F$11)</f>
        <v>8.5645000000000007</v>
      </c>
      <c r="D258" s="8">
        <f>8.5458 * CHOOSE( CONTROL!$C$15, $D$11, 100%, $F$11)</f>
        <v>8.5457999999999998</v>
      </c>
      <c r="E258" s="12">
        <f>8.5515 * CHOOSE( CONTROL!$C$15, $D$11, 100%, $F$11)</f>
        <v>8.5515000000000008</v>
      </c>
      <c r="F258" s="4">
        <f>9.2122 * CHOOSE(CONTROL!$C$15, $D$11, 100%, $F$11)</f>
        <v>9.2121999999999993</v>
      </c>
      <c r="G258" s="8">
        <f>8.3553 * CHOOSE( CONTROL!$C$15, $D$11, 100%, $F$11)</f>
        <v>8.3552999999999997</v>
      </c>
      <c r="H258" s="4">
        <f>9.2409 * CHOOSE(CONTROL!$C$15, $D$11, 100%, $F$11)</f>
        <v>9.2408999999999999</v>
      </c>
      <c r="I258" s="8">
        <f>8.3209 * CHOOSE(CONTROL!$C$15, $D$11, 100%, $F$11)</f>
        <v>8.3209</v>
      </c>
      <c r="J258" s="4">
        <f>8.198 * CHOOSE(CONTROL!$C$15, $D$11, 100%, $F$11)</f>
        <v>8.1980000000000004</v>
      </c>
      <c r="K258" s="4"/>
      <c r="L258" s="9">
        <v>26.469899999999999</v>
      </c>
      <c r="M258" s="9">
        <v>10.8962</v>
      </c>
      <c r="N258" s="9">
        <v>4.4660000000000002</v>
      </c>
      <c r="O258" s="9">
        <v>0.33789999999999998</v>
      </c>
      <c r="P258" s="9">
        <v>1.1676</v>
      </c>
      <c r="Q258" s="9">
        <v>27.6797</v>
      </c>
      <c r="R258" s="9"/>
      <c r="S258" s="11"/>
    </row>
    <row r="259" spans="1:19" ht="15.75">
      <c r="A259" s="13">
        <v>49369</v>
      </c>
      <c r="B259" s="8">
        <f>8.372 * CHOOSE(CONTROL!$C$15, $D$11, 100%, $F$11)</f>
        <v>8.3719999999999999</v>
      </c>
      <c r="C259" s="8">
        <f>8.3827 * CHOOSE(CONTROL!$C$15, $D$11, 100%, $F$11)</f>
        <v>8.3826999999999998</v>
      </c>
      <c r="D259" s="8">
        <f>8.3635 * CHOOSE( CONTROL!$C$15, $D$11, 100%, $F$11)</f>
        <v>8.3635000000000002</v>
      </c>
      <c r="E259" s="12">
        <f>8.3694 * CHOOSE( CONTROL!$C$15, $D$11, 100%, $F$11)</f>
        <v>8.3694000000000006</v>
      </c>
      <c r="F259" s="4">
        <f>9.0305 * CHOOSE(CONTROL!$C$15, $D$11, 100%, $F$11)</f>
        <v>9.0305</v>
      </c>
      <c r="G259" s="8">
        <f>8.1772 * CHOOSE( CONTROL!$C$15, $D$11, 100%, $F$11)</f>
        <v>8.1771999999999991</v>
      </c>
      <c r="H259" s="4">
        <f>9.0632 * CHOOSE(CONTROL!$C$15, $D$11, 100%, $F$11)</f>
        <v>9.0632000000000001</v>
      </c>
      <c r="I259" s="8">
        <f>8.1448 * CHOOSE(CONTROL!$C$15, $D$11, 100%, $F$11)</f>
        <v>8.1448</v>
      </c>
      <c r="J259" s="4">
        <f>8.0235 * CHOOSE(CONTROL!$C$15, $D$11, 100%, $F$11)</f>
        <v>8.0235000000000003</v>
      </c>
      <c r="K259" s="4"/>
      <c r="L259" s="9">
        <v>29.306000000000001</v>
      </c>
      <c r="M259" s="9">
        <v>12.063700000000001</v>
      </c>
      <c r="N259" s="9">
        <v>4.9444999999999997</v>
      </c>
      <c r="O259" s="9">
        <v>0.37409999999999999</v>
      </c>
      <c r="P259" s="9">
        <v>1.2927</v>
      </c>
      <c r="Q259" s="9">
        <v>30.645399999999999</v>
      </c>
      <c r="R259" s="9"/>
      <c r="S259" s="11"/>
    </row>
    <row r="260" spans="1:19" ht="15.75">
      <c r="A260" s="13">
        <v>49400</v>
      </c>
      <c r="B260" s="8">
        <f>8.4989 * CHOOSE(CONTROL!$C$15, $D$11, 100%, $F$11)</f>
        <v>8.4989000000000008</v>
      </c>
      <c r="C260" s="8">
        <f>8.5097 * CHOOSE(CONTROL!$C$15, $D$11, 100%, $F$11)</f>
        <v>8.5097000000000005</v>
      </c>
      <c r="D260" s="8">
        <f>8.5467 * CHOOSE( CONTROL!$C$15, $D$11, 100%, $F$11)</f>
        <v>8.5466999999999995</v>
      </c>
      <c r="E260" s="12">
        <f>8.5332 * CHOOSE( CONTROL!$C$15, $D$11, 100%, $F$11)</f>
        <v>8.5332000000000008</v>
      </c>
      <c r="F260" s="4">
        <f>9.2382 * CHOOSE(CONTROL!$C$15, $D$11, 100%, $F$11)</f>
        <v>9.2382000000000009</v>
      </c>
      <c r="G260" s="8">
        <f>8.3006 * CHOOSE( CONTROL!$C$15, $D$11, 100%, $F$11)</f>
        <v>8.3005999999999993</v>
      </c>
      <c r="H260" s="4">
        <f>9.2663 * CHOOSE(CONTROL!$C$15, $D$11, 100%, $F$11)</f>
        <v>9.2662999999999993</v>
      </c>
      <c r="I260" s="8">
        <f>8.2586 * CHOOSE(CONTROL!$C$15, $D$11, 100%, $F$11)</f>
        <v>8.2585999999999995</v>
      </c>
      <c r="J260" s="4">
        <f>8.1454 * CHOOSE(CONTROL!$C$15, $D$11, 100%, $F$11)</f>
        <v>8.1454000000000004</v>
      </c>
      <c r="K260" s="4"/>
      <c r="L260" s="9">
        <v>30.092199999999998</v>
      </c>
      <c r="M260" s="9">
        <v>11.6745</v>
      </c>
      <c r="N260" s="9">
        <v>4.7850000000000001</v>
      </c>
      <c r="O260" s="9">
        <v>0.36199999999999999</v>
      </c>
      <c r="P260" s="9">
        <v>1.1791</v>
      </c>
      <c r="Q260" s="9">
        <v>29.6568</v>
      </c>
      <c r="R260" s="9"/>
      <c r="S260" s="11"/>
    </row>
    <row r="261" spans="1:19" ht="15.75">
      <c r="A261" s="13">
        <v>49430</v>
      </c>
      <c r="B261" s="8">
        <f>CHOOSE( CONTROL!$C$32, 8.7273, 8.7249) * CHOOSE(CONTROL!$C$15, $D$11, 100%, $F$11)</f>
        <v>8.7272999999999996</v>
      </c>
      <c r="C261" s="8">
        <f>CHOOSE( CONTROL!$C$32, 8.7379, 8.7355) * CHOOSE(CONTROL!$C$15, $D$11, 100%, $F$11)</f>
        <v>8.7378999999999998</v>
      </c>
      <c r="D261" s="8">
        <f>CHOOSE( CONTROL!$C$32, 8.7737, 8.7713) * CHOOSE( CONTROL!$C$15, $D$11, 100%, $F$11)</f>
        <v>8.7736999999999998</v>
      </c>
      <c r="E261" s="12">
        <f>CHOOSE( CONTROL!$C$32, 8.7591, 8.7567) * CHOOSE( CONTROL!$C$15, $D$11, 100%, $F$11)</f>
        <v>8.7591000000000001</v>
      </c>
      <c r="F261" s="4">
        <f>CHOOSE( CONTROL!$C$32, 9.4667, 9.4643) * CHOOSE(CONTROL!$C$15, $D$11, 100%, $F$11)</f>
        <v>9.4666999999999994</v>
      </c>
      <c r="G261" s="8">
        <f>CHOOSE( CONTROL!$C$32, 8.5245, 8.5221) * CHOOSE( CONTROL!$C$15, $D$11, 100%, $F$11)</f>
        <v>8.5244999999999997</v>
      </c>
      <c r="H261" s="4">
        <f>CHOOSE( CONTROL!$C$32, 9.4897, 9.4873) * CHOOSE(CONTROL!$C$15, $D$11, 100%, $F$11)</f>
        <v>9.4896999999999991</v>
      </c>
      <c r="I261" s="8">
        <f>CHOOSE( CONTROL!$C$32, 8.4782, 8.4759) * CHOOSE(CONTROL!$C$15, $D$11, 100%, $F$11)</f>
        <v>8.4781999999999993</v>
      </c>
      <c r="J261" s="4">
        <f>CHOOSE( CONTROL!$C$32, 8.3647, 8.3624) * CHOOSE(CONTROL!$C$15, $D$11, 100%, $F$11)</f>
        <v>8.3646999999999991</v>
      </c>
      <c r="K261" s="4"/>
      <c r="L261" s="9">
        <v>30.7165</v>
      </c>
      <c r="M261" s="9">
        <v>12.063700000000001</v>
      </c>
      <c r="N261" s="9">
        <v>4.9444999999999997</v>
      </c>
      <c r="O261" s="9">
        <v>0.37409999999999999</v>
      </c>
      <c r="P261" s="9">
        <v>1.2183999999999999</v>
      </c>
      <c r="Q261" s="9">
        <v>30.645399999999999</v>
      </c>
      <c r="R261" s="9"/>
      <c r="S261" s="11"/>
    </row>
    <row r="262" spans="1:19" ht="15.75">
      <c r="A262" s="14">
        <v>49461</v>
      </c>
      <c r="B262" s="8">
        <f>CHOOSE( CONTROL!$C$32, 8.5873, 8.5849) * CHOOSE(CONTROL!$C$15, $D$11, 100%, $F$11)</f>
        <v>8.5873000000000008</v>
      </c>
      <c r="C262" s="8">
        <f>CHOOSE( CONTROL!$C$32, 8.5978, 8.5954) * CHOOSE(CONTROL!$C$15, $D$11, 100%, $F$11)</f>
        <v>8.5977999999999994</v>
      </c>
      <c r="D262" s="8">
        <f>CHOOSE( CONTROL!$C$32, 8.6339, 8.6315) * CHOOSE( CONTROL!$C$15, $D$11, 100%, $F$11)</f>
        <v>8.6339000000000006</v>
      </c>
      <c r="E262" s="12">
        <f>CHOOSE( CONTROL!$C$32, 8.6192, 8.6168) * CHOOSE( CONTROL!$C$15, $D$11, 100%, $F$11)</f>
        <v>8.6191999999999993</v>
      </c>
      <c r="F262" s="4">
        <f>CHOOSE( CONTROL!$C$32, 9.3266, 9.3242) * CHOOSE(CONTROL!$C$15, $D$11, 100%, $F$11)</f>
        <v>9.3265999999999991</v>
      </c>
      <c r="G262" s="8">
        <f>CHOOSE( CONTROL!$C$32, 8.3879, 8.3855) * CHOOSE( CONTROL!$C$15, $D$11, 100%, $F$11)</f>
        <v>8.3879000000000001</v>
      </c>
      <c r="H262" s="4">
        <f>CHOOSE( CONTROL!$C$32, 9.3528, 9.3504) * CHOOSE(CONTROL!$C$15, $D$11, 100%, $F$11)</f>
        <v>9.3528000000000002</v>
      </c>
      <c r="I262" s="8">
        <f>CHOOSE( CONTROL!$C$32, 8.3446, 8.3423) * CHOOSE(CONTROL!$C$15, $D$11, 100%, $F$11)</f>
        <v>8.3445999999999998</v>
      </c>
      <c r="J262" s="4">
        <f>CHOOSE( CONTROL!$C$32, 8.2303, 8.228) * CHOOSE(CONTROL!$C$15, $D$11, 100%, $F$11)</f>
        <v>8.2302999999999997</v>
      </c>
      <c r="K262" s="4"/>
      <c r="L262" s="9">
        <v>29.7257</v>
      </c>
      <c r="M262" s="9">
        <v>11.6745</v>
      </c>
      <c r="N262" s="9">
        <v>4.7850000000000001</v>
      </c>
      <c r="O262" s="9">
        <v>0.36199999999999999</v>
      </c>
      <c r="P262" s="9">
        <v>1.1791</v>
      </c>
      <c r="Q262" s="9">
        <v>29.6568</v>
      </c>
      <c r="R262" s="9"/>
      <c r="S262" s="11"/>
    </row>
    <row r="263" spans="1:19" ht="15.75">
      <c r="A263" s="14">
        <v>49491</v>
      </c>
      <c r="B263" s="8">
        <f>CHOOSE( CONTROL!$C$32, 8.956, 8.9536) * CHOOSE(CONTROL!$C$15, $D$11, 100%, $F$11)</f>
        <v>8.9559999999999995</v>
      </c>
      <c r="C263" s="8">
        <f>CHOOSE( CONTROL!$C$32, 8.9666, 8.9642) * CHOOSE(CONTROL!$C$15, $D$11, 100%, $F$11)</f>
        <v>8.9665999999999997</v>
      </c>
      <c r="D263" s="8">
        <f>CHOOSE( CONTROL!$C$32, 9.0028, 9.0004) * CHOOSE( CONTROL!$C$15, $D$11, 100%, $F$11)</f>
        <v>9.0028000000000006</v>
      </c>
      <c r="E263" s="12">
        <f>CHOOSE( CONTROL!$C$32, 8.9881, 8.9857) * CHOOSE( CONTROL!$C$15, $D$11, 100%, $F$11)</f>
        <v>8.9880999999999993</v>
      </c>
      <c r="F263" s="4">
        <f>CHOOSE( CONTROL!$C$32, 9.6954, 9.693) * CHOOSE(CONTROL!$C$15, $D$11, 100%, $F$11)</f>
        <v>9.6953999999999994</v>
      </c>
      <c r="G263" s="8">
        <f>CHOOSE( CONTROL!$C$32, 8.7487, 8.7464) * CHOOSE( CONTROL!$C$15, $D$11, 100%, $F$11)</f>
        <v>8.7486999999999995</v>
      </c>
      <c r="H263" s="4">
        <f>CHOOSE( CONTROL!$C$32, 9.7133, 9.711) * CHOOSE(CONTROL!$C$15, $D$11, 100%, $F$11)</f>
        <v>9.7133000000000003</v>
      </c>
      <c r="I263" s="8">
        <f>CHOOSE( CONTROL!$C$32, 8.6998, 8.6975) * CHOOSE(CONTROL!$C$15, $D$11, 100%, $F$11)</f>
        <v>8.6997999999999998</v>
      </c>
      <c r="J263" s="4">
        <f>CHOOSE( CONTROL!$C$32, 8.5843, 8.582) * CHOOSE(CONTROL!$C$15, $D$11, 100%, $F$11)</f>
        <v>8.5843000000000007</v>
      </c>
      <c r="K263" s="4"/>
      <c r="L263" s="9">
        <v>30.7165</v>
      </c>
      <c r="M263" s="9">
        <v>12.063700000000001</v>
      </c>
      <c r="N263" s="9">
        <v>4.9444999999999997</v>
      </c>
      <c r="O263" s="9">
        <v>0.37409999999999999</v>
      </c>
      <c r="P263" s="9">
        <v>1.2183999999999999</v>
      </c>
      <c r="Q263" s="9">
        <v>30.645399999999999</v>
      </c>
      <c r="R263" s="9"/>
      <c r="S263" s="11"/>
    </row>
    <row r="264" spans="1:19" ht="15.75">
      <c r="A264" s="14">
        <v>49522</v>
      </c>
      <c r="B264" s="8">
        <f>CHOOSE( CONTROL!$C$32, 8.266, 8.2636) * CHOOSE(CONTROL!$C$15, $D$11, 100%, $F$11)</f>
        <v>8.266</v>
      </c>
      <c r="C264" s="8">
        <f>CHOOSE( CONTROL!$C$32, 8.2766, 8.2742) * CHOOSE(CONTROL!$C$15, $D$11, 100%, $F$11)</f>
        <v>8.2766000000000002</v>
      </c>
      <c r="D264" s="8">
        <f>CHOOSE( CONTROL!$C$32, 8.3129, 8.3105) * CHOOSE( CONTROL!$C$15, $D$11, 100%, $F$11)</f>
        <v>8.3129000000000008</v>
      </c>
      <c r="E264" s="12">
        <f>CHOOSE( CONTROL!$C$32, 8.2981, 8.2957) * CHOOSE( CONTROL!$C$15, $D$11, 100%, $F$11)</f>
        <v>8.2980999999999998</v>
      </c>
      <c r="F264" s="4">
        <f>CHOOSE( CONTROL!$C$32, 9.0054, 9.003) * CHOOSE(CONTROL!$C$15, $D$11, 100%, $F$11)</f>
        <v>9.0053999999999998</v>
      </c>
      <c r="G264" s="8">
        <f>CHOOSE( CONTROL!$C$32, 8.0742, 8.0719) * CHOOSE( CONTROL!$C$15, $D$11, 100%, $F$11)</f>
        <v>8.0741999999999994</v>
      </c>
      <c r="H264" s="4">
        <f>CHOOSE( CONTROL!$C$32, 9.0387, 9.0363) * CHOOSE(CONTROL!$C$15, $D$11, 100%, $F$11)</f>
        <v>9.0387000000000004</v>
      </c>
      <c r="I264" s="8">
        <f>CHOOSE( CONTROL!$C$32, 8.0372, 8.0349) * CHOOSE(CONTROL!$C$15, $D$11, 100%, $F$11)</f>
        <v>8.0372000000000003</v>
      </c>
      <c r="J264" s="4">
        <f>CHOOSE( CONTROL!$C$32, 7.9219, 7.9196) * CHOOSE(CONTROL!$C$15, $D$11, 100%, $F$11)</f>
        <v>7.9218999999999999</v>
      </c>
      <c r="K264" s="4"/>
      <c r="L264" s="9">
        <v>30.7165</v>
      </c>
      <c r="M264" s="9">
        <v>12.063700000000001</v>
      </c>
      <c r="N264" s="9">
        <v>4.9444999999999997</v>
      </c>
      <c r="O264" s="9">
        <v>0.37409999999999999</v>
      </c>
      <c r="P264" s="9">
        <v>1.2183999999999999</v>
      </c>
      <c r="Q264" s="9">
        <v>30.645399999999999</v>
      </c>
      <c r="R264" s="9"/>
      <c r="S264" s="11"/>
    </row>
    <row r="265" spans="1:19" ht="15.75">
      <c r="A265" s="14">
        <v>49553</v>
      </c>
      <c r="B265" s="8">
        <f>CHOOSE( CONTROL!$C$32, 8.0932, 8.0908) * CHOOSE(CONTROL!$C$15, $D$11, 100%, $F$11)</f>
        <v>8.0931999999999995</v>
      </c>
      <c r="C265" s="8">
        <f>CHOOSE( CONTROL!$C$32, 8.1038, 8.1014) * CHOOSE(CONTROL!$C$15, $D$11, 100%, $F$11)</f>
        <v>8.1037999999999997</v>
      </c>
      <c r="D265" s="8">
        <f>CHOOSE( CONTROL!$C$32, 8.14, 8.1376) * CHOOSE( CONTROL!$C$15, $D$11, 100%, $F$11)</f>
        <v>8.14</v>
      </c>
      <c r="E265" s="12">
        <f>CHOOSE( CONTROL!$C$32, 8.1253, 8.1229) * CHOOSE( CONTROL!$C$15, $D$11, 100%, $F$11)</f>
        <v>8.1252999999999993</v>
      </c>
      <c r="F265" s="4">
        <f>CHOOSE( CONTROL!$C$32, 8.8326, 8.8302) * CHOOSE(CONTROL!$C$15, $D$11, 100%, $F$11)</f>
        <v>8.8325999999999993</v>
      </c>
      <c r="G265" s="8">
        <f>CHOOSE( CONTROL!$C$32, 7.9052, 7.9028) * CHOOSE( CONTROL!$C$15, $D$11, 100%, $F$11)</f>
        <v>7.9051999999999998</v>
      </c>
      <c r="H265" s="4">
        <f>CHOOSE( CONTROL!$C$32, 8.8697, 8.8674) * CHOOSE(CONTROL!$C$15, $D$11, 100%, $F$11)</f>
        <v>8.8696999999999999</v>
      </c>
      <c r="I265" s="8">
        <f>CHOOSE( CONTROL!$C$32, 7.871, 7.8687) * CHOOSE(CONTROL!$C$15, $D$11, 100%, $F$11)</f>
        <v>7.8710000000000004</v>
      </c>
      <c r="J265" s="4">
        <f>CHOOSE( CONTROL!$C$32, 7.756, 7.7537) * CHOOSE(CONTROL!$C$15, $D$11, 100%, $F$11)</f>
        <v>7.7560000000000002</v>
      </c>
      <c r="K265" s="4"/>
      <c r="L265" s="9">
        <v>29.7257</v>
      </c>
      <c r="M265" s="9">
        <v>11.6745</v>
      </c>
      <c r="N265" s="9">
        <v>4.7850000000000001</v>
      </c>
      <c r="O265" s="9">
        <v>0.36199999999999999</v>
      </c>
      <c r="P265" s="9">
        <v>1.1791</v>
      </c>
      <c r="Q265" s="9">
        <v>29.6568</v>
      </c>
      <c r="R265" s="9"/>
      <c r="S265" s="11"/>
    </row>
    <row r="266" spans="1:19" ht="15.75">
      <c r="A266" s="14">
        <v>49583</v>
      </c>
      <c r="B266" s="8">
        <f>8.4497 * CHOOSE(CONTROL!$C$15, $D$11, 100%, $F$11)</f>
        <v>8.4497</v>
      </c>
      <c r="C266" s="8">
        <f>8.4605 * CHOOSE(CONTROL!$C$15, $D$11, 100%, $F$11)</f>
        <v>8.4604999999999997</v>
      </c>
      <c r="D266" s="8">
        <f>8.498 * CHOOSE( CONTROL!$C$15, $D$11, 100%, $F$11)</f>
        <v>8.4979999999999993</v>
      </c>
      <c r="E266" s="12">
        <f>8.4845 * CHOOSE( CONTROL!$C$15, $D$11, 100%, $F$11)</f>
        <v>8.4845000000000006</v>
      </c>
      <c r="F266" s="4">
        <f>9.189 * CHOOSE(CONTROL!$C$15, $D$11, 100%, $F$11)</f>
        <v>9.1890000000000001</v>
      </c>
      <c r="G266" s="8">
        <f>8.2533 * CHOOSE( CONTROL!$C$15, $D$11, 100%, $F$11)</f>
        <v>8.2532999999999994</v>
      </c>
      <c r="H266" s="4">
        <f>9.2182 * CHOOSE(CONTROL!$C$15, $D$11, 100%, $F$11)</f>
        <v>9.2181999999999995</v>
      </c>
      <c r="I266" s="8">
        <f>8.214 * CHOOSE(CONTROL!$C$15, $D$11, 100%, $F$11)</f>
        <v>8.2140000000000004</v>
      </c>
      <c r="J266" s="4">
        <f>8.0981 * CHOOSE(CONTROL!$C$15, $D$11, 100%, $F$11)</f>
        <v>8.0981000000000005</v>
      </c>
      <c r="K266" s="4"/>
      <c r="L266" s="9">
        <v>31.095300000000002</v>
      </c>
      <c r="M266" s="9">
        <v>12.063700000000001</v>
      </c>
      <c r="N266" s="9">
        <v>4.9444999999999997</v>
      </c>
      <c r="O266" s="9">
        <v>0.37409999999999999</v>
      </c>
      <c r="P266" s="9">
        <v>1.2183999999999999</v>
      </c>
      <c r="Q266" s="9">
        <v>30.645399999999999</v>
      </c>
      <c r="R266" s="9"/>
      <c r="S266" s="11"/>
    </row>
    <row r="267" spans="1:19" ht="15.75">
      <c r="A267" s="14">
        <v>49614</v>
      </c>
      <c r="B267" s="8">
        <f>9.1119 * CHOOSE(CONTROL!$C$15, $D$11, 100%, $F$11)</f>
        <v>9.1119000000000003</v>
      </c>
      <c r="C267" s="8">
        <f>9.1227 * CHOOSE(CONTROL!$C$15, $D$11, 100%, $F$11)</f>
        <v>9.1227</v>
      </c>
      <c r="D267" s="8">
        <f>9.1054 * CHOOSE( CONTROL!$C$15, $D$11, 100%, $F$11)</f>
        <v>9.1053999999999995</v>
      </c>
      <c r="E267" s="12">
        <f>9.1106 * CHOOSE( CONTROL!$C$15, $D$11, 100%, $F$11)</f>
        <v>9.1105999999999998</v>
      </c>
      <c r="F267" s="4">
        <f>9.7704 * CHOOSE(CONTROL!$C$15, $D$11, 100%, $F$11)</f>
        <v>9.7704000000000004</v>
      </c>
      <c r="G267" s="8">
        <f>8.9074 * CHOOSE( CONTROL!$C$15, $D$11, 100%, $F$11)</f>
        <v>8.9074000000000009</v>
      </c>
      <c r="H267" s="4">
        <f>9.7867 * CHOOSE(CONTROL!$C$15, $D$11, 100%, $F$11)</f>
        <v>9.7866999999999997</v>
      </c>
      <c r="I267" s="8">
        <f>8.8873 * CHOOSE(CONTROL!$C$15, $D$11, 100%, $F$11)</f>
        <v>8.8872999999999998</v>
      </c>
      <c r="J267" s="4">
        <f>8.7339 * CHOOSE(CONTROL!$C$15, $D$11, 100%, $F$11)</f>
        <v>8.7339000000000002</v>
      </c>
      <c r="K267" s="4"/>
      <c r="L267" s="9">
        <v>28.360600000000002</v>
      </c>
      <c r="M267" s="9">
        <v>11.6745</v>
      </c>
      <c r="N267" s="9">
        <v>4.7850000000000001</v>
      </c>
      <c r="O267" s="9">
        <v>0.36199999999999999</v>
      </c>
      <c r="P267" s="9">
        <v>1.2509999999999999</v>
      </c>
      <c r="Q267" s="9">
        <v>29.6568</v>
      </c>
      <c r="R267" s="9"/>
      <c r="S267" s="11"/>
    </row>
    <row r="268" spans="1:19" ht="15.75">
      <c r="A268" s="14">
        <v>49644</v>
      </c>
      <c r="B268" s="8">
        <f>9.0954 * CHOOSE(CONTROL!$C$15, $D$11, 100%, $F$11)</f>
        <v>9.0953999999999997</v>
      </c>
      <c r="C268" s="8">
        <f>9.1062 * CHOOSE(CONTROL!$C$15, $D$11, 100%, $F$11)</f>
        <v>9.1061999999999994</v>
      </c>
      <c r="D268" s="8">
        <f>9.0906 * CHOOSE( CONTROL!$C$15, $D$11, 100%, $F$11)</f>
        <v>9.0906000000000002</v>
      </c>
      <c r="E268" s="12">
        <f>9.0952 * CHOOSE( CONTROL!$C$15, $D$11, 100%, $F$11)</f>
        <v>9.0952000000000002</v>
      </c>
      <c r="F268" s="4">
        <f>9.7539 * CHOOSE(CONTROL!$C$15, $D$11, 100%, $F$11)</f>
        <v>9.7538999999999998</v>
      </c>
      <c r="G268" s="8">
        <f>8.8925 * CHOOSE( CONTROL!$C$15, $D$11, 100%, $F$11)</f>
        <v>8.8925000000000001</v>
      </c>
      <c r="H268" s="4">
        <f>9.7705 * CHOOSE(CONTROL!$C$15, $D$11, 100%, $F$11)</f>
        <v>9.7705000000000002</v>
      </c>
      <c r="I268" s="8">
        <f>8.8766 * CHOOSE(CONTROL!$C$15, $D$11, 100%, $F$11)</f>
        <v>8.8765999999999998</v>
      </c>
      <c r="J268" s="4">
        <f>8.718 * CHOOSE(CONTROL!$C$15, $D$11, 100%, $F$11)</f>
        <v>8.718</v>
      </c>
      <c r="K268" s="4"/>
      <c r="L268" s="9">
        <v>29.306000000000001</v>
      </c>
      <c r="M268" s="9">
        <v>12.063700000000001</v>
      </c>
      <c r="N268" s="9">
        <v>4.9444999999999997</v>
      </c>
      <c r="O268" s="9">
        <v>0.37409999999999999</v>
      </c>
      <c r="P268" s="9">
        <v>1.2927</v>
      </c>
      <c r="Q268" s="9">
        <v>30.645399999999999</v>
      </c>
      <c r="R268" s="9"/>
      <c r="S268" s="11"/>
    </row>
    <row r="269" spans="1:19" ht="15.75">
      <c r="A269" s="14">
        <v>49675</v>
      </c>
      <c r="B269" s="8">
        <f>9.3632 * CHOOSE(CONTROL!$C$15, $D$11, 100%, $F$11)</f>
        <v>9.3632000000000009</v>
      </c>
      <c r="C269" s="8">
        <f>9.374 * CHOOSE(CONTROL!$C$15, $D$11, 100%, $F$11)</f>
        <v>9.3740000000000006</v>
      </c>
      <c r="D269" s="8">
        <f>9.3554 * CHOOSE( CONTROL!$C$15, $D$11, 100%, $F$11)</f>
        <v>9.3553999999999995</v>
      </c>
      <c r="E269" s="12">
        <f>9.3611 * CHOOSE( CONTROL!$C$15, $D$11, 100%, $F$11)</f>
        <v>9.3611000000000004</v>
      </c>
      <c r="F269" s="4">
        <f>10.0217 * CHOOSE(CONTROL!$C$15, $D$11, 100%, $F$11)</f>
        <v>10.021699999999999</v>
      </c>
      <c r="G269" s="8">
        <f>9.1468 * CHOOSE( CONTROL!$C$15, $D$11, 100%, $F$11)</f>
        <v>9.1468000000000007</v>
      </c>
      <c r="H269" s="4">
        <f>10.0324 * CHOOSE(CONTROL!$C$15, $D$11, 100%, $F$11)</f>
        <v>10.032400000000001</v>
      </c>
      <c r="I269" s="8">
        <f>9.0988 * CHOOSE(CONTROL!$C$15, $D$11, 100%, $F$11)</f>
        <v>9.0988000000000007</v>
      </c>
      <c r="J269" s="4">
        <f>8.9752 * CHOOSE(CONTROL!$C$15, $D$11, 100%, $F$11)</f>
        <v>8.9751999999999992</v>
      </c>
      <c r="K269" s="4"/>
      <c r="L269" s="9">
        <v>29.306000000000001</v>
      </c>
      <c r="M269" s="9">
        <v>12.063700000000001</v>
      </c>
      <c r="N269" s="9">
        <v>4.9444999999999997</v>
      </c>
      <c r="O269" s="9">
        <v>0.37409999999999999</v>
      </c>
      <c r="P269" s="9">
        <v>1.2927</v>
      </c>
      <c r="Q269" s="9">
        <v>30.580300000000001</v>
      </c>
      <c r="R269" s="9"/>
      <c r="S269" s="11"/>
    </row>
    <row r="270" spans="1:19" ht="15.75">
      <c r="A270" s="14">
        <v>49706</v>
      </c>
      <c r="B270" s="8">
        <f>8.7589 * CHOOSE(CONTROL!$C$15, $D$11, 100%, $F$11)</f>
        <v>8.7589000000000006</v>
      </c>
      <c r="C270" s="8">
        <f>8.7697 * CHOOSE(CONTROL!$C$15, $D$11, 100%, $F$11)</f>
        <v>8.7697000000000003</v>
      </c>
      <c r="D270" s="8">
        <f>8.7509 * CHOOSE( CONTROL!$C$15, $D$11, 100%, $F$11)</f>
        <v>8.7508999999999997</v>
      </c>
      <c r="E270" s="12">
        <f>8.7566 * CHOOSE( CONTROL!$C$15, $D$11, 100%, $F$11)</f>
        <v>8.7566000000000006</v>
      </c>
      <c r="F270" s="4">
        <f>9.4174 * CHOOSE(CONTROL!$C$15, $D$11, 100%, $F$11)</f>
        <v>9.4174000000000007</v>
      </c>
      <c r="G270" s="8">
        <f>8.5559 * CHOOSE( CONTROL!$C$15, $D$11, 100%, $F$11)</f>
        <v>8.5558999999999994</v>
      </c>
      <c r="H270" s="4">
        <f>9.4415 * CHOOSE(CONTROL!$C$15, $D$11, 100%, $F$11)</f>
        <v>9.4414999999999996</v>
      </c>
      <c r="I270" s="8">
        <f>8.518 * CHOOSE(CONTROL!$C$15, $D$11, 100%, $F$11)</f>
        <v>8.5180000000000007</v>
      </c>
      <c r="J270" s="4">
        <f>8.3949 * CHOOSE(CONTROL!$C$15, $D$11, 100%, $F$11)</f>
        <v>8.3948999999999998</v>
      </c>
      <c r="K270" s="4"/>
      <c r="L270" s="9">
        <v>27.415299999999998</v>
      </c>
      <c r="M270" s="9">
        <v>11.285299999999999</v>
      </c>
      <c r="N270" s="9">
        <v>4.6254999999999997</v>
      </c>
      <c r="O270" s="9">
        <v>0.34989999999999999</v>
      </c>
      <c r="P270" s="9">
        <v>1.2093</v>
      </c>
      <c r="Q270" s="9">
        <v>28.607299999999999</v>
      </c>
      <c r="R270" s="9"/>
      <c r="S270" s="11"/>
    </row>
    <row r="271" spans="1:19" ht="15.75">
      <c r="A271" s="14">
        <v>49735</v>
      </c>
      <c r="B271" s="8">
        <f>8.5728 * CHOOSE(CONTROL!$C$15, $D$11, 100%, $F$11)</f>
        <v>8.5728000000000009</v>
      </c>
      <c r="C271" s="8">
        <f>8.5835 * CHOOSE(CONTROL!$C$15, $D$11, 100%, $F$11)</f>
        <v>8.5835000000000008</v>
      </c>
      <c r="D271" s="8">
        <f>8.5643 * CHOOSE( CONTROL!$C$15, $D$11, 100%, $F$11)</f>
        <v>8.5642999999999994</v>
      </c>
      <c r="E271" s="12">
        <f>8.5702 * CHOOSE( CONTROL!$C$15, $D$11, 100%, $F$11)</f>
        <v>8.5701999999999998</v>
      </c>
      <c r="F271" s="4">
        <f>9.2313 * CHOOSE(CONTROL!$C$15, $D$11, 100%, $F$11)</f>
        <v>9.2312999999999992</v>
      </c>
      <c r="G271" s="8">
        <f>8.3735 * CHOOSE( CONTROL!$C$15, $D$11, 100%, $F$11)</f>
        <v>8.3734999999999999</v>
      </c>
      <c r="H271" s="4">
        <f>9.2595 * CHOOSE(CONTROL!$C$15, $D$11, 100%, $F$11)</f>
        <v>9.2594999999999992</v>
      </c>
      <c r="I271" s="8">
        <f>8.3377 * CHOOSE(CONTROL!$C$15, $D$11, 100%, $F$11)</f>
        <v>8.3376999999999999</v>
      </c>
      <c r="J271" s="4">
        <f>8.2162 * CHOOSE(CONTROL!$C$15, $D$11, 100%, $F$11)</f>
        <v>8.2162000000000006</v>
      </c>
      <c r="K271" s="4"/>
      <c r="L271" s="9">
        <v>29.306000000000001</v>
      </c>
      <c r="M271" s="9">
        <v>12.063700000000001</v>
      </c>
      <c r="N271" s="9">
        <v>4.9444999999999997</v>
      </c>
      <c r="O271" s="9">
        <v>0.37409999999999999</v>
      </c>
      <c r="P271" s="9">
        <v>1.2927</v>
      </c>
      <c r="Q271" s="9">
        <v>30.580300000000001</v>
      </c>
      <c r="R271" s="9"/>
      <c r="S271" s="11"/>
    </row>
    <row r="272" spans="1:19" ht="15.75">
      <c r="A272" s="14">
        <v>49766</v>
      </c>
      <c r="B272" s="8">
        <f>8.7028 * CHOOSE(CONTROL!$C$15, $D$11, 100%, $F$11)</f>
        <v>8.7027999999999999</v>
      </c>
      <c r="C272" s="8">
        <f>8.7136 * CHOOSE(CONTROL!$C$15, $D$11, 100%, $F$11)</f>
        <v>8.7135999999999996</v>
      </c>
      <c r="D272" s="8">
        <f>8.7505 * CHOOSE( CONTROL!$C$15, $D$11, 100%, $F$11)</f>
        <v>8.7505000000000006</v>
      </c>
      <c r="E272" s="12">
        <f>8.7371 * CHOOSE( CONTROL!$C$15, $D$11, 100%, $F$11)</f>
        <v>8.7370999999999999</v>
      </c>
      <c r="F272" s="4">
        <f>9.442 * CHOOSE(CONTROL!$C$15, $D$11, 100%, $F$11)</f>
        <v>9.4420000000000002</v>
      </c>
      <c r="G272" s="8">
        <f>8.4999 * CHOOSE( CONTROL!$C$15, $D$11, 100%, $F$11)</f>
        <v>8.4999000000000002</v>
      </c>
      <c r="H272" s="4">
        <f>9.4656 * CHOOSE(CONTROL!$C$15, $D$11, 100%, $F$11)</f>
        <v>9.4656000000000002</v>
      </c>
      <c r="I272" s="8">
        <f>8.4544 * CHOOSE(CONTROL!$C$15, $D$11, 100%, $F$11)</f>
        <v>8.4543999999999997</v>
      </c>
      <c r="J272" s="4">
        <f>8.3411 * CHOOSE(CONTROL!$C$15, $D$11, 100%, $F$11)</f>
        <v>8.3411000000000008</v>
      </c>
      <c r="K272" s="4"/>
      <c r="L272" s="9">
        <v>30.092199999999998</v>
      </c>
      <c r="M272" s="9">
        <v>11.6745</v>
      </c>
      <c r="N272" s="9">
        <v>4.7850000000000001</v>
      </c>
      <c r="O272" s="9">
        <v>0.36199999999999999</v>
      </c>
      <c r="P272" s="9">
        <v>1.1791</v>
      </c>
      <c r="Q272" s="9">
        <v>29.593800000000002</v>
      </c>
      <c r="R272" s="9"/>
      <c r="S272" s="11"/>
    </row>
    <row r="273" spans="1:19" ht="15.75">
      <c r="A273" s="14">
        <v>49796</v>
      </c>
      <c r="B273" s="8">
        <f>CHOOSE( CONTROL!$C$32, 8.9366, 8.9342) * CHOOSE(CONTROL!$C$15, $D$11, 100%, $F$11)</f>
        <v>8.9366000000000003</v>
      </c>
      <c r="C273" s="8">
        <f>CHOOSE( CONTROL!$C$32, 8.9471, 8.9447) * CHOOSE(CONTROL!$C$15, $D$11, 100%, $F$11)</f>
        <v>8.9471000000000007</v>
      </c>
      <c r="D273" s="8">
        <f>CHOOSE( CONTROL!$C$32, 8.983, 8.9806) * CHOOSE( CONTROL!$C$15, $D$11, 100%, $F$11)</f>
        <v>8.9830000000000005</v>
      </c>
      <c r="E273" s="12">
        <f>CHOOSE( CONTROL!$C$32, 8.9684, 8.966) * CHOOSE( CONTROL!$C$15, $D$11, 100%, $F$11)</f>
        <v>8.9684000000000008</v>
      </c>
      <c r="F273" s="4">
        <f>CHOOSE( CONTROL!$C$32, 9.6759, 9.6735) * CHOOSE(CONTROL!$C$15, $D$11, 100%, $F$11)</f>
        <v>9.6759000000000004</v>
      </c>
      <c r="G273" s="8">
        <f>CHOOSE( CONTROL!$C$32, 8.7291, 8.7267) * CHOOSE( CONTROL!$C$15, $D$11, 100%, $F$11)</f>
        <v>8.7291000000000007</v>
      </c>
      <c r="H273" s="4">
        <f>CHOOSE( CONTROL!$C$32, 9.6943, 9.6919) * CHOOSE(CONTROL!$C$15, $D$11, 100%, $F$11)</f>
        <v>9.6943000000000001</v>
      </c>
      <c r="I273" s="8">
        <f>CHOOSE( CONTROL!$C$32, 8.6792, 8.6769) * CHOOSE(CONTROL!$C$15, $D$11, 100%, $F$11)</f>
        <v>8.6791999999999998</v>
      </c>
      <c r="J273" s="4">
        <f>CHOOSE( CONTROL!$C$32, 8.5657, 8.5634) * CHOOSE(CONTROL!$C$15, $D$11, 100%, $F$11)</f>
        <v>8.5656999999999996</v>
      </c>
      <c r="K273" s="4"/>
      <c r="L273" s="9">
        <v>30.7165</v>
      </c>
      <c r="M273" s="9">
        <v>12.063700000000001</v>
      </c>
      <c r="N273" s="9">
        <v>4.9444999999999997</v>
      </c>
      <c r="O273" s="9">
        <v>0.37409999999999999</v>
      </c>
      <c r="P273" s="9">
        <v>1.2183999999999999</v>
      </c>
      <c r="Q273" s="9">
        <v>30.580300000000001</v>
      </c>
      <c r="R273" s="9"/>
      <c r="S273" s="11"/>
    </row>
    <row r="274" spans="1:19" ht="15.75">
      <c r="A274" s="14">
        <v>49827</v>
      </c>
      <c r="B274" s="8">
        <f>CHOOSE( CONTROL!$C$32, 8.7932, 8.7908) * CHOOSE(CONTROL!$C$15, $D$11, 100%, $F$11)</f>
        <v>8.7932000000000006</v>
      </c>
      <c r="C274" s="8">
        <f>CHOOSE( CONTROL!$C$32, 8.8037, 8.8013) * CHOOSE(CONTROL!$C$15, $D$11, 100%, $F$11)</f>
        <v>8.8036999999999992</v>
      </c>
      <c r="D274" s="8">
        <f>CHOOSE( CONTROL!$C$32, 8.8398, 8.8374) * CHOOSE( CONTROL!$C$15, $D$11, 100%, $F$11)</f>
        <v>8.8398000000000003</v>
      </c>
      <c r="E274" s="12">
        <f>CHOOSE( CONTROL!$C$32, 8.8251, 8.8227) * CHOOSE( CONTROL!$C$15, $D$11, 100%, $F$11)</f>
        <v>8.8251000000000008</v>
      </c>
      <c r="F274" s="4">
        <f>CHOOSE( CONTROL!$C$32, 9.5325, 9.5301) * CHOOSE(CONTROL!$C$15, $D$11, 100%, $F$11)</f>
        <v>9.5325000000000006</v>
      </c>
      <c r="G274" s="8">
        <f>CHOOSE( CONTROL!$C$32, 8.5892, 8.5868) * CHOOSE( CONTROL!$C$15, $D$11, 100%, $F$11)</f>
        <v>8.5891999999999999</v>
      </c>
      <c r="H274" s="4">
        <f>CHOOSE( CONTROL!$C$32, 9.5541, 9.5517) * CHOOSE(CONTROL!$C$15, $D$11, 100%, $F$11)</f>
        <v>9.5541</v>
      </c>
      <c r="I274" s="8">
        <f>CHOOSE( CONTROL!$C$32, 8.5424, 8.5401) * CHOOSE(CONTROL!$C$15, $D$11, 100%, $F$11)</f>
        <v>8.5424000000000007</v>
      </c>
      <c r="J274" s="4">
        <f>CHOOSE( CONTROL!$C$32, 8.428, 8.4257) * CHOOSE(CONTROL!$C$15, $D$11, 100%, $F$11)</f>
        <v>8.4280000000000008</v>
      </c>
      <c r="K274" s="4"/>
      <c r="L274" s="9">
        <v>29.7257</v>
      </c>
      <c r="M274" s="9">
        <v>11.6745</v>
      </c>
      <c r="N274" s="9">
        <v>4.7850000000000001</v>
      </c>
      <c r="O274" s="9">
        <v>0.36199999999999999</v>
      </c>
      <c r="P274" s="9">
        <v>1.1791</v>
      </c>
      <c r="Q274" s="9">
        <v>29.593800000000002</v>
      </c>
      <c r="R274" s="9"/>
      <c r="S274" s="11"/>
    </row>
    <row r="275" spans="1:19" ht="15.75">
      <c r="A275" s="14">
        <v>49857</v>
      </c>
      <c r="B275" s="8">
        <f>CHOOSE( CONTROL!$C$32, 9.1708, 9.1684) * CHOOSE(CONTROL!$C$15, $D$11, 100%, $F$11)</f>
        <v>9.1707999999999998</v>
      </c>
      <c r="C275" s="8">
        <f>CHOOSE( CONTROL!$C$32, 9.1814, 9.179) * CHOOSE(CONTROL!$C$15, $D$11, 100%, $F$11)</f>
        <v>9.1814</v>
      </c>
      <c r="D275" s="8">
        <f>CHOOSE( CONTROL!$C$32, 9.2176, 9.2152) * CHOOSE( CONTROL!$C$15, $D$11, 100%, $F$11)</f>
        <v>9.2175999999999991</v>
      </c>
      <c r="E275" s="12">
        <f>CHOOSE( CONTROL!$C$32, 9.2029, 9.2005) * CHOOSE( CONTROL!$C$15, $D$11, 100%, $F$11)</f>
        <v>9.2028999999999996</v>
      </c>
      <c r="F275" s="4">
        <f>CHOOSE( CONTROL!$C$32, 9.9102, 9.9078) * CHOOSE(CONTROL!$C$15, $D$11, 100%, $F$11)</f>
        <v>9.9101999999999997</v>
      </c>
      <c r="G275" s="8">
        <f>CHOOSE( CONTROL!$C$32, 8.9587, 8.9564) * CHOOSE( CONTROL!$C$15, $D$11, 100%, $F$11)</f>
        <v>8.9587000000000003</v>
      </c>
      <c r="H275" s="4">
        <f>CHOOSE( CONTROL!$C$32, 9.9233, 9.9209) * CHOOSE(CONTROL!$C$15, $D$11, 100%, $F$11)</f>
        <v>9.9232999999999993</v>
      </c>
      <c r="I275" s="8">
        <f>CHOOSE( CONTROL!$C$32, 8.9061, 8.9038) * CHOOSE(CONTROL!$C$15, $D$11, 100%, $F$11)</f>
        <v>8.9061000000000003</v>
      </c>
      <c r="J275" s="4">
        <f>CHOOSE( CONTROL!$C$32, 8.7906, 8.7883) * CHOOSE(CONTROL!$C$15, $D$11, 100%, $F$11)</f>
        <v>8.7905999999999995</v>
      </c>
      <c r="K275" s="4"/>
      <c r="L275" s="9">
        <v>30.7165</v>
      </c>
      <c r="M275" s="9">
        <v>12.063700000000001</v>
      </c>
      <c r="N275" s="9">
        <v>4.9444999999999997</v>
      </c>
      <c r="O275" s="9">
        <v>0.37409999999999999</v>
      </c>
      <c r="P275" s="9">
        <v>1.2183999999999999</v>
      </c>
      <c r="Q275" s="9">
        <v>30.580300000000001</v>
      </c>
      <c r="R275" s="9"/>
      <c r="S275" s="11"/>
    </row>
    <row r="276" spans="1:19" ht="15.75">
      <c r="A276" s="14">
        <v>49888</v>
      </c>
      <c r="B276" s="8">
        <f>CHOOSE( CONTROL!$C$32, 8.4642, 8.4618) * CHOOSE(CONTROL!$C$15, $D$11, 100%, $F$11)</f>
        <v>8.4641999999999999</v>
      </c>
      <c r="C276" s="8">
        <f>CHOOSE( CONTROL!$C$32, 8.4748, 8.4724) * CHOOSE(CONTROL!$C$15, $D$11, 100%, $F$11)</f>
        <v>8.4748000000000001</v>
      </c>
      <c r="D276" s="8">
        <f>CHOOSE( CONTROL!$C$32, 8.5111, 8.5087) * CHOOSE( CONTROL!$C$15, $D$11, 100%, $F$11)</f>
        <v>8.5111000000000008</v>
      </c>
      <c r="E276" s="12">
        <f>CHOOSE( CONTROL!$C$32, 8.4963, 8.4939) * CHOOSE( CONTROL!$C$15, $D$11, 100%, $F$11)</f>
        <v>8.4962999999999997</v>
      </c>
      <c r="F276" s="4">
        <f>CHOOSE( CONTROL!$C$32, 9.2036, 9.2012) * CHOOSE(CONTROL!$C$15, $D$11, 100%, $F$11)</f>
        <v>9.2035999999999998</v>
      </c>
      <c r="G276" s="8">
        <f>CHOOSE( CONTROL!$C$32, 8.268, 8.2656) * CHOOSE( CONTROL!$C$15, $D$11, 100%, $F$11)</f>
        <v>8.2680000000000007</v>
      </c>
      <c r="H276" s="4">
        <f>CHOOSE( CONTROL!$C$32, 9.2325, 9.2301) * CHOOSE(CONTROL!$C$15, $D$11, 100%, $F$11)</f>
        <v>9.2324999999999999</v>
      </c>
      <c r="I276" s="8">
        <f>CHOOSE( CONTROL!$C$32, 8.2276, 8.2253) * CHOOSE(CONTROL!$C$15, $D$11, 100%, $F$11)</f>
        <v>8.2276000000000007</v>
      </c>
      <c r="J276" s="4">
        <f>CHOOSE( CONTROL!$C$32, 8.1122, 8.1099) * CHOOSE(CONTROL!$C$15, $D$11, 100%, $F$11)</f>
        <v>8.1121999999999996</v>
      </c>
      <c r="K276" s="4"/>
      <c r="L276" s="9">
        <v>30.7165</v>
      </c>
      <c r="M276" s="9">
        <v>12.063700000000001</v>
      </c>
      <c r="N276" s="9">
        <v>4.9444999999999997</v>
      </c>
      <c r="O276" s="9">
        <v>0.37409999999999999</v>
      </c>
      <c r="P276" s="9">
        <v>1.2183999999999999</v>
      </c>
      <c r="Q276" s="9">
        <v>30.580300000000001</v>
      </c>
      <c r="R276" s="9"/>
      <c r="S276" s="11"/>
    </row>
    <row r="277" spans="1:19" ht="15.75">
      <c r="A277" s="14">
        <v>49919</v>
      </c>
      <c r="B277" s="8">
        <f>CHOOSE( CONTROL!$C$32, 8.2873, 8.2849) * CHOOSE(CONTROL!$C$15, $D$11, 100%, $F$11)</f>
        <v>8.2873000000000001</v>
      </c>
      <c r="C277" s="8">
        <f>CHOOSE( CONTROL!$C$32, 8.2978, 8.2955) * CHOOSE(CONTROL!$C$15, $D$11, 100%, $F$11)</f>
        <v>8.2978000000000005</v>
      </c>
      <c r="D277" s="8">
        <f>CHOOSE( CONTROL!$C$32, 8.3341, 8.3317) * CHOOSE( CONTROL!$C$15, $D$11, 100%, $F$11)</f>
        <v>8.3340999999999994</v>
      </c>
      <c r="E277" s="12">
        <f>CHOOSE( CONTROL!$C$32, 8.3193, 8.317) * CHOOSE( CONTROL!$C$15, $D$11, 100%, $F$11)</f>
        <v>8.3193000000000001</v>
      </c>
      <c r="F277" s="4">
        <f>CHOOSE( CONTROL!$C$32, 9.0266, 9.0242) * CHOOSE(CONTROL!$C$15, $D$11, 100%, $F$11)</f>
        <v>9.0266000000000002</v>
      </c>
      <c r="G277" s="8">
        <f>CHOOSE( CONTROL!$C$32, 8.0949, 8.0925) * CHOOSE( CONTROL!$C$15, $D$11, 100%, $F$11)</f>
        <v>8.0949000000000009</v>
      </c>
      <c r="H277" s="4">
        <f>CHOOSE( CONTROL!$C$32, 9.0595, 9.0571) * CHOOSE(CONTROL!$C$15, $D$11, 100%, $F$11)</f>
        <v>9.0594999999999999</v>
      </c>
      <c r="I277" s="8">
        <f>CHOOSE( CONTROL!$C$32, 8.0574, 8.0551) * CHOOSE(CONTROL!$C$15, $D$11, 100%, $F$11)</f>
        <v>8.0573999999999995</v>
      </c>
      <c r="J277" s="4">
        <f>CHOOSE( CONTROL!$C$32, 7.9423, 7.94) * CHOOSE(CONTROL!$C$15, $D$11, 100%, $F$11)</f>
        <v>7.9423000000000004</v>
      </c>
      <c r="K277" s="4"/>
      <c r="L277" s="9">
        <v>29.7257</v>
      </c>
      <c r="M277" s="9">
        <v>11.6745</v>
      </c>
      <c r="N277" s="9">
        <v>4.7850000000000001</v>
      </c>
      <c r="O277" s="9">
        <v>0.36199999999999999</v>
      </c>
      <c r="P277" s="9">
        <v>1.1791</v>
      </c>
      <c r="Q277" s="9">
        <v>29.593800000000002</v>
      </c>
      <c r="R277" s="9"/>
      <c r="S277" s="11"/>
    </row>
    <row r="278" spans="1:19" ht="15.75">
      <c r="A278" s="14">
        <v>49949</v>
      </c>
      <c r="B278" s="8">
        <f>8.6524 * CHOOSE(CONTROL!$C$15, $D$11, 100%, $F$11)</f>
        <v>8.6524000000000001</v>
      </c>
      <c r="C278" s="8">
        <f>8.6631 * CHOOSE(CONTROL!$C$15, $D$11, 100%, $F$11)</f>
        <v>8.6631</v>
      </c>
      <c r="D278" s="8">
        <f>8.7007 * CHOOSE( CONTROL!$C$15, $D$11, 100%, $F$11)</f>
        <v>8.7006999999999994</v>
      </c>
      <c r="E278" s="12">
        <f>8.6871 * CHOOSE( CONTROL!$C$15, $D$11, 100%, $F$11)</f>
        <v>8.6870999999999992</v>
      </c>
      <c r="F278" s="4">
        <f>9.3916 * CHOOSE(CONTROL!$C$15, $D$11, 100%, $F$11)</f>
        <v>9.3916000000000004</v>
      </c>
      <c r="G278" s="8">
        <f>8.4515 * CHOOSE( CONTROL!$C$15, $D$11, 100%, $F$11)</f>
        <v>8.4514999999999993</v>
      </c>
      <c r="H278" s="4">
        <f>9.4163 * CHOOSE(CONTROL!$C$15, $D$11, 100%, $F$11)</f>
        <v>9.4162999999999997</v>
      </c>
      <c r="I278" s="8">
        <f>8.4087 * CHOOSE(CONTROL!$C$15, $D$11, 100%, $F$11)</f>
        <v>8.4086999999999996</v>
      </c>
      <c r="J278" s="4">
        <f>8.2927 * CHOOSE(CONTROL!$C$15, $D$11, 100%, $F$11)</f>
        <v>8.2927</v>
      </c>
      <c r="K278" s="4"/>
      <c r="L278" s="9">
        <v>31.095300000000002</v>
      </c>
      <c r="M278" s="9">
        <v>12.063700000000001</v>
      </c>
      <c r="N278" s="9">
        <v>4.9444999999999997</v>
      </c>
      <c r="O278" s="9">
        <v>0.37409999999999999</v>
      </c>
      <c r="P278" s="9">
        <v>1.2183999999999999</v>
      </c>
      <c r="Q278" s="9">
        <v>30.580300000000001</v>
      </c>
      <c r="R278" s="9"/>
      <c r="S278" s="11"/>
    </row>
    <row r="279" spans="1:19" ht="15.75">
      <c r="A279" s="14">
        <v>49980</v>
      </c>
      <c r="B279" s="8">
        <f>9.3305 * CHOOSE(CONTROL!$C$15, $D$11, 100%, $F$11)</f>
        <v>9.3305000000000007</v>
      </c>
      <c r="C279" s="8">
        <f>9.3413 * CHOOSE(CONTROL!$C$15, $D$11, 100%, $F$11)</f>
        <v>9.3413000000000004</v>
      </c>
      <c r="D279" s="8">
        <f>9.324 * CHOOSE( CONTROL!$C$15, $D$11, 100%, $F$11)</f>
        <v>9.3239999999999998</v>
      </c>
      <c r="E279" s="12">
        <f>9.3292 * CHOOSE( CONTROL!$C$15, $D$11, 100%, $F$11)</f>
        <v>9.3292000000000002</v>
      </c>
      <c r="F279" s="4">
        <f>9.989 * CHOOSE(CONTROL!$C$15, $D$11, 100%, $F$11)</f>
        <v>9.9890000000000008</v>
      </c>
      <c r="G279" s="8">
        <f>9.1211 * CHOOSE( CONTROL!$C$15, $D$11, 100%, $F$11)</f>
        <v>9.1211000000000002</v>
      </c>
      <c r="H279" s="4">
        <f>10.0004 * CHOOSE(CONTROL!$C$15, $D$11, 100%, $F$11)</f>
        <v>10.000400000000001</v>
      </c>
      <c r="I279" s="8">
        <f>9.0973 * CHOOSE(CONTROL!$C$15, $D$11, 100%, $F$11)</f>
        <v>9.0973000000000006</v>
      </c>
      <c r="J279" s="4">
        <f>8.9438 * CHOOSE(CONTROL!$C$15, $D$11, 100%, $F$11)</f>
        <v>8.9437999999999995</v>
      </c>
      <c r="K279" s="4"/>
      <c r="L279" s="9">
        <v>28.360600000000002</v>
      </c>
      <c r="M279" s="9">
        <v>11.6745</v>
      </c>
      <c r="N279" s="9">
        <v>4.7850000000000001</v>
      </c>
      <c r="O279" s="9">
        <v>0.36199999999999999</v>
      </c>
      <c r="P279" s="9">
        <v>1.2509999999999999</v>
      </c>
      <c r="Q279" s="9">
        <v>29.593800000000002</v>
      </c>
      <c r="R279" s="9"/>
      <c r="S279" s="11"/>
    </row>
    <row r="280" spans="1:19" ht="15.75">
      <c r="A280" s="14">
        <v>50010</v>
      </c>
      <c r="B280" s="8">
        <f>9.3136 * CHOOSE(CONTROL!$C$15, $D$11, 100%, $F$11)</f>
        <v>9.3135999999999992</v>
      </c>
      <c r="C280" s="8">
        <f>9.3243 * CHOOSE(CONTROL!$C$15, $D$11, 100%, $F$11)</f>
        <v>9.3242999999999991</v>
      </c>
      <c r="D280" s="8">
        <f>9.3088 * CHOOSE( CONTROL!$C$15, $D$11, 100%, $F$11)</f>
        <v>9.3087999999999997</v>
      </c>
      <c r="E280" s="12">
        <f>9.3133 * CHOOSE( CONTROL!$C$15, $D$11, 100%, $F$11)</f>
        <v>9.3132999999999999</v>
      </c>
      <c r="F280" s="4">
        <f>9.9721 * CHOOSE(CONTROL!$C$15, $D$11, 100%, $F$11)</f>
        <v>9.9720999999999993</v>
      </c>
      <c r="G280" s="8">
        <f>9.1058 * CHOOSE( CONTROL!$C$15, $D$11, 100%, $F$11)</f>
        <v>9.1058000000000003</v>
      </c>
      <c r="H280" s="4">
        <f>9.9838 * CHOOSE(CONTROL!$C$15, $D$11, 100%, $F$11)</f>
        <v>9.9838000000000005</v>
      </c>
      <c r="I280" s="8">
        <f>9.0862 * CHOOSE(CONTROL!$C$15, $D$11, 100%, $F$11)</f>
        <v>9.0861999999999998</v>
      </c>
      <c r="J280" s="4">
        <f>8.9275 * CHOOSE(CONTROL!$C$15, $D$11, 100%, $F$11)</f>
        <v>8.9275000000000002</v>
      </c>
      <c r="K280" s="4"/>
      <c r="L280" s="9">
        <v>29.306000000000001</v>
      </c>
      <c r="M280" s="9">
        <v>12.063700000000001</v>
      </c>
      <c r="N280" s="9">
        <v>4.9444999999999997</v>
      </c>
      <c r="O280" s="9">
        <v>0.37409999999999999</v>
      </c>
      <c r="P280" s="9">
        <v>1.2927</v>
      </c>
      <c r="Q280" s="9">
        <v>30.580300000000001</v>
      </c>
      <c r="R280" s="9"/>
      <c r="S280" s="11"/>
    </row>
    <row r="281" spans="1:19" ht="15.75">
      <c r="A281" s="14">
        <v>50041</v>
      </c>
      <c r="B281" s="8">
        <f>9.5878 * CHOOSE(CONTROL!$C$15, $D$11, 100%, $F$11)</f>
        <v>9.5877999999999997</v>
      </c>
      <c r="C281" s="8">
        <f>9.5986 * CHOOSE(CONTROL!$C$15, $D$11, 100%, $F$11)</f>
        <v>9.5985999999999994</v>
      </c>
      <c r="D281" s="8">
        <f>9.58 * CHOOSE( CONTROL!$C$15, $D$11, 100%, $F$11)</f>
        <v>9.58</v>
      </c>
      <c r="E281" s="12">
        <f>9.5857 * CHOOSE( CONTROL!$C$15, $D$11, 100%, $F$11)</f>
        <v>9.5856999999999992</v>
      </c>
      <c r="F281" s="4">
        <f>10.2463 * CHOOSE(CONTROL!$C$15, $D$11, 100%, $F$11)</f>
        <v>10.2463</v>
      </c>
      <c r="G281" s="8">
        <f>9.3664 * CHOOSE( CONTROL!$C$15, $D$11, 100%, $F$11)</f>
        <v>9.3664000000000005</v>
      </c>
      <c r="H281" s="4">
        <f>10.252 * CHOOSE(CONTROL!$C$15, $D$11, 100%, $F$11)</f>
        <v>10.252000000000001</v>
      </c>
      <c r="I281" s="8">
        <f>9.3145 * CHOOSE(CONTROL!$C$15, $D$11, 100%, $F$11)</f>
        <v>9.3145000000000007</v>
      </c>
      <c r="J281" s="4">
        <f>9.1908 * CHOOSE(CONTROL!$C$15, $D$11, 100%, $F$11)</f>
        <v>9.1907999999999994</v>
      </c>
      <c r="K281" s="4"/>
      <c r="L281" s="9">
        <v>29.306000000000001</v>
      </c>
      <c r="M281" s="9">
        <v>12.063700000000001</v>
      </c>
      <c r="N281" s="9">
        <v>4.9444999999999997</v>
      </c>
      <c r="O281" s="9">
        <v>0.37409999999999999</v>
      </c>
      <c r="P281" s="9">
        <v>1.2927</v>
      </c>
      <c r="Q281" s="9">
        <v>30.5152</v>
      </c>
      <c r="R281" s="9"/>
      <c r="S281" s="11"/>
    </row>
    <row r="282" spans="1:19" ht="15.75">
      <c r="A282" s="14">
        <v>50072</v>
      </c>
      <c r="B282" s="8">
        <f>8.969 * CHOOSE(CONTROL!$C$15, $D$11, 100%, $F$11)</f>
        <v>8.9689999999999994</v>
      </c>
      <c r="C282" s="8">
        <f>8.9797 * CHOOSE(CONTROL!$C$15, $D$11, 100%, $F$11)</f>
        <v>8.9796999999999993</v>
      </c>
      <c r="D282" s="8">
        <f>8.961 * CHOOSE( CONTROL!$C$15, $D$11, 100%, $F$11)</f>
        <v>8.9610000000000003</v>
      </c>
      <c r="E282" s="12">
        <f>8.9667 * CHOOSE( CONTROL!$C$15, $D$11, 100%, $F$11)</f>
        <v>8.9666999999999994</v>
      </c>
      <c r="F282" s="4">
        <f>9.6275 * CHOOSE(CONTROL!$C$15, $D$11, 100%, $F$11)</f>
        <v>9.6274999999999995</v>
      </c>
      <c r="G282" s="8">
        <f>8.7613 * CHOOSE( CONTROL!$C$15, $D$11, 100%, $F$11)</f>
        <v>8.7613000000000003</v>
      </c>
      <c r="H282" s="4">
        <f>9.6469 * CHOOSE(CONTROL!$C$15, $D$11, 100%, $F$11)</f>
        <v>9.6469000000000005</v>
      </c>
      <c r="I282" s="8">
        <f>8.7198 * CHOOSE(CONTROL!$C$15, $D$11, 100%, $F$11)</f>
        <v>8.7197999999999993</v>
      </c>
      <c r="J282" s="4">
        <f>8.5967 * CHOOSE(CONTROL!$C$15, $D$11, 100%, $F$11)</f>
        <v>8.5967000000000002</v>
      </c>
      <c r="K282" s="4"/>
      <c r="L282" s="9">
        <v>26.469899999999999</v>
      </c>
      <c r="M282" s="9">
        <v>10.8962</v>
      </c>
      <c r="N282" s="9">
        <v>4.4660000000000002</v>
      </c>
      <c r="O282" s="9">
        <v>0.33789999999999998</v>
      </c>
      <c r="P282" s="9">
        <v>1.1676</v>
      </c>
      <c r="Q282" s="9">
        <v>27.562100000000001</v>
      </c>
      <c r="R282" s="9"/>
      <c r="S282" s="11"/>
    </row>
    <row r="283" spans="1:19" ht="15.75">
      <c r="A283" s="14">
        <v>50100</v>
      </c>
      <c r="B283" s="8">
        <f>8.7784 * CHOOSE(CONTROL!$C$15, $D$11, 100%, $F$11)</f>
        <v>8.7783999999999995</v>
      </c>
      <c r="C283" s="8">
        <f>8.7891 * CHOOSE(CONTROL!$C$15, $D$11, 100%, $F$11)</f>
        <v>8.7890999999999995</v>
      </c>
      <c r="D283" s="8">
        <f>8.7699 * CHOOSE( CONTROL!$C$15, $D$11, 100%, $F$11)</f>
        <v>8.7698999999999998</v>
      </c>
      <c r="E283" s="12">
        <f>8.7758 * CHOOSE( CONTROL!$C$15, $D$11, 100%, $F$11)</f>
        <v>8.7758000000000003</v>
      </c>
      <c r="F283" s="4">
        <f>9.4369 * CHOOSE(CONTROL!$C$15, $D$11, 100%, $F$11)</f>
        <v>9.4368999999999996</v>
      </c>
      <c r="G283" s="8">
        <f>8.5746 * CHOOSE( CONTROL!$C$15, $D$11, 100%, $F$11)</f>
        <v>8.5746000000000002</v>
      </c>
      <c r="H283" s="4">
        <f>9.4606 * CHOOSE(CONTROL!$C$15, $D$11, 100%, $F$11)</f>
        <v>9.4605999999999995</v>
      </c>
      <c r="I283" s="8">
        <f>8.5352 * CHOOSE(CONTROL!$C$15, $D$11, 100%, $F$11)</f>
        <v>8.5351999999999997</v>
      </c>
      <c r="J283" s="4">
        <f>8.4137 * CHOOSE(CONTROL!$C$15, $D$11, 100%, $F$11)</f>
        <v>8.4137000000000004</v>
      </c>
      <c r="K283" s="4"/>
      <c r="L283" s="9">
        <v>29.306000000000001</v>
      </c>
      <c r="M283" s="9">
        <v>12.063700000000001</v>
      </c>
      <c r="N283" s="9">
        <v>4.9444999999999997</v>
      </c>
      <c r="O283" s="9">
        <v>0.37409999999999999</v>
      </c>
      <c r="P283" s="9">
        <v>1.2927</v>
      </c>
      <c r="Q283" s="9">
        <v>30.5152</v>
      </c>
      <c r="R283" s="9"/>
      <c r="S283" s="11"/>
    </row>
    <row r="284" spans="1:19" ht="15.75">
      <c r="A284" s="14">
        <v>50131</v>
      </c>
      <c r="B284" s="8">
        <f>8.9115 * CHOOSE(CONTROL!$C$15, $D$11, 100%, $F$11)</f>
        <v>8.9115000000000002</v>
      </c>
      <c r="C284" s="8">
        <f>8.9223 * CHOOSE(CONTROL!$C$15, $D$11, 100%, $F$11)</f>
        <v>8.9222999999999999</v>
      </c>
      <c r="D284" s="8">
        <f>8.9592 * CHOOSE( CONTROL!$C$15, $D$11, 100%, $F$11)</f>
        <v>8.9591999999999992</v>
      </c>
      <c r="E284" s="12">
        <f>8.9458 * CHOOSE( CONTROL!$C$15, $D$11, 100%, $F$11)</f>
        <v>8.9458000000000002</v>
      </c>
      <c r="F284" s="4">
        <f>9.6508 * CHOOSE(CONTROL!$C$15, $D$11, 100%, $F$11)</f>
        <v>9.6508000000000003</v>
      </c>
      <c r="G284" s="8">
        <f>8.704 * CHOOSE( CONTROL!$C$15, $D$11, 100%, $F$11)</f>
        <v>8.7040000000000006</v>
      </c>
      <c r="H284" s="4">
        <f>9.6697 * CHOOSE(CONTROL!$C$15, $D$11, 100%, $F$11)</f>
        <v>9.6697000000000006</v>
      </c>
      <c r="I284" s="8">
        <f>8.655 * CHOOSE(CONTROL!$C$15, $D$11, 100%, $F$11)</f>
        <v>8.6549999999999994</v>
      </c>
      <c r="J284" s="4">
        <f>8.5415 * CHOOSE(CONTROL!$C$15, $D$11, 100%, $F$11)</f>
        <v>8.5414999999999992</v>
      </c>
      <c r="K284" s="4"/>
      <c r="L284" s="9">
        <v>30.092199999999998</v>
      </c>
      <c r="M284" s="9">
        <v>11.6745</v>
      </c>
      <c r="N284" s="9">
        <v>4.7850000000000001</v>
      </c>
      <c r="O284" s="9">
        <v>0.36199999999999999</v>
      </c>
      <c r="P284" s="9">
        <v>1.1791</v>
      </c>
      <c r="Q284" s="9">
        <v>29.530799999999999</v>
      </c>
      <c r="R284" s="9"/>
      <c r="S284" s="11"/>
    </row>
    <row r="285" spans="1:19" ht="15.75">
      <c r="A285" s="14">
        <v>50161</v>
      </c>
      <c r="B285" s="8">
        <f>CHOOSE( CONTROL!$C$32, 9.1509, 9.1485) * CHOOSE(CONTROL!$C$15, $D$11, 100%, $F$11)</f>
        <v>9.1509</v>
      </c>
      <c r="C285" s="8">
        <f>CHOOSE( CONTROL!$C$32, 9.1614, 9.1591) * CHOOSE(CONTROL!$C$15, $D$11, 100%, $F$11)</f>
        <v>9.1614000000000004</v>
      </c>
      <c r="D285" s="8">
        <f>CHOOSE( CONTROL!$C$32, 9.1973, 9.1949) * CHOOSE( CONTROL!$C$15, $D$11, 100%, $F$11)</f>
        <v>9.1973000000000003</v>
      </c>
      <c r="E285" s="12">
        <f>CHOOSE( CONTROL!$C$32, 9.1827, 9.1803) * CHOOSE( CONTROL!$C$15, $D$11, 100%, $F$11)</f>
        <v>9.1827000000000005</v>
      </c>
      <c r="F285" s="4">
        <f>CHOOSE( CONTROL!$C$32, 9.8902, 9.8878) * CHOOSE(CONTROL!$C$15, $D$11, 100%, $F$11)</f>
        <v>9.8902000000000001</v>
      </c>
      <c r="G285" s="8">
        <f>CHOOSE( CONTROL!$C$32, 8.9386, 8.9363) * CHOOSE( CONTROL!$C$15, $D$11, 100%, $F$11)</f>
        <v>8.9385999999999992</v>
      </c>
      <c r="H285" s="4">
        <f>CHOOSE( CONTROL!$C$32, 9.9038, 9.9015) * CHOOSE(CONTROL!$C$15, $D$11, 100%, $F$11)</f>
        <v>9.9038000000000004</v>
      </c>
      <c r="I285" s="8">
        <f>CHOOSE( CONTROL!$C$32, 8.8851, 8.8828) * CHOOSE(CONTROL!$C$15, $D$11, 100%, $F$11)</f>
        <v>8.8850999999999996</v>
      </c>
      <c r="J285" s="4">
        <f>CHOOSE( CONTROL!$C$32, 8.7714, 8.7691) * CHOOSE(CONTROL!$C$15, $D$11, 100%, $F$11)</f>
        <v>8.7713999999999999</v>
      </c>
      <c r="K285" s="4"/>
      <c r="L285" s="9">
        <v>30.7165</v>
      </c>
      <c r="M285" s="9">
        <v>12.063700000000001</v>
      </c>
      <c r="N285" s="9">
        <v>4.9444999999999997</v>
      </c>
      <c r="O285" s="9">
        <v>0.37409999999999999</v>
      </c>
      <c r="P285" s="9">
        <v>1.2183999999999999</v>
      </c>
      <c r="Q285" s="9">
        <v>30.5152</v>
      </c>
      <c r="R285" s="9"/>
      <c r="S285" s="11"/>
    </row>
    <row r="286" spans="1:19" ht="15.75">
      <c r="A286" s="14">
        <v>50192</v>
      </c>
      <c r="B286" s="8">
        <f>CHOOSE( CONTROL!$C$32, 9.004, 9.0016) * CHOOSE(CONTROL!$C$15, $D$11, 100%, $F$11)</f>
        <v>9.0039999999999996</v>
      </c>
      <c r="C286" s="8">
        <f>CHOOSE( CONTROL!$C$32, 9.0146, 9.0122) * CHOOSE(CONTROL!$C$15, $D$11, 100%, $F$11)</f>
        <v>9.0145999999999997</v>
      </c>
      <c r="D286" s="8">
        <f>CHOOSE( CONTROL!$C$32, 9.0506, 9.0482) * CHOOSE( CONTROL!$C$15, $D$11, 100%, $F$11)</f>
        <v>9.0505999999999993</v>
      </c>
      <c r="E286" s="12">
        <f>CHOOSE( CONTROL!$C$32, 9.0359, 9.0335) * CHOOSE( CONTROL!$C$15, $D$11, 100%, $F$11)</f>
        <v>9.0358999999999998</v>
      </c>
      <c r="F286" s="4">
        <f>CHOOSE( CONTROL!$C$32, 9.7434, 9.741) * CHOOSE(CONTROL!$C$15, $D$11, 100%, $F$11)</f>
        <v>9.7433999999999994</v>
      </c>
      <c r="G286" s="8">
        <f>CHOOSE( CONTROL!$C$32, 8.7953, 8.793) * CHOOSE( CONTROL!$C$15, $D$11, 100%, $F$11)</f>
        <v>8.7952999999999992</v>
      </c>
      <c r="H286" s="4">
        <f>CHOOSE( CONTROL!$C$32, 9.7602, 9.7579) * CHOOSE(CONTROL!$C$15, $D$11, 100%, $F$11)</f>
        <v>9.7601999999999993</v>
      </c>
      <c r="I286" s="8">
        <f>CHOOSE( CONTROL!$C$32, 8.7449, 8.7426) * CHOOSE(CONTROL!$C$15, $D$11, 100%, $F$11)</f>
        <v>8.7448999999999995</v>
      </c>
      <c r="J286" s="4">
        <f>CHOOSE( CONTROL!$C$32, 8.6304, 8.6281) * CHOOSE(CONTROL!$C$15, $D$11, 100%, $F$11)</f>
        <v>8.6303999999999998</v>
      </c>
      <c r="K286" s="4"/>
      <c r="L286" s="9">
        <v>29.7257</v>
      </c>
      <c r="M286" s="9">
        <v>11.6745</v>
      </c>
      <c r="N286" s="9">
        <v>4.7850000000000001</v>
      </c>
      <c r="O286" s="9">
        <v>0.36199999999999999</v>
      </c>
      <c r="P286" s="9">
        <v>1.1791</v>
      </c>
      <c r="Q286" s="9">
        <v>29.530799999999999</v>
      </c>
      <c r="R286" s="9"/>
      <c r="S286" s="11"/>
    </row>
    <row r="287" spans="1:19" ht="15.75">
      <c r="A287" s="14">
        <v>50222</v>
      </c>
      <c r="B287" s="8">
        <f>CHOOSE( CONTROL!$C$32, 9.3907, 9.3883) * CHOOSE(CONTROL!$C$15, $D$11, 100%, $F$11)</f>
        <v>9.3907000000000007</v>
      </c>
      <c r="C287" s="8">
        <f>CHOOSE( CONTROL!$C$32, 9.4013, 9.3989) * CHOOSE(CONTROL!$C$15, $D$11, 100%, $F$11)</f>
        <v>9.4013000000000009</v>
      </c>
      <c r="D287" s="8">
        <f>CHOOSE( CONTROL!$C$32, 9.4375, 9.4352) * CHOOSE( CONTROL!$C$15, $D$11, 100%, $F$11)</f>
        <v>9.4375</v>
      </c>
      <c r="E287" s="12">
        <f>CHOOSE( CONTROL!$C$32, 9.4228, 9.4204) * CHOOSE( CONTROL!$C$15, $D$11, 100%, $F$11)</f>
        <v>9.4228000000000005</v>
      </c>
      <c r="F287" s="4">
        <f>CHOOSE( CONTROL!$C$32, 10.1301, 10.1277) * CHOOSE(CONTROL!$C$15, $D$11, 100%, $F$11)</f>
        <v>10.130100000000001</v>
      </c>
      <c r="G287" s="8">
        <f>CHOOSE( CONTROL!$C$32, 9.1737, 9.1714) * CHOOSE( CONTROL!$C$15, $D$11, 100%, $F$11)</f>
        <v>9.1737000000000002</v>
      </c>
      <c r="H287" s="4">
        <f>CHOOSE( CONTROL!$C$32, 10.1383, 10.136) * CHOOSE(CONTROL!$C$15, $D$11, 100%, $F$11)</f>
        <v>10.138299999999999</v>
      </c>
      <c r="I287" s="8">
        <f>CHOOSE( CONTROL!$C$32, 9.1174, 9.1151) * CHOOSE(CONTROL!$C$15, $D$11, 100%, $F$11)</f>
        <v>9.1173999999999999</v>
      </c>
      <c r="J287" s="4">
        <f>CHOOSE( CONTROL!$C$32, 9.0017, 8.9994) * CHOOSE(CONTROL!$C$15, $D$11, 100%, $F$11)</f>
        <v>9.0016999999999996</v>
      </c>
      <c r="K287" s="4"/>
      <c r="L287" s="9">
        <v>30.7165</v>
      </c>
      <c r="M287" s="9">
        <v>12.063700000000001</v>
      </c>
      <c r="N287" s="9">
        <v>4.9444999999999997</v>
      </c>
      <c r="O287" s="9">
        <v>0.37409999999999999</v>
      </c>
      <c r="P287" s="9">
        <v>1.2183999999999999</v>
      </c>
      <c r="Q287" s="9">
        <v>30.5152</v>
      </c>
      <c r="R287" s="9"/>
      <c r="S287" s="11"/>
    </row>
    <row r="288" spans="1:19" ht="15.75">
      <c r="A288" s="14">
        <v>50253</v>
      </c>
      <c r="B288" s="8">
        <f>CHOOSE( CONTROL!$C$32, 8.6672, 8.6648) * CHOOSE(CONTROL!$C$15, $D$11, 100%, $F$11)</f>
        <v>8.6671999999999993</v>
      </c>
      <c r="C288" s="8">
        <f>CHOOSE( CONTROL!$C$32, 8.6777, 8.6753) * CHOOSE(CONTROL!$C$15, $D$11, 100%, $F$11)</f>
        <v>8.6776999999999997</v>
      </c>
      <c r="D288" s="8">
        <f>CHOOSE( CONTROL!$C$32, 8.714, 8.7116) * CHOOSE( CONTROL!$C$15, $D$11, 100%, $F$11)</f>
        <v>8.7140000000000004</v>
      </c>
      <c r="E288" s="12">
        <f>CHOOSE( CONTROL!$C$32, 8.6992, 8.6968) * CHOOSE( CONTROL!$C$15, $D$11, 100%, $F$11)</f>
        <v>8.6991999999999994</v>
      </c>
      <c r="F288" s="4">
        <f>CHOOSE( CONTROL!$C$32, 9.4065, 9.4041) * CHOOSE(CONTROL!$C$15, $D$11, 100%, $F$11)</f>
        <v>9.4064999999999994</v>
      </c>
      <c r="G288" s="8">
        <f>CHOOSE( CONTROL!$C$32, 8.4664, 8.4641) * CHOOSE( CONTROL!$C$15, $D$11, 100%, $F$11)</f>
        <v>8.4664000000000001</v>
      </c>
      <c r="H288" s="4">
        <f>CHOOSE( CONTROL!$C$32, 9.4309, 9.4285) * CHOOSE(CONTROL!$C$15, $D$11, 100%, $F$11)</f>
        <v>9.4308999999999994</v>
      </c>
      <c r="I288" s="8">
        <f>CHOOSE( CONTROL!$C$32, 8.4226, 8.4203) * CHOOSE(CONTROL!$C$15, $D$11, 100%, $F$11)</f>
        <v>8.4225999999999992</v>
      </c>
      <c r="J288" s="4">
        <f>CHOOSE( CONTROL!$C$32, 8.307, 8.3047) * CHOOSE(CONTROL!$C$15, $D$11, 100%, $F$11)</f>
        <v>8.3070000000000004</v>
      </c>
      <c r="K288" s="4"/>
      <c r="L288" s="9">
        <v>30.7165</v>
      </c>
      <c r="M288" s="9">
        <v>12.063700000000001</v>
      </c>
      <c r="N288" s="9">
        <v>4.9444999999999997</v>
      </c>
      <c r="O288" s="9">
        <v>0.37409999999999999</v>
      </c>
      <c r="P288" s="9">
        <v>1.2183999999999999</v>
      </c>
      <c r="Q288" s="9">
        <v>30.5152</v>
      </c>
      <c r="R288" s="9"/>
      <c r="S288" s="11"/>
    </row>
    <row r="289" spans="1:19" ht="15.75">
      <c r="A289" s="14">
        <v>50284</v>
      </c>
      <c r="B289" s="8">
        <f>CHOOSE( CONTROL!$C$32, 8.486, 8.4836) * CHOOSE(CONTROL!$C$15, $D$11, 100%, $F$11)</f>
        <v>8.4860000000000007</v>
      </c>
      <c r="C289" s="8">
        <f>CHOOSE( CONTROL!$C$32, 8.4966, 8.4942) * CHOOSE(CONTROL!$C$15, $D$11, 100%, $F$11)</f>
        <v>8.4966000000000008</v>
      </c>
      <c r="D289" s="8">
        <f>CHOOSE( CONTROL!$C$32, 8.5328, 8.5304) * CHOOSE( CONTROL!$C$15, $D$11, 100%, $F$11)</f>
        <v>8.5327999999999999</v>
      </c>
      <c r="E289" s="12">
        <f>CHOOSE( CONTROL!$C$32, 8.5181, 8.5157) * CHOOSE( CONTROL!$C$15, $D$11, 100%, $F$11)</f>
        <v>8.5181000000000004</v>
      </c>
      <c r="F289" s="4">
        <f>CHOOSE( CONTROL!$C$32, 9.2253, 9.223) * CHOOSE(CONTROL!$C$15, $D$11, 100%, $F$11)</f>
        <v>9.2253000000000007</v>
      </c>
      <c r="G289" s="8">
        <f>CHOOSE( CONTROL!$C$32, 8.2892, 8.2868) * CHOOSE( CONTROL!$C$15, $D$11, 100%, $F$11)</f>
        <v>8.2891999999999992</v>
      </c>
      <c r="H289" s="4">
        <f>CHOOSE( CONTROL!$C$32, 9.2537, 9.2514) * CHOOSE(CONTROL!$C$15, $D$11, 100%, $F$11)</f>
        <v>9.2537000000000003</v>
      </c>
      <c r="I289" s="8">
        <f>CHOOSE( CONTROL!$C$32, 8.2482, 8.2459) * CHOOSE(CONTROL!$C$15, $D$11, 100%, $F$11)</f>
        <v>8.2482000000000006</v>
      </c>
      <c r="J289" s="4">
        <f>CHOOSE( CONTROL!$C$32, 8.1331, 8.1308) * CHOOSE(CONTROL!$C$15, $D$11, 100%, $F$11)</f>
        <v>8.1331000000000007</v>
      </c>
      <c r="K289" s="4"/>
      <c r="L289" s="9">
        <v>29.7257</v>
      </c>
      <c r="M289" s="9">
        <v>11.6745</v>
      </c>
      <c r="N289" s="9">
        <v>4.7850000000000001</v>
      </c>
      <c r="O289" s="9">
        <v>0.36199999999999999</v>
      </c>
      <c r="P289" s="9">
        <v>1.1791</v>
      </c>
      <c r="Q289" s="9">
        <v>29.530799999999999</v>
      </c>
      <c r="R289" s="9"/>
      <c r="S289" s="11"/>
    </row>
    <row r="290" spans="1:19" ht="15.75">
      <c r="A290" s="14">
        <v>50314</v>
      </c>
      <c r="B290" s="8">
        <f>8.8599 * CHOOSE(CONTROL!$C$15, $D$11, 100%, $F$11)</f>
        <v>8.8598999999999997</v>
      </c>
      <c r="C290" s="8">
        <f>8.8707 * CHOOSE(CONTROL!$C$15, $D$11, 100%, $F$11)</f>
        <v>8.8706999999999994</v>
      </c>
      <c r="D290" s="8">
        <f>8.9082 * CHOOSE( CONTROL!$C$15, $D$11, 100%, $F$11)</f>
        <v>8.9082000000000008</v>
      </c>
      <c r="E290" s="12">
        <f>8.8947 * CHOOSE( CONTROL!$C$15, $D$11, 100%, $F$11)</f>
        <v>8.8947000000000003</v>
      </c>
      <c r="F290" s="4">
        <f>9.5992 * CHOOSE(CONTROL!$C$15, $D$11, 100%, $F$11)</f>
        <v>9.5991999999999997</v>
      </c>
      <c r="G290" s="8">
        <f>8.6544 * CHOOSE( CONTROL!$C$15, $D$11, 100%, $F$11)</f>
        <v>8.6544000000000008</v>
      </c>
      <c r="H290" s="4">
        <f>9.6192 * CHOOSE(CONTROL!$C$15, $D$11, 100%, $F$11)</f>
        <v>9.6191999999999993</v>
      </c>
      <c r="I290" s="8">
        <f>8.6081 * CHOOSE(CONTROL!$C$15, $D$11, 100%, $F$11)</f>
        <v>8.6081000000000003</v>
      </c>
      <c r="J290" s="4">
        <f>8.492 * CHOOSE(CONTROL!$C$15, $D$11, 100%, $F$11)</f>
        <v>8.4920000000000009</v>
      </c>
      <c r="K290" s="4"/>
      <c r="L290" s="9">
        <v>31.095300000000002</v>
      </c>
      <c r="M290" s="9">
        <v>12.063700000000001</v>
      </c>
      <c r="N290" s="9">
        <v>4.9444999999999997</v>
      </c>
      <c r="O290" s="9">
        <v>0.37409999999999999</v>
      </c>
      <c r="P290" s="9">
        <v>1.2183999999999999</v>
      </c>
      <c r="Q290" s="9">
        <v>30.5152</v>
      </c>
      <c r="R290" s="9"/>
      <c r="S290" s="11"/>
    </row>
    <row r="291" spans="1:19" ht="15.75">
      <c r="A291" s="14">
        <v>50345</v>
      </c>
      <c r="B291" s="8">
        <f>9.5543 * CHOOSE(CONTROL!$C$15, $D$11, 100%, $F$11)</f>
        <v>9.5542999999999996</v>
      </c>
      <c r="C291" s="8">
        <f>9.5651 * CHOOSE(CONTROL!$C$15, $D$11, 100%, $F$11)</f>
        <v>9.5650999999999993</v>
      </c>
      <c r="D291" s="8">
        <f>9.5478 * CHOOSE( CONTROL!$C$15, $D$11, 100%, $F$11)</f>
        <v>9.5478000000000005</v>
      </c>
      <c r="E291" s="12">
        <f>9.553 * CHOOSE( CONTROL!$C$15, $D$11, 100%, $F$11)</f>
        <v>9.5530000000000008</v>
      </c>
      <c r="F291" s="4">
        <f>10.2128 * CHOOSE(CONTROL!$C$15, $D$11, 100%, $F$11)</f>
        <v>10.2128</v>
      </c>
      <c r="G291" s="8">
        <f>9.34 * CHOOSE( CONTROL!$C$15, $D$11, 100%, $F$11)</f>
        <v>9.34</v>
      </c>
      <c r="H291" s="4">
        <f>10.2192 * CHOOSE(CONTROL!$C$15, $D$11, 100%, $F$11)</f>
        <v>10.219200000000001</v>
      </c>
      <c r="I291" s="8">
        <f>9.3123 * CHOOSE(CONTROL!$C$15, $D$11, 100%, $F$11)</f>
        <v>9.3123000000000005</v>
      </c>
      <c r="J291" s="4">
        <f>9.1587 * CHOOSE(CONTROL!$C$15, $D$11, 100%, $F$11)</f>
        <v>9.1586999999999996</v>
      </c>
      <c r="K291" s="4"/>
      <c r="L291" s="9">
        <v>28.360600000000002</v>
      </c>
      <c r="M291" s="9">
        <v>11.6745</v>
      </c>
      <c r="N291" s="9">
        <v>4.7850000000000001</v>
      </c>
      <c r="O291" s="9">
        <v>0.36199999999999999</v>
      </c>
      <c r="P291" s="9">
        <v>1.2509999999999999</v>
      </c>
      <c r="Q291" s="9">
        <v>29.530799999999999</v>
      </c>
      <c r="R291" s="9"/>
      <c r="S291" s="11"/>
    </row>
    <row r="292" spans="1:19" ht="15.75">
      <c r="A292" s="14">
        <v>50375</v>
      </c>
      <c r="B292" s="8">
        <f>9.537 * CHOOSE(CONTROL!$C$15, $D$11, 100%, $F$11)</f>
        <v>9.5370000000000008</v>
      </c>
      <c r="C292" s="8">
        <f>9.5478 * CHOOSE(CONTROL!$C$15, $D$11, 100%, $F$11)</f>
        <v>9.5478000000000005</v>
      </c>
      <c r="D292" s="8">
        <f>9.5322 * CHOOSE( CONTROL!$C$15, $D$11, 100%, $F$11)</f>
        <v>9.5321999999999996</v>
      </c>
      <c r="E292" s="12">
        <f>9.5368 * CHOOSE( CONTROL!$C$15, $D$11, 100%, $F$11)</f>
        <v>9.5367999999999995</v>
      </c>
      <c r="F292" s="4">
        <f>10.1955 * CHOOSE(CONTROL!$C$15, $D$11, 100%, $F$11)</f>
        <v>10.195499999999999</v>
      </c>
      <c r="G292" s="8">
        <f>9.3242 * CHOOSE( CONTROL!$C$15, $D$11, 100%, $F$11)</f>
        <v>9.3241999999999994</v>
      </c>
      <c r="H292" s="4">
        <f>10.2023 * CHOOSE(CONTROL!$C$15, $D$11, 100%, $F$11)</f>
        <v>10.202299999999999</v>
      </c>
      <c r="I292" s="8">
        <f>9.3008 * CHOOSE(CONTROL!$C$15, $D$11, 100%, $F$11)</f>
        <v>9.3008000000000006</v>
      </c>
      <c r="J292" s="4">
        <f>9.142 * CHOOSE(CONTROL!$C$15, $D$11, 100%, $F$11)</f>
        <v>9.1419999999999995</v>
      </c>
      <c r="K292" s="4"/>
      <c r="L292" s="9">
        <v>29.306000000000001</v>
      </c>
      <c r="M292" s="9">
        <v>12.063700000000001</v>
      </c>
      <c r="N292" s="9">
        <v>4.9444999999999997</v>
      </c>
      <c r="O292" s="9">
        <v>0.37409999999999999</v>
      </c>
      <c r="P292" s="9">
        <v>1.2927</v>
      </c>
      <c r="Q292" s="9">
        <v>30.5152</v>
      </c>
      <c r="R292" s="9"/>
      <c r="S292" s="11"/>
    </row>
    <row r="293" spans="1:19" ht="15.75">
      <c r="A293" s="13">
        <v>50436</v>
      </c>
      <c r="B293" s="8">
        <f>9.8179 * CHOOSE(CONTROL!$C$15, $D$11, 100%, $F$11)</f>
        <v>9.8178999999999998</v>
      </c>
      <c r="C293" s="8">
        <f>9.8286 * CHOOSE(CONTROL!$C$15, $D$11, 100%, $F$11)</f>
        <v>9.8285999999999998</v>
      </c>
      <c r="D293" s="8">
        <f>9.81 * CHOOSE( CONTROL!$C$15, $D$11, 100%, $F$11)</f>
        <v>9.81</v>
      </c>
      <c r="E293" s="12">
        <f>9.8157 * CHOOSE( CONTROL!$C$15, $D$11, 100%, $F$11)</f>
        <v>9.8156999999999996</v>
      </c>
      <c r="F293" s="4">
        <f>10.4764 * CHOOSE(CONTROL!$C$15, $D$11, 100%, $F$11)</f>
        <v>10.4764</v>
      </c>
      <c r="G293" s="8">
        <f>9.5913 * CHOOSE( CONTROL!$C$15, $D$11, 100%, $F$11)</f>
        <v>9.5913000000000004</v>
      </c>
      <c r="H293" s="4">
        <f>10.4769 * CHOOSE(CONTROL!$C$15, $D$11, 100%, $F$11)</f>
        <v>10.476900000000001</v>
      </c>
      <c r="I293" s="8">
        <f>9.5355 * CHOOSE(CONTROL!$C$15, $D$11, 100%, $F$11)</f>
        <v>9.5355000000000008</v>
      </c>
      <c r="J293" s="4">
        <f>9.4117 * CHOOSE(CONTROL!$C$15, $D$11, 100%, $F$11)</f>
        <v>9.4116999999999997</v>
      </c>
      <c r="K293" s="4"/>
      <c r="L293" s="9">
        <v>29.306000000000001</v>
      </c>
      <c r="M293" s="9">
        <v>12.063700000000001</v>
      </c>
      <c r="N293" s="9">
        <v>4.9444999999999997</v>
      </c>
      <c r="O293" s="9">
        <v>0.37409999999999999</v>
      </c>
      <c r="P293" s="9">
        <v>1.2927</v>
      </c>
      <c r="Q293" s="9">
        <v>30.451899999999998</v>
      </c>
      <c r="R293" s="9"/>
      <c r="S293" s="11"/>
    </row>
    <row r="294" spans="1:19" ht="15.75">
      <c r="A294" s="13">
        <v>50464</v>
      </c>
      <c r="B294" s="8">
        <f>9.1841 * CHOOSE(CONTROL!$C$15, $D$11, 100%, $F$11)</f>
        <v>9.1841000000000008</v>
      </c>
      <c r="C294" s="8">
        <f>9.1949 * CHOOSE(CONTROL!$C$15, $D$11, 100%, $F$11)</f>
        <v>9.1949000000000005</v>
      </c>
      <c r="D294" s="8">
        <f>9.1762 * CHOOSE( CONTROL!$C$15, $D$11, 100%, $F$11)</f>
        <v>9.1761999999999997</v>
      </c>
      <c r="E294" s="12">
        <f>9.1819 * CHOOSE( CONTROL!$C$15, $D$11, 100%, $F$11)</f>
        <v>9.1819000000000006</v>
      </c>
      <c r="F294" s="4">
        <f>9.8426 * CHOOSE(CONTROL!$C$15, $D$11, 100%, $F$11)</f>
        <v>9.8425999999999991</v>
      </c>
      <c r="G294" s="8">
        <f>8.9716 * CHOOSE( CONTROL!$C$15, $D$11, 100%, $F$11)</f>
        <v>8.9716000000000005</v>
      </c>
      <c r="H294" s="4">
        <f>9.8573 * CHOOSE(CONTROL!$C$15, $D$11, 100%, $F$11)</f>
        <v>9.8573000000000004</v>
      </c>
      <c r="I294" s="8">
        <f>8.9264 * CHOOSE(CONTROL!$C$15, $D$11, 100%, $F$11)</f>
        <v>8.9263999999999992</v>
      </c>
      <c r="J294" s="4">
        <f>8.8032 * CHOOSE(CONTROL!$C$15, $D$11, 100%, $F$11)</f>
        <v>8.8032000000000004</v>
      </c>
      <c r="K294" s="4"/>
      <c r="L294" s="9">
        <v>26.469899999999999</v>
      </c>
      <c r="M294" s="9">
        <v>10.8962</v>
      </c>
      <c r="N294" s="9">
        <v>4.4660000000000002</v>
      </c>
      <c r="O294" s="9">
        <v>0.33789999999999998</v>
      </c>
      <c r="P294" s="9">
        <v>1.1676</v>
      </c>
      <c r="Q294" s="9">
        <v>27.504999999999999</v>
      </c>
      <c r="R294" s="9"/>
      <c r="S294" s="11"/>
    </row>
    <row r="295" spans="1:19" ht="15.75">
      <c r="A295" s="13">
        <v>50495</v>
      </c>
      <c r="B295" s="8">
        <f>8.9889 * CHOOSE(CONTROL!$C$15, $D$11, 100%, $F$11)</f>
        <v>8.9888999999999992</v>
      </c>
      <c r="C295" s="8">
        <f>8.9997 * CHOOSE(CONTROL!$C$15, $D$11, 100%, $F$11)</f>
        <v>8.9997000000000007</v>
      </c>
      <c r="D295" s="8">
        <f>8.9805 * CHOOSE( CONTROL!$C$15, $D$11, 100%, $F$11)</f>
        <v>8.9804999999999993</v>
      </c>
      <c r="E295" s="12">
        <f>8.9864 * CHOOSE( CONTROL!$C$15, $D$11, 100%, $F$11)</f>
        <v>8.9863999999999997</v>
      </c>
      <c r="F295" s="4">
        <f>9.6474 * CHOOSE(CONTROL!$C$15, $D$11, 100%, $F$11)</f>
        <v>9.6473999999999993</v>
      </c>
      <c r="G295" s="8">
        <f>8.7804 * CHOOSE( CONTROL!$C$15, $D$11, 100%, $F$11)</f>
        <v>8.7804000000000002</v>
      </c>
      <c r="H295" s="4">
        <f>9.6664 * CHOOSE(CONTROL!$C$15, $D$11, 100%, $F$11)</f>
        <v>9.6663999999999994</v>
      </c>
      <c r="I295" s="8">
        <f>8.7374 * CHOOSE(CONTROL!$C$15, $D$11, 100%, $F$11)</f>
        <v>8.7373999999999992</v>
      </c>
      <c r="J295" s="4">
        <f>8.6158 * CHOOSE(CONTROL!$C$15, $D$11, 100%, $F$11)</f>
        <v>8.6158000000000001</v>
      </c>
      <c r="K295" s="4"/>
      <c r="L295" s="9">
        <v>29.306000000000001</v>
      </c>
      <c r="M295" s="9">
        <v>12.063700000000001</v>
      </c>
      <c r="N295" s="9">
        <v>4.9444999999999997</v>
      </c>
      <c r="O295" s="9">
        <v>0.37409999999999999</v>
      </c>
      <c r="P295" s="9">
        <v>1.2927</v>
      </c>
      <c r="Q295" s="9">
        <v>30.451899999999998</v>
      </c>
      <c r="R295" s="9"/>
      <c r="S295" s="11"/>
    </row>
    <row r="296" spans="1:19" ht="15.75">
      <c r="A296" s="13">
        <v>50525</v>
      </c>
      <c r="B296" s="8">
        <f>9.1253 * CHOOSE(CONTROL!$C$15, $D$11, 100%, $F$11)</f>
        <v>9.1252999999999993</v>
      </c>
      <c r="C296" s="8">
        <f>9.1361 * CHOOSE(CONTROL!$C$15, $D$11, 100%, $F$11)</f>
        <v>9.1361000000000008</v>
      </c>
      <c r="D296" s="8">
        <f>9.173 * CHOOSE( CONTROL!$C$15, $D$11, 100%, $F$11)</f>
        <v>9.173</v>
      </c>
      <c r="E296" s="12">
        <f>9.1596 * CHOOSE( CONTROL!$C$15, $D$11, 100%, $F$11)</f>
        <v>9.1595999999999993</v>
      </c>
      <c r="F296" s="4">
        <f>9.8646 * CHOOSE(CONTROL!$C$15, $D$11, 100%, $F$11)</f>
        <v>9.8645999999999994</v>
      </c>
      <c r="G296" s="8">
        <f>8.913 * CHOOSE( CONTROL!$C$15, $D$11, 100%, $F$11)</f>
        <v>8.9130000000000003</v>
      </c>
      <c r="H296" s="4">
        <f>9.8787 * CHOOSE(CONTROL!$C$15, $D$11, 100%, $F$11)</f>
        <v>9.8787000000000003</v>
      </c>
      <c r="I296" s="8">
        <f>8.8603 * CHOOSE(CONTROL!$C$15, $D$11, 100%, $F$11)</f>
        <v>8.8603000000000005</v>
      </c>
      <c r="J296" s="4">
        <f>8.7468 * CHOOSE(CONTROL!$C$15, $D$11, 100%, $F$11)</f>
        <v>8.7468000000000004</v>
      </c>
      <c r="K296" s="4"/>
      <c r="L296" s="9">
        <v>30.092199999999998</v>
      </c>
      <c r="M296" s="9">
        <v>11.6745</v>
      </c>
      <c r="N296" s="9">
        <v>4.7850000000000001</v>
      </c>
      <c r="O296" s="9">
        <v>0.36199999999999999</v>
      </c>
      <c r="P296" s="9">
        <v>1.1791</v>
      </c>
      <c r="Q296" s="9">
        <v>29.4696</v>
      </c>
      <c r="R296" s="9"/>
      <c r="S296" s="11"/>
    </row>
    <row r="297" spans="1:19" ht="15.75">
      <c r="A297" s="13">
        <v>50556</v>
      </c>
      <c r="B297" s="8">
        <f>CHOOSE( CONTROL!$C$32, 9.3703, 9.3679) * CHOOSE(CONTROL!$C$15, $D$11, 100%, $F$11)</f>
        <v>9.3703000000000003</v>
      </c>
      <c r="C297" s="8">
        <f>CHOOSE( CONTROL!$C$32, 9.3809, 9.3785) * CHOOSE(CONTROL!$C$15, $D$11, 100%, $F$11)</f>
        <v>9.3809000000000005</v>
      </c>
      <c r="D297" s="8">
        <f>CHOOSE( CONTROL!$C$32, 9.4167, 9.4143) * CHOOSE( CONTROL!$C$15, $D$11, 100%, $F$11)</f>
        <v>9.4167000000000005</v>
      </c>
      <c r="E297" s="12">
        <f>CHOOSE( CONTROL!$C$32, 9.4021, 9.3997) * CHOOSE( CONTROL!$C$15, $D$11, 100%, $F$11)</f>
        <v>9.4021000000000008</v>
      </c>
      <c r="F297" s="4">
        <f>CHOOSE( CONTROL!$C$32, 10.1097, 10.1073) * CHOOSE(CONTROL!$C$15, $D$11, 100%, $F$11)</f>
        <v>10.1097</v>
      </c>
      <c r="G297" s="8">
        <f>CHOOSE( CONTROL!$C$32, 9.1532, 9.1508) * CHOOSE( CONTROL!$C$15, $D$11, 100%, $F$11)</f>
        <v>9.1532</v>
      </c>
      <c r="H297" s="4">
        <f>CHOOSE( CONTROL!$C$32, 10.1184, 10.116) * CHOOSE(CONTROL!$C$15, $D$11, 100%, $F$11)</f>
        <v>10.118399999999999</v>
      </c>
      <c r="I297" s="8">
        <f>CHOOSE( CONTROL!$C$32, 9.0959, 9.0936) * CHOOSE(CONTROL!$C$15, $D$11, 100%, $F$11)</f>
        <v>9.0959000000000003</v>
      </c>
      <c r="J297" s="4">
        <f>CHOOSE( CONTROL!$C$32, 8.9821, 8.9798) * CHOOSE(CONTROL!$C$15, $D$11, 100%, $F$11)</f>
        <v>8.9821000000000009</v>
      </c>
      <c r="K297" s="4"/>
      <c r="L297" s="9">
        <v>30.7165</v>
      </c>
      <c r="M297" s="9">
        <v>12.063700000000001</v>
      </c>
      <c r="N297" s="9">
        <v>4.9444999999999997</v>
      </c>
      <c r="O297" s="9">
        <v>0.37409999999999999</v>
      </c>
      <c r="P297" s="9">
        <v>1.2183999999999999</v>
      </c>
      <c r="Q297" s="9">
        <v>30.451899999999998</v>
      </c>
      <c r="R297" s="9"/>
      <c r="S297" s="11"/>
    </row>
    <row r="298" spans="1:19" ht="15.75">
      <c r="A298" s="13">
        <v>50586</v>
      </c>
      <c r="B298" s="8">
        <f>CHOOSE( CONTROL!$C$32, 9.22, 9.2176) * CHOOSE(CONTROL!$C$15, $D$11, 100%, $F$11)</f>
        <v>9.2200000000000006</v>
      </c>
      <c r="C298" s="8">
        <f>CHOOSE( CONTROL!$C$32, 9.2305, 9.2281) * CHOOSE(CONTROL!$C$15, $D$11, 100%, $F$11)</f>
        <v>9.2304999999999993</v>
      </c>
      <c r="D298" s="8">
        <f>CHOOSE( CONTROL!$C$32, 9.2666, 9.2642) * CHOOSE( CONTROL!$C$15, $D$11, 100%, $F$11)</f>
        <v>9.2666000000000004</v>
      </c>
      <c r="E298" s="12">
        <f>CHOOSE( CONTROL!$C$32, 9.2519, 9.2495) * CHOOSE( CONTROL!$C$15, $D$11, 100%, $F$11)</f>
        <v>9.2518999999999991</v>
      </c>
      <c r="F298" s="4">
        <f>CHOOSE( CONTROL!$C$32, 9.9593, 9.9569) * CHOOSE(CONTROL!$C$15, $D$11, 100%, $F$11)</f>
        <v>9.9593000000000007</v>
      </c>
      <c r="G298" s="8">
        <f>CHOOSE( CONTROL!$C$32, 9.0065, 9.0041) * CHOOSE( CONTROL!$C$15, $D$11, 100%, $F$11)</f>
        <v>9.0065000000000008</v>
      </c>
      <c r="H298" s="4">
        <f>CHOOSE( CONTROL!$C$32, 9.9713, 9.969) * CHOOSE(CONTROL!$C$15, $D$11, 100%, $F$11)</f>
        <v>9.9712999999999994</v>
      </c>
      <c r="I298" s="8">
        <f>CHOOSE( CONTROL!$C$32, 8.9523, 8.95) * CHOOSE(CONTROL!$C$15, $D$11, 100%, $F$11)</f>
        <v>8.9522999999999993</v>
      </c>
      <c r="J298" s="4">
        <f>CHOOSE( CONTROL!$C$32, 8.8378, 8.8355) * CHOOSE(CONTROL!$C$15, $D$11, 100%, $F$11)</f>
        <v>8.8377999999999997</v>
      </c>
      <c r="K298" s="4"/>
      <c r="L298" s="9">
        <v>29.7257</v>
      </c>
      <c r="M298" s="9">
        <v>11.6745</v>
      </c>
      <c r="N298" s="9">
        <v>4.7850000000000001</v>
      </c>
      <c r="O298" s="9">
        <v>0.36199999999999999</v>
      </c>
      <c r="P298" s="9">
        <v>1.1791</v>
      </c>
      <c r="Q298" s="9">
        <v>29.4696</v>
      </c>
      <c r="R298" s="9"/>
      <c r="S298" s="11"/>
    </row>
    <row r="299" spans="1:19" ht="15.75">
      <c r="A299" s="13">
        <v>50617</v>
      </c>
      <c r="B299" s="8">
        <f>CHOOSE( CONTROL!$C$32, 9.6159, 9.6136) * CHOOSE(CONTROL!$C$15, $D$11, 100%, $F$11)</f>
        <v>9.6158999999999999</v>
      </c>
      <c r="C299" s="8">
        <f>CHOOSE( CONTROL!$C$32, 9.6265, 9.6241) * CHOOSE(CONTROL!$C$15, $D$11, 100%, $F$11)</f>
        <v>9.6265000000000001</v>
      </c>
      <c r="D299" s="8">
        <f>CHOOSE( CONTROL!$C$32, 9.6628, 9.6604) * CHOOSE( CONTROL!$C$15, $D$11, 100%, $F$11)</f>
        <v>9.6628000000000007</v>
      </c>
      <c r="E299" s="12">
        <f>CHOOSE( CONTROL!$C$32, 9.648, 9.6456) * CHOOSE( CONTROL!$C$15, $D$11, 100%, $F$11)</f>
        <v>9.6479999999999997</v>
      </c>
      <c r="F299" s="4">
        <f>CHOOSE( CONTROL!$C$32, 10.3553, 10.3529) * CHOOSE(CONTROL!$C$15, $D$11, 100%, $F$11)</f>
        <v>10.3553</v>
      </c>
      <c r="G299" s="8">
        <f>CHOOSE( CONTROL!$C$32, 9.3939, 9.3916) * CHOOSE( CONTROL!$C$15, $D$11, 100%, $F$11)</f>
        <v>9.3939000000000004</v>
      </c>
      <c r="H299" s="4">
        <f>CHOOSE( CONTROL!$C$32, 10.3585, 10.3562) * CHOOSE(CONTROL!$C$15, $D$11, 100%, $F$11)</f>
        <v>10.358499999999999</v>
      </c>
      <c r="I299" s="8">
        <f>CHOOSE( CONTROL!$C$32, 9.3337, 9.3314) * CHOOSE(CONTROL!$C$15, $D$11, 100%, $F$11)</f>
        <v>9.3337000000000003</v>
      </c>
      <c r="J299" s="4">
        <f>CHOOSE( CONTROL!$C$32, 9.2179, 9.2156) * CHOOSE(CONTROL!$C$15, $D$11, 100%, $F$11)</f>
        <v>9.2179000000000002</v>
      </c>
      <c r="K299" s="4"/>
      <c r="L299" s="9">
        <v>30.7165</v>
      </c>
      <c r="M299" s="9">
        <v>12.063700000000001</v>
      </c>
      <c r="N299" s="9">
        <v>4.9444999999999997</v>
      </c>
      <c r="O299" s="9">
        <v>0.37409999999999999</v>
      </c>
      <c r="P299" s="9">
        <v>1.2183999999999999</v>
      </c>
      <c r="Q299" s="9">
        <v>30.451899999999998</v>
      </c>
      <c r="R299" s="9"/>
      <c r="S299" s="11"/>
    </row>
    <row r="300" spans="1:19" ht="15.75">
      <c r="A300" s="13">
        <v>50648</v>
      </c>
      <c r="B300" s="8">
        <f>CHOOSE( CONTROL!$C$32, 8.875, 8.8726) * CHOOSE(CONTROL!$C$15, $D$11, 100%, $F$11)</f>
        <v>8.875</v>
      </c>
      <c r="C300" s="8">
        <f>CHOOSE( CONTROL!$C$32, 8.8856, 8.8832) * CHOOSE(CONTROL!$C$15, $D$11, 100%, $F$11)</f>
        <v>8.8856000000000002</v>
      </c>
      <c r="D300" s="8">
        <f>CHOOSE( CONTROL!$C$32, 8.9219, 8.9195) * CHOOSE( CONTROL!$C$15, $D$11, 100%, $F$11)</f>
        <v>8.9219000000000008</v>
      </c>
      <c r="E300" s="12">
        <f>CHOOSE( CONTROL!$C$32, 8.9071, 8.9047) * CHOOSE( CONTROL!$C$15, $D$11, 100%, $F$11)</f>
        <v>8.9070999999999998</v>
      </c>
      <c r="F300" s="4">
        <f>CHOOSE( CONTROL!$C$32, 9.6144, 9.612) * CHOOSE(CONTROL!$C$15, $D$11, 100%, $F$11)</f>
        <v>9.6143999999999998</v>
      </c>
      <c r="G300" s="8">
        <f>CHOOSE( CONTROL!$C$32, 8.6696, 8.6673) * CHOOSE( CONTROL!$C$15, $D$11, 100%, $F$11)</f>
        <v>8.6696000000000009</v>
      </c>
      <c r="H300" s="4">
        <f>CHOOSE( CONTROL!$C$32, 9.6341, 9.6317) * CHOOSE(CONTROL!$C$15, $D$11, 100%, $F$11)</f>
        <v>9.6341000000000001</v>
      </c>
      <c r="I300" s="8">
        <f>CHOOSE( CONTROL!$C$32, 8.6222, 8.6199) * CHOOSE(CONTROL!$C$15, $D$11, 100%, $F$11)</f>
        <v>8.6221999999999994</v>
      </c>
      <c r="J300" s="4">
        <f>CHOOSE( CONTROL!$C$32, 8.5066, 8.5043) * CHOOSE(CONTROL!$C$15, $D$11, 100%, $F$11)</f>
        <v>8.5066000000000006</v>
      </c>
      <c r="K300" s="4"/>
      <c r="L300" s="9">
        <v>30.7165</v>
      </c>
      <c r="M300" s="9">
        <v>12.063700000000001</v>
      </c>
      <c r="N300" s="9">
        <v>4.9444999999999997</v>
      </c>
      <c r="O300" s="9">
        <v>0.37409999999999999</v>
      </c>
      <c r="P300" s="9">
        <v>1.2183999999999999</v>
      </c>
      <c r="Q300" s="9">
        <v>30.451899999999998</v>
      </c>
      <c r="R300" s="9"/>
      <c r="S300" s="11"/>
    </row>
    <row r="301" spans="1:19" ht="15.75">
      <c r="A301" s="13">
        <v>50678</v>
      </c>
      <c r="B301" s="8">
        <f>CHOOSE( CONTROL!$C$32, 8.6895, 8.6871) * CHOOSE(CONTROL!$C$15, $D$11, 100%, $F$11)</f>
        <v>8.6895000000000007</v>
      </c>
      <c r="C301" s="8">
        <f>CHOOSE( CONTROL!$C$32, 8.7, 8.6976) * CHOOSE(CONTROL!$C$15, $D$11, 100%, $F$11)</f>
        <v>8.6999999999999993</v>
      </c>
      <c r="D301" s="8">
        <f>CHOOSE( CONTROL!$C$32, 8.7363, 8.7339) * CHOOSE( CONTROL!$C$15, $D$11, 100%, $F$11)</f>
        <v>8.7363</v>
      </c>
      <c r="E301" s="12">
        <f>CHOOSE( CONTROL!$C$32, 8.7215, 8.7191) * CHOOSE( CONTROL!$C$15, $D$11, 100%, $F$11)</f>
        <v>8.7215000000000007</v>
      </c>
      <c r="F301" s="4">
        <f>CHOOSE( CONTROL!$C$32, 9.4288, 9.4264) * CHOOSE(CONTROL!$C$15, $D$11, 100%, $F$11)</f>
        <v>9.4288000000000007</v>
      </c>
      <c r="G301" s="8">
        <f>CHOOSE( CONTROL!$C$32, 8.4881, 8.4858) * CHOOSE( CONTROL!$C$15, $D$11, 100%, $F$11)</f>
        <v>8.4880999999999993</v>
      </c>
      <c r="H301" s="4">
        <f>CHOOSE( CONTROL!$C$32, 9.4527, 9.4503) * CHOOSE(CONTROL!$C$15, $D$11, 100%, $F$11)</f>
        <v>9.4527000000000001</v>
      </c>
      <c r="I301" s="8">
        <f>CHOOSE( CONTROL!$C$32, 8.4437, 8.4414) * CHOOSE(CONTROL!$C$15, $D$11, 100%, $F$11)</f>
        <v>8.4436999999999998</v>
      </c>
      <c r="J301" s="4">
        <f>CHOOSE( CONTROL!$C$32, 8.3284, 8.3261) * CHOOSE(CONTROL!$C$15, $D$11, 100%, $F$11)</f>
        <v>8.3284000000000002</v>
      </c>
      <c r="K301" s="4"/>
      <c r="L301" s="9">
        <v>29.7257</v>
      </c>
      <c r="M301" s="9">
        <v>11.6745</v>
      </c>
      <c r="N301" s="9">
        <v>4.7850000000000001</v>
      </c>
      <c r="O301" s="9">
        <v>0.36199999999999999</v>
      </c>
      <c r="P301" s="9">
        <v>1.1791</v>
      </c>
      <c r="Q301" s="9">
        <v>29.4696</v>
      </c>
      <c r="R301" s="9"/>
      <c r="S301" s="11"/>
    </row>
    <row r="302" spans="1:19" ht="15.75">
      <c r="A302" s="13">
        <v>50709</v>
      </c>
      <c r="B302" s="8">
        <f>9.0724 * CHOOSE(CONTROL!$C$15, $D$11, 100%, $F$11)</f>
        <v>9.0724</v>
      </c>
      <c r="C302" s="8">
        <f>9.0832 * CHOOSE(CONTROL!$C$15, $D$11, 100%, $F$11)</f>
        <v>9.0831999999999997</v>
      </c>
      <c r="D302" s="8">
        <f>9.1207 * CHOOSE( CONTROL!$C$15, $D$11, 100%, $F$11)</f>
        <v>9.1206999999999994</v>
      </c>
      <c r="E302" s="12">
        <f>9.1072 * CHOOSE( CONTROL!$C$15, $D$11, 100%, $F$11)</f>
        <v>9.1072000000000006</v>
      </c>
      <c r="F302" s="4">
        <f>9.8117 * CHOOSE(CONTROL!$C$15, $D$11, 100%, $F$11)</f>
        <v>9.8117000000000001</v>
      </c>
      <c r="G302" s="8">
        <f>8.8622 * CHOOSE( CONTROL!$C$15, $D$11, 100%, $F$11)</f>
        <v>8.8621999999999996</v>
      </c>
      <c r="H302" s="4">
        <f>9.827 * CHOOSE(CONTROL!$C$15, $D$11, 100%, $F$11)</f>
        <v>9.827</v>
      </c>
      <c r="I302" s="8">
        <f>8.8122 * CHOOSE(CONTROL!$C$15, $D$11, 100%, $F$11)</f>
        <v>8.8122000000000007</v>
      </c>
      <c r="J302" s="4">
        <f>8.696 * CHOOSE(CONTROL!$C$15, $D$11, 100%, $F$11)</f>
        <v>8.6959999999999997</v>
      </c>
      <c r="K302" s="4"/>
      <c r="L302" s="9">
        <v>31.095300000000002</v>
      </c>
      <c r="M302" s="9">
        <v>12.063700000000001</v>
      </c>
      <c r="N302" s="9">
        <v>4.9444999999999997</v>
      </c>
      <c r="O302" s="9">
        <v>0.37409999999999999</v>
      </c>
      <c r="P302" s="9">
        <v>1.2183999999999999</v>
      </c>
      <c r="Q302" s="9">
        <v>30.451899999999998</v>
      </c>
      <c r="R302" s="9"/>
      <c r="S302" s="11"/>
    </row>
    <row r="303" spans="1:19" ht="15.75">
      <c r="A303" s="13">
        <v>50739</v>
      </c>
      <c r="B303" s="8">
        <f>9.7835 * CHOOSE(CONTROL!$C$15, $D$11, 100%, $F$11)</f>
        <v>9.7835000000000001</v>
      </c>
      <c r="C303" s="8">
        <f>9.7943 * CHOOSE(CONTROL!$C$15, $D$11, 100%, $F$11)</f>
        <v>9.7942999999999998</v>
      </c>
      <c r="D303" s="8">
        <f>9.7771 * CHOOSE( CONTROL!$C$15, $D$11, 100%, $F$11)</f>
        <v>9.7771000000000008</v>
      </c>
      <c r="E303" s="12">
        <f>9.7822 * CHOOSE( CONTROL!$C$15, $D$11, 100%, $F$11)</f>
        <v>9.7821999999999996</v>
      </c>
      <c r="F303" s="4">
        <f>10.442 * CHOOSE(CONTROL!$C$15, $D$11, 100%, $F$11)</f>
        <v>10.442</v>
      </c>
      <c r="G303" s="8">
        <f>9.564 * CHOOSE( CONTROL!$C$15, $D$11, 100%, $F$11)</f>
        <v>9.5640000000000001</v>
      </c>
      <c r="H303" s="4">
        <f>10.4433 * CHOOSE(CONTROL!$C$15, $D$11, 100%, $F$11)</f>
        <v>10.443300000000001</v>
      </c>
      <c r="I303" s="8">
        <f>9.5324 * CHOOSE(CONTROL!$C$15, $D$11, 100%, $F$11)</f>
        <v>9.5324000000000009</v>
      </c>
      <c r="J303" s="4">
        <f>9.3787 * CHOOSE(CONTROL!$C$15, $D$11, 100%, $F$11)</f>
        <v>9.3787000000000003</v>
      </c>
      <c r="K303" s="4"/>
      <c r="L303" s="9">
        <v>28.360600000000002</v>
      </c>
      <c r="M303" s="9">
        <v>11.6745</v>
      </c>
      <c r="N303" s="9">
        <v>4.7850000000000001</v>
      </c>
      <c r="O303" s="9">
        <v>0.36199999999999999</v>
      </c>
      <c r="P303" s="9">
        <v>1.2509999999999999</v>
      </c>
      <c r="Q303" s="9">
        <v>29.4696</v>
      </c>
      <c r="R303" s="9"/>
      <c r="S303" s="11"/>
    </row>
    <row r="304" spans="1:19" ht="15.75">
      <c r="A304" s="13">
        <v>50770</v>
      </c>
      <c r="B304" s="8">
        <f>9.7658 * CHOOSE(CONTROL!$C$15, $D$11, 100%, $F$11)</f>
        <v>9.7658000000000005</v>
      </c>
      <c r="C304" s="8">
        <f>9.7765 * CHOOSE(CONTROL!$C$15, $D$11, 100%, $F$11)</f>
        <v>9.7765000000000004</v>
      </c>
      <c r="D304" s="8">
        <f>9.761 * CHOOSE( CONTROL!$C$15, $D$11, 100%, $F$11)</f>
        <v>9.7609999999999992</v>
      </c>
      <c r="E304" s="12">
        <f>9.7655 * CHOOSE( CONTROL!$C$15, $D$11, 100%, $F$11)</f>
        <v>9.7654999999999994</v>
      </c>
      <c r="F304" s="4">
        <f>10.4243 * CHOOSE(CONTROL!$C$15, $D$11, 100%, $F$11)</f>
        <v>10.424300000000001</v>
      </c>
      <c r="G304" s="8">
        <f>9.5479 * CHOOSE( CONTROL!$C$15, $D$11, 100%, $F$11)</f>
        <v>9.5479000000000003</v>
      </c>
      <c r="H304" s="4">
        <f>10.4259 * CHOOSE(CONTROL!$C$15, $D$11, 100%, $F$11)</f>
        <v>10.4259</v>
      </c>
      <c r="I304" s="8">
        <f>9.5206 * CHOOSE(CONTROL!$C$15, $D$11, 100%, $F$11)</f>
        <v>9.5206</v>
      </c>
      <c r="J304" s="4">
        <f>9.3617 * CHOOSE(CONTROL!$C$15, $D$11, 100%, $F$11)</f>
        <v>9.3617000000000008</v>
      </c>
      <c r="K304" s="4"/>
      <c r="L304" s="9">
        <v>29.306000000000001</v>
      </c>
      <c r="M304" s="9">
        <v>12.063700000000001</v>
      </c>
      <c r="N304" s="9">
        <v>4.9444999999999997</v>
      </c>
      <c r="O304" s="9">
        <v>0.37409999999999999</v>
      </c>
      <c r="P304" s="9">
        <v>1.2927</v>
      </c>
      <c r="Q304" s="9">
        <v>30.451899999999998</v>
      </c>
      <c r="R304" s="9"/>
      <c r="S304" s="11"/>
    </row>
    <row r="305" spans="1:19" ht="15.75">
      <c r="A305" s="13">
        <v>50801</v>
      </c>
      <c r="B305" s="8">
        <f>10.0534 * CHOOSE(CONTROL!$C$15, $D$11, 100%, $F$11)</f>
        <v>10.0534</v>
      </c>
      <c r="C305" s="8">
        <f>10.0642 * CHOOSE(CONTROL!$C$15, $D$11, 100%, $F$11)</f>
        <v>10.0642</v>
      </c>
      <c r="D305" s="8">
        <f>10.0455 * CHOOSE( CONTROL!$C$15, $D$11, 100%, $F$11)</f>
        <v>10.045500000000001</v>
      </c>
      <c r="E305" s="12">
        <f>10.0512 * CHOOSE( CONTROL!$C$15, $D$11, 100%, $F$11)</f>
        <v>10.0512</v>
      </c>
      <c r="F305" s="4">
        <f>10.7119 * CHOOSE(CONTROL!$C$15, $D$11, 100%, $F$11)</f>
        <v>10.7119</v>
      </c>
      <c r="G305" s="8">
        <f>9.8216 * CHOOSE( CONTROL!$C$15, $D$11, 100%, $F$11)</f>
        <v>9.8216000000000001</v>
      </c>
      <c r="H305" s="4">
        <f>10.7071 * CHOOSE(CONTROL!$C$15, $D$11, 100%, $F$11)</f>
        <v>10.707100000000001</v>
      </c>
      <c r="I305" s="8">
        <f>9.7617 * CHOOSE(CONTROL!$C$15, $D$11, 100%, $F$11)</f>
        <v>9.7616999999999994</v>
      </c>
      <c r="J305" s="4">
        <f>9.6378 * CHOOSE(CONTROL!$C$15, $D$11, 100%, $F$11)</f>
        <v>9.6378000000000004</v>
      </c>
      <c r="K305" s="4"/>
      <c r="L305" s="9">
        <v>29.306000000000001</v>
      </c>
      <c r="M305" s="9">
        <v>12.063700000000001</v>
      </c>
      <c r="N305" s="9">
        <v>4.9444999999999997</v>
      </c>
      <c r="O305" s="9">
        <v>0.37409999999999999</v>
      </c>
      <c r="P305" s="9">
        <v>1.2927</v>
      </c>
      <c r="Q305" s="9">
        <v>30.386800000000001</v>
      </c>
      <c r="R305" s="9"/>
      <c r="S305" s="11"/>
    </row>
    <row r="306" spans="1:19" ht="15.75">
      <c r="A306" s="13">
        <v>50829</v>
      </c>
      <c r="B306" s="8">
        <f>9.4044 * CHOOSE(CONTROL!$C$15, $D$11, 100%, $F$11)</f>
        <v>9.4044000000000008</v>
      </c>
      <c r="C306" s="8">
        <f>9.4152 * CHOOSE(CONTROL!$C$15, $D$11, 100%, $F$11)</f>
        <v>9.4152000000000005</v>
      </c>
      <c r="D306" s="8">
        <f>9.3965 * CHOOSE( CONTROL!$C$15, $D$11, 100%, $F$11)</f>
        <v>9.3964999999999996</v>
      </c>
      <c r="E306" s="12">
        <f>9.4022 * CHOOSE( CONTROL!$C$15, $D$11, 100%, $F$11)</f>
        <v>9.4022000000000006</v>
      </c>
      <c r="F306" s="4">
        <f>10.0629 * CHOOSE(CONTROL!$C$15, $D$11, 100%, $F$11)</f>
        <v>10.062900000000001</v>
      </c>
      <c r="G306" s="8">
        <f>9.187 * CHOOSE( CONTROL!$C$15, $D$11, 100%, $F$11)</f>
        <v>9.1869999999999994</v>
      </c>
      <c r="H306" s="4">
        <f>10.0727 * CHOOSE(CONTROL!$C$15, $D$11, 100%, $F$11)</f>
        <v>10.072699999999999</v>
      </c>
      <c r="I306" s="8">
        <f>9.138 * CHOOSE(CONTROL!$C$15, $D$11, 100%, $F$11)</f>
        <v>9.1379999999999999</v>
      </c>
      <c r="J306" s="4">
        <f>9.0147 * CHOOSE(CONTROL!$C$15, $D$11, 100%, $F$11)</f>
        <v>9.0146999999999995</v>
      </c>
      <c r="K306" s="4"/>
      <c r="L306" s="9">
        <v>26.469899999999999</v>
      </c>
      <c r="M306" s="9">
        <v>10.8962</v>
      </c>
      <c r="N306" s="9">
        <v>4.4660000000000002</v>
      </c>
      <c r="O306" s="9">
        <v>0.33789999999999998</v>
      </c>
      <c r="P306" s="9">
        <v>1.1676</v>
      </c>
      <c r="Q306" s="9">
        <v>27.446200000000001</v>
      </c>
      <c r="R306" s="9"/>
      <c r="S306" s="11"/>
    </row>
    <row r="307" spans="1:19" ht="15.75">
      <c r="A307" s="13">
        <v>50860</v>
      </c>
      <c r="B307" s="8">
        <f>9.2046 * CHOOSE(CONTROL!$C$15, $D$11, 100%, $F$11)</f>
        <v>9.2045999999999992</v>
      </c>
      <c r="C307" s="8">
        <f>9.2153 * CHOOSE(CONTROL!$C$15, $D$11, 100%, $F$11)</f>
        <v>9.2152999999999992</v>
      </c>
      <c r="D307" s="8">
        <f>9.1961 * CHOOSE( CONTROL!$C$15, $D$11, 100%, $F$11)</f>
        <v>9.1960999999999995</v>
      </c>
      <c r="E307" s="12">
        <f>9.202 * CHOOSE( CONTROL!$C$15, $D$11, 100%, $F$11)</f>
        <v>9.202</v>
      </c>
      <c r="F307" s="4">
        <f>9.8631 * CHOOSE(CONTROL!$C$15, $D$11, 100%, $F$11)</f>
        <v>9.8630999999999993</v>
      </c>
      <c r="G307" s="8">
        <f>8.9912 * CHOOSE( CONTROL!$C$15, $D$11, 100%, $F$11)</f>
        <v>8.9911999999999992</v>
      </c>
      <c r="H307" s="4">
        <f>9.8772 * CHOOSE(CONTROL!$C$15, $D$11, 100%, $F$11)</f>
        <v>9.8772000000000002</v>
      </c>
      <c r="I307" s="8">
        <f>8.9446 * CHOOSE(CONTROL!$C$15, $D$11, 100%, $F$11)</f>
        <v>8.9445999999999994</v>
      </c>
      <c r="J307" s="4">
        <f>8.8228 * CHOOSE(CONTROL!$C$15, $D$11, 100%, $F$11)</f>
        <v>8.8228000000000009</v>
      </c>
      <c r="K307" s="4"/>
      <c r="L307" s="9">
        <v>29.306000000000001</v>
      </c>
      <c r="M307" s="9">
        <v>12.063700000000001</v>
      </c>
      <c r="N307" s="9">
        <v>4.9444999999999997</v>
      </c>
      <c r="O307" s="9">
        <v>0.37409999999999999</v>
      </c>
      <c r="P307" s="9">
        <v>1.2927</v>
      </c>
      <c r="Q307" s="9">
        <v>30.386800000000001</v>
      </c>
      <c r="R307" s="9"/>
      <c r="S307" s="11"/>
    </row>
    <row r="308" spans="1:19" ht="15.75">
      <c r="A308" s="13">
        <v>50890</v>
      </c>
      <c r="B308" s="8">
        <f>9.3442 * CHOOSE(CONTROL!$C$15, $D$11, 100%, $F$11)</f>
        <v>9.3442000000000007</v>
      </c>
      <c r="C308" s="8">
        <f>9.355 * CHOOSE(CONTROL!$C$15, $D$11, 100%, $F$11)</f>
        <v>9.3550000000000004</v>
      </c>
      <c r="D308" s="8">
        <f>9.3919 * CHOOSE( CONTROL!$C$15, $D$11, 100%, $F$11)</f>
        <v>9.3918999999999997</v>
      </c>
      <c r="E308" s="12">
        <f>9.3785 * CHOOSE( CONTROL!$C$15, $D$11, 100%, $F$11)</f>
        <v>9.3785000000000007</v>
      </c>
      <c r="F308" s="4">
        <f>10.0834 * CHOOSE(CONTROL!$C$15, $D$11, 100%, $F$11)</f>
        <v>10.083399999999999</v>
      </c>
      <c r="G308" s="8">
        <f>9.127 * CHOOSE( CONTROL!$C$15, $D$11, 100%, $F$11)</f>
        <v>9.1270000000000007</v>
      </c>
      <c r="H308" s="4">
        <f>10.0927 * CHOOSE(CONTROL!$C$15, $D$11, 100%, $F$11)</f>
        <v>10.092700000000001</v>
      </c>
      <c r="I308" s="8">
        <f>9.0706 * CHOOSE(CONTROL!$C$15, $D$11, 100%, $F$11)</f>
        <v>9.0706000000000007</v>
      </c>
      <c r="J308" s="4">
        <f>8.9569 * CHOOSE(CONTROL!$C$15, $D$11, 100%, $F$11)</f>
        <v>8.9568999999999992</v>
      </c>
      <c r="K308" s="4"/>
      <c r="L308" s="9">
        <v>30.092199999999998</v>
      </c>
      <c r="M308" s="9">
        <v>11.6745</v>
      </c>
      <c r="N308" s="9">
        <v>4.7850000000000001</v>
      </c>
      <c r="O308" s="9">
        <v>0.36199999999999999</v>
      </c>
      <c r="P308" s="9">
        <v>1.1791</v>
      </c>
      <c r="Q308" s="9">
        <v>29.406600000000001</v>
      </c>
      <c r="R308" s="9"/>
      <c r="S308" s="11"/>
    </row>
    <row r="309" spans="1:19" ht="15.75">
      <c r="A309" s="13">
        <v>50921</v>
      </c>
      <c r="B309" s="8">
        <f>CHOOSE( CONTROL!$C$32, 9.5951, 9.5927) * CHOOSE(CONTROL!$C$15, $D$11, 100%, $F$11)</f>
        <v>9.5951000000000004</v>
      </c>
      <c r="C309" s="8">
        <f>CHOOSE( CONTROL!$C$32, 9.6056, 9.6032) * CHOOSE(CONTROL!$C$15, $D$11, 100%, $F$11)</f>
        <v>9.6056000000000008</v>
      </c>
      <c r="D309" s="8">
        <f>CHOOSE( CONTROL!$C$32, 9.6415, 9.6391) * CHOOSE( CONTROL!$C$15, $D$11, 100%, $F$11)</f>
        <v>9.6415000000000006</v>
      </c>
      <c r="E309" s="12">
        <f>CHOOSE( CONTROL!$C$32, 9.6269, 9.6245) * CHOOSE( CONTROL!$C$15, $D$11, 100%, $F$11)</f>
        <v>9.6268999999999991</v>
      </c>
      <c r="F309" s="4">
        <f>CHOOSE( CONTROL!$C$32, 10.3344, 10.332) * CHOOSE(CONTROL!$C$15, $D$11, 100%, $F$11)</f>
        <v>10.3344</v>
      </c>
      <c r="G309" s="8">
        <f>CHOOSE( CONTROL!$C$32, 9.3729, 9.3706) * CHOOSE( CONTROL!$C$15, $D$11, 100%, $F$11)</f>
        <v>9.3728999999999996</v>
      </c>
      <c r="H309" s="4">
        <f>CHOOSE( CONTROL!$C$32, 10.3381, 10.3357) * CHOOSE(CONTROL!$C$15, $D$11, 100%, $F$11)</f>
        <v>10.338100000000001</v>
      </c>
      <c r="I309" s="8">
        <f>CHOOSE( CONTROL!$C$32, 9.3117, 9.3094) * CHOOSE(CONTROL!$C$15, $D$11, 100%, $F$11)</f>
        <v>9.3117000000000001</v>
      </c>
      <c r="J309" s="4">
        <f>CHOOSE( CONTROL!$C$32, 9.1979, 9.1956) * CHOOSE(CONTROL!$C$15, $D$11, 100%, $F$11)</f>
        <v>9.1979000000000006</v>
      </c>
      <c r="K309" s="4"/>
      <c r="L309" s="9">
        <v>30.7165</v>
      </c>
      <c r="M309" s="9">
        <v>12.063700000000001</v>
      </c>
      <c r="N309" s="9">
        <v>4.9444999999999997</v>
      </c>
      <c r="O309" s="9">
        <v>0.37409999999999999</v>
      </c>
      <c r="P309" s="9">
        <v>1.2183999999999999</v>
      </c>
      <c r="Q309" s="9">
        <v>30.386800000000001</v>
      </c>
      <c r="R309" s="9"/>
      <c r="S309" s="11"/>
    </row>
    <row r="310" spans="1:19" ht="15.75">
      <c r="A310" s="13">
        <v>50951</v>
      </c>
      <c r="B310" s="8">
        <f>CHOOSE( CONTROL!$C$32, 9.4411, 9.4387) * CHOOSE(CONTROL!$C$15, $D$11, 100%, $F$11)</f>
        <v>9.4411000000000005</v>
      </c>
      <c r="C310" s="8">
        <f>CHOOSE( CONTROL!$C$32, 9.4516, 9.4492) * CHOOSE(CONTROL!$C$15, $D$11, 100%, $F$11)</f>
        <v>9.4515999999999991</v>
      </c>
      <c r="D310" s="8">
        <f>CHOOSE( CONTROL!$C$32, 9.4877, 9.4853) * CHOOSE( CONTROL!$C$15, $D$11, 100%, $F$11)</f>
        <v>9.4877000000000002</v>
      </c>
      <c r="E310" s="12">
        <f>CHOOSE( CONTROL!$C$32, 9.473, 9.4706) * CHOOSE( CONTROL!$C$15, $D$11, 100%, $F$11)</f>
        <v>9.4730000000000008</v>
      </c>
      <c r="F310" s="4">
        <f>CHOOSE( CONTROL!$C$32, 10.1804, 10.178) * CHOOSE(CONTROL!$C$15, $D$11, 100%, $F$11)</f>
        <v>10.180400000000001</v>
      </c>
      <c r="G310" s="8">
        <f>CHOOSE( CONTROL!$C$32, 9.2226, 9.2203) * CHOOSE( CONTROL!$C$15, $D$11, 100%, $F$11)</f>
        <v>9.2225999999999999</v>
      </c>
      <c r="H310" s="4">
        <f>CHOOSE( CONTROL!$C$32, 10.1875, 10.1852) * CHOOSE(CONTROL!$C$15, $D$11, 100%, $F$11)</f>
        <v>10.1875</v>
      </c>
      <c r="I310" s="8">
        <f>CHOOSE( CONTROL!$C$32, 9.1647, 9.1624) * CHOOSE(CONTROL!$C$15, $D$11, 100%, $F$11)</f>
        <v>9.1646999999999998</v>
      </c>
      <c r="J310" s="4">
        <f>CHOOSE( CONTROL!$C$32, 9.05, 9.0477) * CHOOSE(CONTROL!$C$15, $D$11, 100%, $F$11)</f>
        <v>9.0500000000000007</v>
      </c>
      <c r="K310" s="4"/>
      <c r="L310" s="9">
        <v>29.7257</v>
      </c>
      <c r="M310" s="9">
        <v>11.6745</v>
      </c>
      <c r="N310" s="9">
        <v>4.7850000000000001</v>
      </c>
      <c r="O310" s="9">
        <v>0.36199999999999999</v>
      </c>
      <c r="P310" s="9">
        <v>1.1791</v>
      </c>
      <c r="Q310" s="9">
        <v>29.406600000000001</v>
      </c>
      <c r="R310" s="9"/>
      <c r="S310" s="11"/>
    </row>
    <row r="311" spans="1:19" ht="15.75">
      <c r="A311" s="13">
        <v>50982</v>
      </c>
      <c r="B311" s="8">
        <f>CHOOSE( CONTROL!$C$32, 9.8466, 9.8442) * CHOOSE(CONTROL!$C$15, $D$11, 100%, $F$11)</f>
        <v>9.8466000000000005</v>
      </c>
      <c r="C311" s="8">
        <f>CHOOSE( CONTROL!$C$32, 9.8571, 9.8548) * CHOOSE(CONTROL!$C$15, $D$11, 100%, $F$11)</f>
        <v>9.8571000000000009</v>
      </c>
      <c r="D311" s="8">
        <f>CHOOSE( CONTROL!$C$32, 9.8934, 9.891) * CHOOSE( CONTROL!$C$15, $D$11, 100%, $F$11)</f>
        <v>9.8933999999999997</v>
      </c>
      <c r="E311" s="12">
        <f>CHOOSE( CONTROL!$C$32, 9.8786, 9.8763) * CHOOSE( CONTROL!$C$15, $D$11, 100%, $F$11)</f>
        <v>9.8786000000000005</v>
      </c>
      <c r="F311" s="4">
        <f>CHOOSE( CONTROL!$C$32, 10.5859, 10.5835) * CHOOSE(CONTROL!$C$15, $D$11, 100%, $F$11)</f>
        <v>10.585900000000001</v>
      </c>
      <c r="G311" s="8">
        <f>CHOOSE( CONTROL!$C$32, 9.6194, 9.6171) * CHOOSE( CONTROL!$C$15, $D$11, 100%, $F$11)</f>
        <v>9.6194000000000006</v>
      </c>
      <c r="H311" s="4">
        <f>CHOOSE( CONTROL!$C$32, 10.584, 10.5817) * CHOOSE(CONTROL!$C$15, $D$11, 100%, $F$11)</f>
        <v>10.584</v>
      </c>
      <c r="I311" s="8">
        <f>CHOOSE( CONTROL!$C$32, 9.5553, 9.553) * CHOOSE(CONTROL!$C$15, $D$11, 100%, $F$11)</f>
        <v>9.5553000000000008</v>
      </c>
      <c r="J311" s="4">
        <f>CHOOSE( CONTROL!$C$32, 9.4394, 9.4371) * CHOOSE(CONTROL!$C$15, $D$11, 100%, $F$11)</f>
        <v>9.4393999999999991</v>
      </c>
      <c r="K311" s="4"/>
      <c r="L311" s="9">
        <v>30.7165</v>
      </c>
      <c r="M311" s="9">
        <v>12.063700000000001</v>
      </c>
      <c r="N311" s="9">
        <v>4.9444999999999997</v>
      </c>
      <c r="O311" s="9">
        <v>0.37409999999999999</v>
      </c>
      <c r="P311" s="9">
        <v>1.2183999999999999</v>
      </c>
      <c r="Q311" s="9">
        <v>30.386800000000001</v>
      </c>
      <c r="R311" s="9"/>
      <c r="S311" s="11"/>
    </row>
    <row r="312" spans="1:19" ht="15.75">
      <c r="A312" s="13">
        <v>51013</v>
      </c>
      <c r="B312" s="8">
        <f>CHOOSE( CONTROL!$C$32, 9.0878, 9.0854) * CHOOSE(CONTROL!$C$15, $D$11, 100%, $F$11)</f>
        <v>9.0877999999999997</v>
      </c>
      <c r="C312" s="8">
        <f>CHOOSE( CONTROL!$C$32, 9.0984, 9.096) * CHOOSE(CONTROL!$C$15, $D$11, 100%, $F$11)</f>
        <v>9.0983999999999998</v>
      </c>
      <c r="D312" s="8">
        <f>CHOOSE( CONTROL!$C$32, 9.1347, 9.1323) * CHOOSE( CONTROL!$C$15, $D$11, 100%, $F$11)</f>
        <v>9.1347000000000005</v>
      </c>
      <c r="E312" s="12">
        <f>CHOOSE( CONTROL!$C$32, 9.1199, 9.1175) * CHOOSE( CONTROL!$C$15, $D$11, 100%, $F$11)</f>
        <v>9.1198999999999995</v>
      </c>
      <c r="F312" s="4">
        <f>CHOOSE( CONTROL!$C$32, 9.8272, 9.8248) * CHOOSE(CONTROL!$C$15, $D$11, 100%, $F$11)</f>
        <v>9.8271999999999995</v>
      </c>
      <c r="G312" s="8">
        <f>CHOOSE( CONTROL!$C$32, 8.8777, 8.8753) * CHOOSE( CONTROL!$C$15, $D$11, 100%, $F$11)</f>
        <v>8.8777000000000008</v>
      </c>
      <c r="H312" s="4">
        <f>CHOOSE( CONTROL!$C$32, 9.8422, 9.8398) * CHOOSE(CONTROL!$C$15, $D$11, 100%, $F$11)</f>
        <v>9.8422000000000001</v>
      </c>
      <c r="I312" s="8">
        <f>CHOOSE( CONTROL!$C$32, 8.8267, 8.8244) * CHOOSE(CONTROL!$C$15, $D$11, 100%, $F$11)</f>
        <v>8.8267000000000007</v>
      </c>
      <c r="J312" s="4">
        <f>CHOOSE( CONTROL!$C$32, 8.7109, 8.7086) * CHOOSE(CONTROL!$C$15, $D$11, 100%, $F$11)</f>
        <v>8.7109000000000005</v>
      </c>
      <c r="K312" s="4"/>
      <c r="L312" s="9">
        <v>30.7165</v>
      </c>
      <c r="M312" s="9">
        <v>12.063700000000001</v>
      </c>
      <c r="N312" s="9">
        <v>4.9444999999999997</v>
      </c>
      <c r="O312" s="9">
        <v>0.37409999999999999</v>
      </c>
      <c r="P312" s="9">
        <v>1.2183999999999999</v>
      </c>
      <c r="Q312" s="9">
        <v>30.386800000000001</v>
      </c>
      <c r="R312" s="9"/>
      <c r="S312" s="11"/>
    </row>
    <row r="313" spans="1:19" ht="15.75">
      <c r="A313" s="13">
        <v>51043</v>
      </c>
      <c r="B313" s="8">
        <f>CHOOSE( CONTROL!$C$32, 8.8978, 8.8954) * CHOOSE(CONTROL!$C$15, $D$11, 100%, $F$11)</f>
        <v>8.8978000000000002</v>
      </c>
      <c r="C313" s="8">
        <f>CHOOSE( CONTROL!$C$32, 8.9084, 8.906) * CHOOSE(CONTROL!$C$15, $D$11, 100%, $F$11)</f>
        <v>8.9084000000000003</v>
      </c>
      <c r="D313" s="8">
        <f>CHOOSE( CONTROL!$C$32, 8.9446, 8.9422) * CHOOSE( CONTROL!$C$15, $D$11, 100%, $F$11)</f>
        <v>8.9445999999999994</v>
      </c>
      <c r="E313" s="12">
        <f>CHOOSE( CONTROL!$C$32, 8.9299, 8.9275) * CHOOSE( CONTROL!$C$15, $D$11, 100%, $F$11)</f>
        <v>8.9298999999999999</v>
      </c>
      <c r="F313" s="4">
        <f>CHOOSE( CONTROL!$C$32, 9.6372, 9.6348) * CHOOSE(CONTROL!$C$15, $D$11, 100%, $F$11)</f>
        <v>9.6372</v>
      </c>
      <c r="G313" s="8">
        <f>CHOOSE( CONTROL!$C$32, 8.6918, 8.6895) * CHOOSE( CONTROL!$C$15, $D$11, 100%, $F$11)</f>
        <v>8.6918000000000006</v>
      </c>
      <c r="H313" s="4">
        <f>CHOOSE( CONTROL!$C$32, 9.6564, 9.6541) * CHOOSE(CONTROL!$C$15, $D$11, 100%, $F$11)</f>
        <v>9.6563999999999997</v>
      </c>
      <c r="I313" s="8">
        <f>CHOOSE( CONTROL!$C$32, 8.6439, 8.6416) * CHOOSE(CONTROL!$C$15, $D$11, 100%, $F$11)</f>
        <v>8.6439000000000004</v>
      </c>
      <c r="J313" s="4">
        <f>CHOOSE( CONTROL!$C$32, 8.5285, 8.5262) * CHOOSE(CONTROL!$C$15, $D$11, 100%, $F$11)</f>
        <v>8.5284999999999993</v>
      </c>
      <c r="K313" s="4"/>
      <c r="L313" s="9">
        <v>29.7257</v>
      </c>
      <c r="M313" s="9">
        <v>11.6745</v>
      </c>
      <c r="N313" s="9">
        <v>4.7850000000000001</v>
      </c>
      <c r="O313" s="9">
        <v>0.36199999999999999</v>
      </c>
      <c r="P313" s="9">
        <v>1.1791</v>
      </c>
      <c r="Q313" s="9">
        <v>29.406600000000001</v>
      </c>
      <c r="R313" s="9"/>
      <c r="S313" s="11"/>
    </row>
    <row r="314" spans="1:19" ht="15.75">
      <c r="A314" s="13">
        <v>51074</v>
      </c>
      <c r="B314" s="8">
        <f>9.2901 * CHOOSE(CONTROL!$C$15, $D$11, 100%, $F$11)</f>
        <v>9.2901000000000007</v>
      </c>
      <c r="C314" s="8">
        <f>9.3008 * CHOOSE(CONTROL!$C$15, $D$11, 100%, $F$11)</f>
        <v>9.3008000000000006</v>
      </c>
      <c r="D314" s="8">
        <f>9.3384 * CHOOSE( CONTROL!$C$15, $D$11, 100%, $F$11)</f>
        <v>9.3384</v>
      </c>
      <c r="E314" s="12">
        <f>9.3248 * CHOOSE( CONTROL!$C$15, $D$11, 100%, $F$11)</f>
        <v>9.3247999999999998</v>
      </c>
      <c r="F314" s="4">
        <f>10.0293 * CHOOSE(CONTROL!$C$15, $D$11, 100%, $F$11)</f>
        <v>10.029299999999999</v>
      </c>
      <c r="G314" s="8">
        <f>9.0749 * CHOOSE( CONTROL!$C$15, $D$11, 100%, $F$11)</f>
        <v>9.0748999999999995</v>
      </c>
      <c r="H314" s="4">
        <f>10.0398 * CHOOSE(CONTROL!$C$15, $D$11, 100%, $F$11)</f>
        <v>10.0398</v>
      </c>
      <c r="I314" s="8">
        <f>9.0213 * CHOOSE(CONTROL!$C$15, $D$11, 100%, $F$11)</f>
        <v>9.0213000000000001</v>
      </c>
      <c r="J314" s="4">
        <f>8.9049 * CHOOSE(CONTROL!$C$15, $D$11, 100%, $F$11)</f>
        <v>8.9048999999999996</v>
      </c>
      <c r="K314" s="4"/>
      <c r="L314" s="9">
        <v>31.095300000000002</v>
      </c>
      <c r="M314" s="9">
        <v>12.063700000000001</v>
      </c>
      <c r="N314" s="9">
        <v>4.9444999999999997</v>
      </c>
      <c r="O314" s="9">
        <v>0.37409999999999999</v>
      </c>
      <c r="P314" s="9">
        <v>1.2183999999999999</v>
      </c>
      <c r="Q314" s="9">
        <v>30.386800000000001</v>
      </c>
      <c r="R314" s="9"/>
      <c r="S314" s="11"/>
    </row>
    <row r="315" spans="1:19" ht="15.75">
      <c r="A315" s="13">
        <v>51104</v>
      </c>
      <c r="B315" s="8">
        <f>10.0183 * CHOOSE(CONTROL!$C$15, $D$11, 100%, $F$11)</f>
        <v>10.0183</v>
      </c>
      <c r="C315" s="8">
        <f>10.029 * CHOOSE(CONTROL!$C$15, $D$11, 100%, $F$11)</f>
        <v>10.029</v>
      </c>
      <c r="D315" s="8">
        <f>10.0118 * CHOOSE( CONTROL!$C$15, $D$11, 100%, $F$11)</f>
        <v>10.011799999999999</v>
      </c>
      <c r="E315" s="12">
        <f>10.0169 * CHOOSE( CONTROL!$C$15, $D$11, 100%, $F$11)</f>
        <v>10.0169</v>
      </c>
      <c r="F315" s="4">
        <f>10.6768 * CHOOSE(CONTROL!$C$15, $D$11, 100%, $F$11)</f>
        <v>10.6768</v>
      </c>
      <c r="G315" s="8">
        <f>9.7935 * CHOOSE( CONTROL!$C$15, $D$11, 100%, $F$11)</f>
        <v>9.7934999999999999</v>
      </c>
      <c r="H315" s="4">
        <f>10.6728 * CHOOSE(CONTROL!$C$15, $D$11, 100%, $F$11)</f>
        <v>10.672800000000001</v>
      </c>
      <c r="I315" s="8">
        <f>9.7579 * CHOOSE(CONTROL!$C$15, $D$11, 100%, $F$11)</f>
        <v>9.7578999999999994</v>
      </c>
      <c r="J315" s="4">
        <f>9.6041 * CHOOSE(CONTROL!$C$15, $D$11, 100%, $F$11)</f>
        <v>9.6041000000000007</v>
      </c>
      <c r="K315" s="4"/>
      <c r="L315" s="9">
        <v>28.360600000000002</v>
      </c>
      <c r="M315" s="9">
        <v>11.6745</v>
      </c>
      <c r="N315" s="9">
        <v>4.7850000000000001</v>
      </c>
      <c r="O315" s="9">
        <v>0.36199999999999999</v>
      </c>
      <c r="P315" s="9">
        <v>1.2509999999999999</v>
      </c>
      <c r="Q315" s="9">
        <v>29.406600000000001</v>
      </c>
      <c r="R315" s="9"/>
      <c r="S315" s="11"/>
    </row>
    <row r="316" spans="1:19" ht="15.75">
      <c r="A316" s="13">
        <v>51135</v>
      </c>
      <c r="B316" s="8">
        <f>10.0001 * CHOOSE(CONTROL!$C$15, $D$11, 100%, $F$11)</f>
        <v>10.0001</v>
      </c>
      <c r="C316" s="8">
        <f>10.0108 * CHOOSE(CONTROL!$C$15, $D$11, 100%, $F$11)</f>
        <v>10.0108</v>
      </c>
      <c r="D316" s="8">
        <f>9.9953 * CHOOSE( CONTROL!$C$15, $D$11, 100%, $F$11)</f>
        <v>9.9953000000000003</v>
      </c>
      <c r="E316" s="12">
        <f>9.9998 * CHOOSE( CONTROL!$C$15, $D$11, 100%, $F$11)</f>
        <v>9.9998000000000005</v>
      </c>
      <c r="F316" s="4">
        <f>10.6586 * CHOOSE(CONTROL!$C$15, $D$11, 100%, $F$11)</f>
        <v>10.6586</v>
      </c>
      <c r="G316" s="8">
        <f>9.777 * CHOOSE( CONTROL!$C$15, $D$11, 100%, $F$11)</f>
        <v>9.7769999999999992</v>
      </c>
      <c r="H316" s="4">
        <f>10.655 * CHOOSE(CONTROL!$C$15, $D$11, 100%, $F$11)</f>
        <v>10.654999999999999</v>
      </c>
      <c r="I316" s="8">
        <f>9.7456 * CHOOSE(CONTROL!$C$15, $D$11, 100%, $F$11)</f>
        <v>9.7455999999999996</v>
      </c>
      <c r="J316" s="4">
        <f>9.5866 * CHOOSE(CONTROL!$C$15, $D$11, 100%, $F$11)</f>
        <v>9.5866000000000007</v>
      </c>
      <c r="K316" s="4"/>
      <c r="L316" s="9">
        <v>29.306000000000001</v>
      </c>
      <c r="M316" s="9">
        <v>12.063700000000001</v>
      </c>
      <c r="N316" s="9">
        <v>4.9444999999999997</v>
      </c>
      <c r="O316" s="9">
        <v>0.37409999999999999</v>
      </c>
      <c r="P316" s="9">
        <v>1.2927</v>
      </c>
      <c r="Q316" s="9">
        <v>30.386800000000001</v>
      </c>
      <c r="R316" s="9"/>
      <c r="S316" s="11"/>
    </row>
    <row r="317" spans="1:19" ht="15.75">
      <c r="A317" s="13">
        <v>51166</v>
      </c>
      <c r="B317" s="8">
        <f>10.2946 * CHOOSE(CONTROL!$C$15, $D$11, 100%, $F$11)</f>
        <v>10.294600000000001</v>
      </c>
      <c r="C317" s="8">
        <f>10.3053 * CHOOSE(CONTROL!$C$15, $D$11, 100%, $F$11)</f>
        <v>10.305300000000001</v>
      </c>
      <c r="D317" s="8">
        <f>10.2867 * CHOOSE( CONTROL!$C$15, $D$11, 100%, $F$11)</f>
        <v>10.2867</v>
      </c>
      <c r="E317" s="12">
        <f>10.2924 * CHOOSE( CONTROL!$C$15, $D$11, 100%, $F$11)</f>
        <v>10.292400000000001</v>
      </c>
      <c r="F317" s="4">
        <f>10.9531 * CHOOSE(CONTROL!$C$15, $D$11, 100%, $F$11)</f>
        <v>10.953099999999999</v>
      </c>
      <c r="G317" s="8">
        <f>10.0574 * CHOOSE( CONTROL!$C$15, $D$11, 100%, $F$11)</f>
        <v>10.057399999999999</v>
      </c>
      <c r="H317" s="4">
        <f>10.943 * CHOOSE(CONTROL!$C$15, $D$11, 100%, $F$11)</f>
        <v>10.943</v>
      </c>
      <c r="I317" s="8">
        <f>9.9934 * CHOOSE(CONTROL!$C$15, $D$11, 100%, $F$11)</f>
        <v>9.9933999999999994</v>
      </c>
      <c r="J317" s="4">
        <f>9.8694 * CHOOSE(CONTROL!$C$15, $D$11, 100%, $F$11)</f>
        <v>9.8694000000000006</v>
      </c>
      <c r="K317" s="4"/>
      <c r="L317" s="9">
        <v>29.306000000000001</v>
      </c>
      <c r="M317" s="9">
        <v>12.063700000000001</v>
      </c>
      <c r="N317" s="9">
        <v>4.9444999999999997</v>
      </c>
      <c r="O317" s="9">
        <v>0.37409999999999999</v>
      </c>
      <c r="P317" s="9">
        <v>1.2927</v>
      </c>
      <c r="Q317" s="9">
        <v>30.3217</v>
      </c>
      <c r="R317" s="9"/>
      <c r="S317" s="11"/>
    </row>
    <row r="318" spans="1:19" ht="15.75">
      <c r="A318" s="13">
        <v>51194</v>
      </c>
      <c r="B318" s="8">
        <f>9.63 * CHOOSE(CONTROL!$C$15, $D$11, 100%, $F$11)</f>
        <v>9.6300000000000008</v>
      </c>
      <c r="C318" s="8">
        <f>9.6408 * CHOOSE(CONTROL!$C$15, $D$11, 100%, $F$11)</f>
        <v>9.6408000000000005</v>
      </c>
      <c r="D318" s="8">
        <f>9.6221 * CHOOSE( CONTROL!$C$15, $D$11, 100%, $F$11)</f>
        <v>9.6220999999999997</v>
      </c>
      <c r="E318" s="12">
        <f>9.6278 * CHOOSE( CONTROL!$C$15, $D$11, 100%, $F$11)</f>
        <v>9.6278000000000006</v>
      </c>
      <c r="F318" s="4">
        <f>10.2885 * CHOOSE(CONTROL!$C$15, $D$11, 100%, $F$11)</f>
        <v>10.288500000000001</v>
      </c>
      <c r="G318" s="8">
        <f>9.4076 * CHOOSE( CONTROL!$C$15, $D$11, 100%, $F$11)</f>
        <v>9.4076000000000004</v>
      </c>
      <c r="H318" s="4">
        <f>10.2932 * CHOOSE(CONTROL!$C$15, $D$11, 100%, $F$11)</f>
        <v>10.293200000000001</v>
      </c>
      <c r="I318" s="8">
        <f>9.3548 * CHOOSE(CONTROL!$C$15, $D$11, 100%, $F$11)</f>
        <v>9.3547999999999991</v>
      </c>
      <c r="J318" s="4">
        <f>9.2313 * CHOOSE(CONTROL!$C$15, $D$11, 100%, $F$11)</f>
        <v>9.2312999999999992</v>
      </c>
      <c r="K318" s="4"/>
      <c r="L318" s="9">
        <v>27.415299999999998</v>
      </c>
      <c r="M318" s="9">
        <v>11.285299999999999</v>
      </c>
      <c r="N318" s="9">
        <v>4.6254999999999997</v>
      </c>
      <c r="O318" s="9">
        <v>0.34989999999999999</v>
      </c>
      <c r="P318" s="9">
        <v>1.2093</v>
      </c>
      <c r="Q318" s="9">
        <v>28.365500000000001</v>
      </c>
      <c r="R318" s="9"/>
      <c r="S318" s="11"/>
    </row>
    <row r="319" spans="1:19" ht="15.75">
      <c r="A319" s="13">
        <v>51226</v>
      </c>
      <c r="B319" s="8">
        <f>9.4254 * CHOOSE(CONTROL!$C$15, $D$11, 100%, $F$11)</f>
        <v>9.4253999999999998</v>
      </c>
      <c r="C319" s="8">
        <f>9.4361 * CHOOSE(CONTROL!$C$15, $D$11, 100%, $F$11)</f>
        <v>9.4360999999999997</v>
      </c>
      <c r="D319" s="8">
        <f>9.4169 * CHOOSE( CONTROL!$C$15, $D$11, 100%, $F$11)</f>
        <v>9.4169</v>
      </c>
      <c r="E319" s="12">
        <f>9.4228 * CHOOSE( CONTROL!$C$15, $D$11, 100%, $F$11)</f>
        <v>9.4228000000000005</v>
      </c>
      <c r="F319" s="4">
        <f>10.0839 * CHOOSE(CONTROL!$C$15, $D$11, 100%, $F$11)</f>
        <v>10.0839</v>
      </c>
      <c r="G319" s="8">
        <f>9.2071 * CHOOSE( CONTROL!$C$15, $D$11, 100%, $F$11)</f>
        <v>9.2071000000000005</v>
      </c>
      <c r="H319" s="4">
        <f>10.0931 * CHOOSE(CONTROL!$C$15, $D$11, 100%, $F$11)</f>
        <v>10.0931</v>
      </c>
      <c r="I319" s="8">
        <f>9.1566 * CHOOSE(CONTROL!$C$15, $D$11, 100%, $F$11)</f>
        <v>9.1565999999999992</v>
      </c>
      <c r="J319" s="4">
        <f>9.0348 * CHOOSE(CONTROL!$C$15, $D$11, 100%, $F$11)</f>
        <v>9.0348000000000006</v>
      </c>
      <c r="K319" s="4"/>
      <c r="L319" s="9">
        <v>29.306000000000001</v>
      </c>
      <c r="M319" s="9">
        <v>12.063700000000001</v>
      </c>
      <c r="N319" s="9">
        <v>4.9444999999999997</v>
      </c>
      <c r="O319" s="9">
        <v>0.37409999999999999</v>
      </c>
      <c r="P319" s="9">
        <v>1.2927</v>
      </c>
      <c r="Q319" s="9">
        <v>30.3217</v>
      </c>
      <c r="R319" s="9"/>
      <c r="S319" s="11"/>
    </row>
    <row r="320" spans="1:19" ht="15.75">
      <c r="A320" s="13">
        <v>51256</v>
      </c>
      <c r="B320" s="8">
        <f>9.5683 * CHOOSE(CONTROL!$C$15, $D$11, 100%, $F$11)</f>
        <v>9.5683000000000007</v>
      </c>
      <c r="C320" s="8">
        <f>9.5791 * CHOOSE(CONTROL!$C$15, $D$11, 100%, $F$11)</f>
        <v>9.5791000000000004</v>
      </c>
      <c r="D320" s="8">
        <f>9.6161 * CHOOSE( CONTROL!$C$15, $D$11, 100%, $F$11)</f>
        <v>9.6160999999999994</v>
      </c>
      <c r="E320" s="12">
        <f>9.6026 * CHOOSE( CONTROL!$C$15, $D$11, 100%, $F$11)</f>
        <v>9.6026000000000007</v>
      </c>
      <c r="F320" s="4">
        <f>10.3076 * CHOOSE(CONTROL!$C$15, $D$11, 100%, $F$11)</f>
        <v>10.307600000000001</v>
      </c>
      <c r="G320" s="8">
        <f>9.3462 * CHOOSE( CONTROL!$C$15, $D$11, 100%, $F$11)</f>
        <v>9.3461999999999996</v>
      </c>
      <c r="H320" s="4">
        <f>10.3119 * CHOOSE(CONTROL!$C$15, $D$11, 100%, $F$11)</f>
        <v>10.3119</v>
      </c>
      <c r="I320" s="8">
        <f>9.2859 * CHOOSE(CONTROL!$C$15, $D$11, 100%, $F$11)</f>
        <v>9.2858999999999998</v>
      </c>
      <c r="J320" s="4">
        <f>9.1721 * CHOOSE(CONTROL!$C$15, $D$11, 100%, $F$11)</f>
        <v>9.1721000000000004</v>
      </c>
      <c r="K320" s="4"/>
      <c r="L320" s="9">
        <v>30.092199999999998</v>
      </c>
      <c r="M320" s="9">
        <v>11.6745</v>
      </c>
      <c r="N320" s="9">
        <v>4.7850000000000001</v>
      </c>
      <c r="O320" s="9">
        <v>0.36199999999999999</v>
      </c>
      <c r="P320" s="9">
        <v>1.1791</v>
      </c>
      <c r="Q320" s="9">
        <v>29.343599999999999</v>
      </c>
      <c r="R320" s="9"/>
      <c r="S320" s="11"/>
    </row>
    <row r="321" spans="1:19" ht="15.75">
      <c r="A321" s="13">
        <v>51287</v>
      </c>
      <c r="B321" s="8">
        <f>CHOOSE( CONTROL!$C$32, 9.8252, 9.8228) * CHOOSE(CONTROL!$C$15, $D$11, 100%, $F$11)</f>
        <v>9.8252000000000006</v>
      </c>
      <c r="C321" s="8">
        <f>CHOOSE( CONTROL!$C$32, 9.8358, 9.8334) * CHOOSE(CONTROL!$C$15, $D$11, 100%, $F$11)</f>
        <v>9.8358000000000008</v>
      </c>
      <c r="D321" s="8">
        <f>CHOOSE( CONTROL!$C$32, 9.8716, 9.8692) * CHOOSE( CONTROL!$C$15, $D$11, 100%, $F$11)</f>
        <v>9.8716000000000008</v>
      </c>
      <c r="E321" s="12">
        <f>CHOOSE( CONTROL!$C$32, 9.857, 9.8546) * CHOOSE( CONTROL!$C$15, $D$11, 100%, $F$11)</f>
        <v>9.8569999999999993</v>
      </c>
      <c r="F321" s="4">
        <f>CHOOSE( CONTROL!$C$32, 10.5646, 10.5622) * CHOOSE(CONTROL!$C$15, $D$11, 100%, $F$11)</f>
        <v>10.5646</v>
      </c>
      <c r="G321" s="8">
        <f>CHOOSE( CONTROL!$C$32, 9.5979, 9.5956) * CHOOSE( CONTROL!$C$15, $D$11, 100%, $F$11)</f>
        <v>9.5978999999999992</v>
      </c>
      <c r="H321" s="4">
        <f>CHOOSE( CONTROL!$C$32, 10.5631, 10.5607) * CHOOSE(CONTROL!$C$15, $D$11, 100%, $F$11)</f>
        <v>10.5631</v>
      </c>
      <c r="I321" s="8">
        <f>CHOOSE( CONTROL!$C$32, 9.5328, 9.5305) * CHOOSE(CONTROL!$C$15, $D$11, 100%, $F$11)</f>
        <v>9.5327999999999999</v>
      </c>
      <c r="J321" s="4">
        <f>CHOOSE( CONTROL!$C$32, 9.4188, 9.4165) * CHOOSE(CONTROL!$C$15, $D$11, 100%, $F$11)</f>
        <v>9.4187999999999992</v>
      </c>
      <c r="K321" s="4"/>
      <c r="L321" s="9">
        <v>30.7165</v>
      </c>
      <c r="M321" s="9">
        <v>12.063700000000001</v>
      </c>
      <c r="N321" s="9">
        <v>4.9444999999999997</v>
      </c>
      <c r="O321" s="9">
        <v>0.37409999999999999</v>
      </c>
      <c r="P321" s="9">
        <v>1.2183999999999999</v>
      </c>
      <c r="Q321" s="9">
        <v>30.3217</v>
      </c>
      <c r="R321" s="9"/>
      <c r="S321" s="11"/>
    </row>
    <row r="322" spans="1:19" ht="15.75">
      <c r="A322" s="13">
        <v>51317</v>
      </c>
      <c r="B322" s="8">
        <f>CHOOSE( CONTROL!$C$32, 9.6675, 9.6651) * CHOOSE(CONTROL!$C$15, $D$11, 100%, $F$11)</f>
        <v>9.6675000000000004</v>
      </c>
      <c r="C322" s="8">
        <f>CHOOSE( CONTROL!$C$32, 9.6781, 9.6757) * CHOOSE(CONTROL!$C$15, $D$11, 100%, $F$11)</f>
        <v>9.6781000000000006</v>
      </c>
      <c r="D322" s="8">
        <f>CHOOSE( CONTROL!$C$32, 9.7141, 9.7117) * CHOOSE( CONTROL!$C$15, $D$11, 100%, $F$11)</f>
        <v>9.7141000000000002</v>
      </c>
      <c r="E322" s="12">
        <f>CHOOSE( CONTROL!$C$32, 9.6994, 9.697) * CHOOSE( CONTROL!$C$15, $D$11, 100%, $F$11)</f>
        <v>9.6994000000000007</v>
      </c>
      <c r="F322" s="4">
        <f>CHOOSE( CONTROL!$C$32, 10.4069, 10.4045) * CHOOSE(CONTROL!$C$15, $D$11, 100%, $F$11)</f>
        <v>10.4069</v>
      </c>
      <c r="G322" s="8">
        <f>CHOOSE( CONTROL!$C$32, 9.444, 9.4417) * CHOOSE( CONTROL!$C$15, $D$11, 100%, $F$11)</f>
        <v>9.4440000000000008</v>
      </c>
      <c r="H322" s="4">
        <f>CHOOSE( CONTROL!$C$32, 10.4089, 10.4066) * CHOOSE(CONTROL!$C$15, $D$11, 100%, $F$11)</f>
        <v>10.408899999999999</v>
      </c>
      <c r="I322" s="8">
        <f>CHOOSE( CONTROL!$C$32, 9.3822, 9.3799) * CHOOSE(CONTROL!$C$15, $D$11, 100%, $F$11)</f>
        <v>9.3821999999999992</v>
      </c>
      <c r="J322" s="4">
        <f>CHOOSE( CONTROL!$C$32, 9.2674, 9.2651) * CHOOSE(CONTROL!$C$15, $D$11, 100%, $F$11)</f>
        <v>9.2674000000000003</v>
      </c>
      <c r="K322" s="4"/>
      <c r="L322" s="9">
        <v>29.7257</v>
      </c>
      <c r="M322" s="9">
        <v>11.6745</v>
      </c>
      <c r="N322" s="9">
        <v>4.7850000000000001</v>
      </c>
      <c r="O322" s="9">
        <v>0.36199999999999999</v>
      </c>
      <c r="P322" s="9">
        <v>1.1791</v>
      </c>
      <c r="Q322" s="9">
        <v>29.343599999999999</v>
      </c>
      <c r="R322" s="9"/>
      <c r="S322" s="11"/>
    </row>
    <row r="323" spans="1:19" ht="15.75">
      <c r="A323" s="13">
        <v>51348</v>
      </c>
      <c r="B323" s="8">
        <f>CHOOSE( CONTROL!$C$32, 10.0828, 10.0804) * CHOOSE(CONTROL!$C$15, $D$11, 100%, $F$11)</f>
        <v>10.082800000000001</v>
      </c>
      <c r="C323" s="8">
        <f>CHOOSE( CONTROL!$C$32, 10.0933, 10.0909) * CHOOSE(CONTROL!$C$15, $D$11, 100%, $F$11)</f>
        <v>10.093299999999999</v>
      </c>
      <c r="D323" s="8">
        <f>CHOOSE( CONTROL!$C$32, 10.1296, 10.1272) * CHOOSE( CONTROL!$C$15, $D$11, 100%, $F$11)</f>
        <v>10.1296</v>
      </c>
      <c r="E323" s="12">
        <f>CHOOSE( CONTROL!$C$32, 10.1148, 10.1124) * CHOOSE( CONTROL!$C$15, $D$11, 100%, $F$11)</f>
        <v>10.114800000000001</v>
      </c>
      <c r="F323" s="4">
        <f>CHOOSE( CONTROL!$C$32, 10.8221, 10.8197) * CHOOSE(CONTROL!$C$15, $D$11, 100%, $F$11)</f>
        <v>10.822100000000001</v>
      </c>
      <c r="G323" s="8">
        <f>CHOOSE( CONTROL!$C$32, 9.8503, 9.848) * CHOOSE( CONTROL!$C$15, $D$11, 100%, $F$11)</f>
        <v>9.8503000000000007</v>
      </c>
      <c r="H323" s="4">
        <f>CHOOSE( CONTROL!$C$32, 10.8149, 10.8126) * CHOOSE(CONTROL!$C$15, $D$11, 100%, $F$11)</f>
        <v>10.8149</v>
      </c>
      <c r="I323" s="8">
        <f>CHOOSE( CONTROL!$C$32, 9.7821, 9.7798) * CHOOSE(CONTROL!$C$15, $D$11, 100%, $F$11)</f>
        <v>9.7820999999999998</v>
      </c>
      <c r="J323" s="4">
        <f>CHOOSE( CONTROL!$C$32, 9.6661, 9.6638) * CHOOSE(CONTROL!$C$15, $D$11, 100%, $F$11)</f>
        <v>9.6661000000000001</v>
      </c>
      <c r="K323" s="4"/>
      <c r="L323" s="9">
        <v>30.7165</v>
      </c>
      <c r="M323" s="9">
        <v>12.063700000000001</v>
      </c>
      <c r="N323" s="9">
        <v>4.9444999999999997</v>
      </c>
      <c r="O323" s="9">
        <v>0.37409999999999999</v>
      </c>
      <c r="P323" s="9">
        <v>1.2183999999999999</v>
      </c>
      <c r="Q323" s="9">
        <v>30.3217</v>
      </c>
      <c r="R323" s="9"/>
      <c r="S323" s="11"/>
    </row>
    <row r="324" spans="1:19" ht="15.75">
      <c r="A324" s="13">
        <v>51379</v>
      </c>
      <c r="B324" s="8">
        <f>CHOOSE( CONTROL!$C$32, 9.3058, 9.3034) * CHOOSE(CONTROL!$C$15, $D$11, 100%, $F$11)</f>
        <v>9.3057999999999996</v>
      </c>
      <c r="C324" s="8">
        <f>CHOOSE( CONTROL!$C$32, 9.3163, 9.3139) * CHOOSE(CONTROL!$C$15, $D$11, 100%, $F$11)</f>
        <v>9.3163</v>
      </c>
      <c r="D324" s="8">
        <f>CHOOSE( CONTROL!$C$32, 9.3526, 9.3502) * CHOOSE( CONTROL!$C$15, $D$11, 100%, $F$11)</f>
        <v>9.3526000000000007</v>
      </c>
      <c r="E324" s="12">
        <f>CHOOSE( CONTROL!$C$32, 9.3378, 9.3354) * CHOOSE( CONTROL!$C$15, $D$11, 100%, $F$11)</f>
        <v>9.3377999999999997</v>
      </c>
      <c r="F324" s="4">
        <f>CHOOSE( CONTROL!$C$32, 10.0451, 10.0427) * CHOOSE(CONTROL!$C$15, $D$11, 100%, $F$11)</f>
        <v>10.0451</v>
      </c>
      <c r="G324" s="8">
        <f>CHOOSE( CONTROL!$C$32, 9.0908, 9.0884) * CHOOSE( CONTROL!$C$15, $D$11, 100%, $F$11)</f>
        <v>9.0907999999999998</v>
      </c>
      <c r="H324" s="4">
        <f>CHOOSE( CONTROL!$C$32, 10.0552, 10.0529) * CHOOSE(CONTROL!$C$15, $D$11, 100%, $F$11)</f>
        <v>10.055199999999999</v>
      </c>
      <c r="I324" s="8">
        <f>CHOOSE( CONTROL!$C$32, 9.036, 9.0337) * CHOOSE(CONTROL!$C$15, $D$11, 100%, $F$11)</f>
        <v>9.0359999999999996</v>
      </c>
      <c r="J324" s="4">
        <f>CHOOSE( CONTROL!$C$32, 8.9201, 8.9178) * CHOOSE(CONTROL!$C$15, $D$11, 100%, $F$11)</f>
        <v>8.9200999999999997</v>
      </c>
      <c r="K324" s="4"/>
      <c r="L324" s="9">
        <v>30.7165</v>
      </c>
      <c r="M324" s="9">
        <v>12.063700000000001</v>
      </c>
      <c r="N324" s="9">
        <v>4.9444999999999997</v>
      </c>
      <c r="O324" s="9">
        <v>0.37409999999999999</v>
      </c>
      <c r="P324" s="9">
        <v>1.2183999999999999</v>
      </c>
      <c r="Q324" s="9">
        <v>30.3217</v>
      </c>
      <c r="R324" s="9"/>
      <c r="S324" s="11"/>
    </row>
    <row r="325" spans="1:19" ht="15.75">
      <c r="A325" s="13">
        <v>51409</v>
      </c>
      <c r="B325" s="8">
        <f>CHOOSE( CONTROL!$C$32, 9.1112, 9.1088) * CHOOSE(CONTROL!$C$15, $D$11, 100%, $F$11)</f>
        <v>9.1112000000000002</v>
      </c>
      <c r="C325" s="8">
        <f>CHOOSE( CONTROL!$C$32, 9.1218, 9.1194) * CHOOSE(CONTROL!$C$15, $D$11, 100%, $F$11)</f>
        <v>9.1218000000000004</v>
      </c>
      <c r="D325" s="8">
        <f>CHOOSE( CONTROL!$C$32, 9.158, 9.1556) * CHOOSE( CONTROL!$C$15, $D$11, 100%, $F$11)</f>
        <v>9.1579999999999995</v>
      </c>
      <c r="E325" s="12">
        <f>CHOOSE( CONTROL!$C$32, 9.1433, 9.1409) * CHOOSE( CONTROL!$C$15, $D$11, 100%, $F$11)</f>
        <v>9.1433</v>
      </c>
      <c r="F325" s="4">
        <f>CHOOSE( CONTROL!$C$32, 9.8506, 9.8482) * CHOOSE(CONTROL!$C$15, $D$11, 100%, $F$11)</f>
        <v>9.8506</v>
      </c>
      <c r="G325" s="8">
        <f>CHOOSE( CONTROL!$C$32, 8.9004, 8.8981) * CHOOSE( CONTROL!$C$15, $D$11, 100%, $F$11)</f>
        <v>8.9003999999999994</v>
      </c>
      <c r="H325" s="4">
        <f>CHOOSE( CONTROL!$C$32, 9.865, 9.8627) * CHOOSE(CONTROL!$C$15, $D$11, 100%, $F$11)</f>
        <v>9.8650000000000002</v>
      </c>
      <c r="I325" s="8">
        <f>CHOOSE( CONTROL!$C$32, 8.8488, 8.8465) * CHOOSE(CONTROL!$C$15, $D$11, 100%, $F$11)</f>
        <v>8.8488000000000007</v>
      </c>
      <c r="J325" s="4">
        <f>CHOOSE( CONTROL!$C$32, 8.7333, 8.731) * CHOOSE(CONTROL!$C$15, $D$11, 100%, $F$11)</f>
        <v>8.7332999999999998</v>
      </c>
      <c r="K325" s="4"/>
      <c r="L325" s="9">
        <v>29.7257</v>
      </c>
      <c r="M325" s="9">
        <v>11.6745</v>
      </c>
      <c r="N325" s="9">
        <v>4.7850000000000001</v>
      </c>
      <c r="O325" s="9">
        <v>0.36199999999999999</v>
      </c>
      <c r="P325" s="9">
        <v>1.1791</v>
      </c>
      <c r="Q325" s="9">
        <v>29.343599999999999</v>
      </c>
      <c r="R325" s="9"/>
      <c r="S325" s="11"/>
    </row>
    <row r="326" spans="1:19" ht="15.75">
      <c r="A326" s="13">
        <v>51440</v>
      </c>
      <c r="B326" s="8">
        <f>9.5129 * CHOOSE(CONTROL!$C$15, $D$11, 100%, $F$11)</f>
        <v>9.5129000000000001</v>
      </c>
      <c r="C326" s="8">
        <f>9.5237 * CHOOSE(CONTROL!$C$15, $D$11, 100%, $F$11)</f>
        <v>9.5236999999999998</v>
      </c>
      <c r="D326" s="8">
        <f>9.5612 * CHOOSE( CONTROL!$C$15, $D$11, 100%, $F$11)</f>
        <v>9.5611999999999995</v>
      </c>
      <c r="E326" s="12">
        <f>9.5477 * CHOOSE( CONTROL!$C$15, $D$11, 100%, $F$11)</f>
        <v>9.5477000000000007</v>
      </c>
      <c r="F326" s="4">
        <f>10.2522 * CHOOSE(CONTROL!$C$15, $D$11, 100%, $F$11)</f>
        <v>10.2522</v>
      </c>
      <c r="G326" s="8">
        <f>9.2928 * CHOOSE( CONTROL!$C$15, $D$11, 100%, $F$11)</f>
        <v>9.2927999999999997</v>
      </c>
      <c r="H326" s="4">
        <f>10.2577 * CHOOSE(CONTROL!$C$15, $D$11, 100%, $F$11)</f>
        <v>10.2577</v>
      </c>
      <c r="I326" s="8">
        <f>9.2353 * CHOOSE(CONTROL!$C$15, $D$11, 100%, $F$11)</f>
        <v>9.2353000000000005</v>
      </c>
      <c r="J326" s="4">
        <f>9.1189 * CHOOSE(CONTROL!$C$15, $D$11, 100%, $F$11)</f>
        <v>9.1189</v>
      </c>
      <c r="K326" s="4"/>
      <c r="L326" s="9">
        <v>31.095300000000002</v>
      </c>
      <c r="M326" s="9">
        <v>12.063700000000001</v>
      </c>
      <c r="N326" s="9">
        <v>4.9444999999999997</v>
      </c>
      <c r="O326" s="9">
        <v>0.37409999999999999</v>
      </c>
      <c r="P326" s="9">
        <v>1.2183999999999999</v>
      </c>
      <c r="Q326" s="9">
        <v>30.3217</v>
      </c>
      <c r="R326" s="9"/>
      <c r="S326" s="11"/>
    </row>
    <row r="327" spans="1:19" ht="15.75">
      <c r="A327" s="13">
        <v>51470</v>
      </c>
      <c r="B327" s="8">
        <f>10.2586 * CHOOSE(CONTROL!$C$15, $D$11, 100%, $F$11)</f>
        <v>10.258599999999999</v>
      </c>
      <c r="C327" s="8">
        <f>10.2694 * CHOOSE(CONTROL!$C$15, $D$11, 100%, $F$11)</f>
        <v>10.269399999999999</v>
      </c>
      <c r="D327" s="8">
        <f>10.2521 * CHOOSE( CONTROL!$C$15, $D$11, 100%, $F$11)</f>
        <v>10.2521</v>
      </c>
      <c r="E327" s="12">
        <f>10.2573 * CHOOSE( CONTROL!$C$15, $D$11, 100%, $F$11)</f>
        <v>10.257300000000001</v>
      </c>
      <c r="F327" s="4">
        <f>10.9171 * CHOOSE(CONTROL!$C$15, $D$11, 100%, $F$11)</f>
        <v>10.9171</v>
      </c>
      <c r="G327" s="8">
        <f>10.0285 * CHOOSE( CONTROL!$C$15, $D$11, 100%, $F$11)</f>
        <v>10.028499999999999</v>
      </c>
      <c r="H327" s="4">
        <f>10.9078 * CHOOSE(CONTROL!$C$15, $D$11, 100%, $F$11)</f>
        <v>10.9078</v>
      </c>
      <c r="I327" s="8">
        <f>9.9888 * CHOOSE(CONTROL!$C$15, $D$11, 100%, $F$11)</f>
        <v>9.9887999999999995</v>
      </c>
      <c r="J327" s="4">
        <f>9.8348 * CHOOSE(CONTROL!$C$15, $D$11, 100%, $F$11)</f>
        <v>9.8347999999999995</v>
      </c>
      <c r="K327" s="4"/>
      <c r="L327" s="9">
        <v>28.360600000000002</v>
      </c>
      <c r="M327" s="9">
        <v>11.6745</v>
      </c>
      <c r="N327" s="9">
        <v>4.7850000000000001</v>
      </c>
      <c r="O327" s="9">
        <v>0.36199999999999999</v>
      </c>
      <c r="P327" s="9">
        <v>1.2509999999999999</v>
      </c>
      <c r="Q327" s="9">
        <v>29.343599999999999</v>
      </c>
      <c r="R327" s="9"/>
      <c r="S327" s="11"/>
    </row>
    <row r="328" spans="1:19" ht="15.75">
      <c r="A328" s="13">
        <v>51501</v>
      </c>
      <c r="B328" s="8">
        <f>10.24 * CHOOSE(CONTROL!$C$15, $D$11, 100%, $F$11)</f>
        <v>10.24</v>
      </c>
      <c r="C328" s="8">
        <f>10.2507 * CHOOSE(CONTROL!$C$15, $D$11, 100%, $F$11)</f>
        <v>10.2507</v>
      </c>
      <c r="D328" s="8">
        <f>10.2352 * CHOOSE( CONTROL!$C$15, $D$11, 100%, $F$11)</f>
        <v>10.235200000000001</v>
      </c>
      <c r="E328" s="12">
        <f>10.2397 * CHOOSE( CONTROL!$C$15, $D$11, 100%, $F$11)</f>
        <v>10.239699999999999</v>
      </c>
      <c r="F328" s="4">
        <f>10.8985 * CHOOSE(CONTROL!$C$15, $D$11, 100%, $F$11)</f>
        <v>10.8985</v>
      </c>
      <c r="G328" s="8">
        <f>10.0115 * CHOOSE( CONTROL!$C$15, $D$11, 100%, $F$11)</f>
        <v>10.0115</v>
      </c>
      <c r="H328" s="4">
        <f>10.8896 * CHOOSE(CONTROL!$C$15, $D$11, 100%, $F$11)</f>
        <v>10.8896</v>
      </c>
      <c r="I328" s="8">
        <f>9.9761 * CHOOSE(CONTROL!$C$15, $D$11, 100%, $F$11)</f>
        <v>9.9761000000000006</v>
      </c>
      <c r="J328" s="4">
        <f>9.8169 * CHOOSE(CONTROL!$C$15, $D$11, 100%, $F$11)</f>
        <v>9.8169000000000004</v>
      </c>
      <c r="K328" s="4"/>
      <c r="L328" s="9">
        <v>29.306000000000001</v>
      </c>
      <c r="M328" s="9">
        <v>12.063700000000001</v>
      </c>
      <c r="N328" s="9">
        <v>4.9444999999999997</v>
      </c>
      <c r="O328" s="9">
        <v>0.37409999999999999</v>
      </c>
      <c r="P328" s="9">
        <v>1.2927</v>
      </c>
      <c r="Q328" s="9">
        <v>30.3217</v>
      </c>
      <c r="R328" s="9"/>
      <c r="S328" s="11"/>
    </row>
    <row r="329" spans="1:19" ht="15.75">
      <c r="A329" s="13">
        <v>51532</v>
      </c>
      <c r="B329" s="8">
        <f>10.5416 * CHOOSE(CONTROL!$C$15, $D$11, 100%, $F$11)</f>
        <v>10.541600000000001</v>
      </c>
      <c r="C329" s="8">
        <f>10.5523 * CHOOSE(CONTROL!$C$15, $D$11, 100%, $F$11)</f>
        <v>10.552300000000001</v>
      </c>
      <c r="D329" s="8">
        <f>10.5337 * CHOOSE( CONTROL!$C$15, $D$11, 100%, $F$11)</f>
        <v>10.5337</v>
      </c>
      <c r="E329" s="12">
        <f>10.5394 * CHOOSE( CONTROL!$C$15, $D$11, 100%, $F$11)</f>
        <v>10.539400000000001</v>
      </c>
      <c r="F329" s="4">
        <f>11.2001 * CHOOSE(CONTROL!$C$15, $D$11, 100%, $F$11)</f>
        <v>11.200100000000001</v>
      </c>
      <c r="G329" s="8">
        <f>10.2989 * CHOOSE( CONTROL!$C$15, $D$11, 100%, $F$11)</f>
        <v>10.2989</v>
      </c>
      <c r="H329" s="4">
        <f>11.1844 * CHOOSE(CONTROL!$C$15, $D$11, 100%, $F$11)</f>
        <v>11.1844</v>
      </c>
      <c r="I329" s="8">
        <f>10.2307 * CHOOSE(CONTROL!$C$15, $D$11, 100%, $F$11)</f>
        <v>10.230700000000001</v>
      </c>
      <c r="J329" s="4">
        <f>10.1065 * CHOOSE(CONTROL!$C$15, $D$11, 100%, $F$11)</f>
        <v>10.1065</v>
      </c>
      <c r="K329" s="4"/>
      <c r="L329" s="9">
        <v>29.306000000000001</v>
      </c>
      <c r="M329" s="9">
        <v>12.063700000000001</v>
      </c>
      <c r="N329" s="9">
        <v>4.9444999999999997</v>
      </c>
      <c r="O329" s="9">
        <v>0.37409999999999999</v>
      </c>
      <c r="P329" s="9">
        <v>1.2927</v>
      </c>
      <c r="Q329" s="9">
        <v>30.258500000000002</v>
      </c>
      <c r="R329" s="9"/>
      <c r="S329" s="11"/>
    </row>
    <row r="330" spans="1:19" ht="15.75">
      <c r="A330" s="13">
        <v>51560</v>
      </c>
      <c r="B330" s="8">
        <f>9.8611 * CHOOSE(CONTROL!$C$15, $D$11, 100%, $F$11)</f>
        <v>9.8611000000000004</v>
      </c>
      <c r="C330" s="8">
        <f>9.8718 * CHOOSE(CONTROL!$C$15, $D$11, 100%, $F$11)</f>
        <v>9.8718000000000004</v>
      </c>
      <c r="D330" s="8">
        <f>9.8531 * CHOOSE( CONTROL!$C$15, $D$11, 100%, $F$11)</f>
        <v>9.8530999999999995</v>
      </c>
      <c r="E330" s="12">
        <f>9.8588 * CHOOSE( CONTROL!$C$15, $D$11, 100%, $F$11)</f>
        <v>9.8588000000000005</v>
      </c>
      <c r="F330" s="4">
        <f>10.5196 * CHOOSE(CONTROL!$C$15, $D$11, 100%, $F$11)</f>
        <v>10.519600000000001</v>
      </c>
      <c r="G330" s="8">
        <f>9.6334 * CHOOSE( CONTROL!$C$15, $D$11, 100%, $F$11)</f>
        <v>9.6334</v>
      </c>
      <c r="H330" s="4">
        <f>10.5191 * CHOOSE(CONTROL!$C$15, $D$11, 100%, $F$11)</f>
        <v>10.5191</v>
      </c>
      <c r="I330" s="8">
        <f>9.5767 * CHOOSE(CONTROL!$C$15, $D$11, 100%, $F$11)</f>
        <v>9.5767000000000007</v>
      </c>
      <c r="J330" s="4">
        <f>9.4531 * CHOOSE(CONTROL!$C$15, $D$11, 100%, $F$11)</f>
        <v>9.4530999999999992</v>
      </c>
      <c r="K330" s="4"/>
      <c r="L330" s="9">
        <v>26.469899999999999</v>
      </c>
      <c r="M330" s="9">
        <v>10.8962</v>
      </c>
      <c r="N330" s="9">
        <v>4.4660000000000002</v>
      </c>
      <c r="O330" s="9">
        <v>0.33789999999999998</v>
      </c>
      <c r="P330" s="9">
        <v>1.1676</v>
      </c>
      <c r="Q330" s="9">
        <v>27.330200000000001</v>
      </c>
      <c r="R330" s="9"/>
      <c r="S330" s="11"/>
    </row>
    <row r="331" spans="1:19" ht="15.75">
      <c r="A331" s="13">
        <v>51591</v>
      </c>
      <c r="B331" s="8">
        <f>9.6515 * CHOOSE(CONTROL!$C$15, $D$11, 100%, $F$11)</f>
        <v>9.6515000000000004</v>
      </c>
      <c r="C331" s="8">
        <f>9.6622 * CHOOSE(CONTROL!$C$15, $D$11, 100%, $F$11)</f>
        <v>9.6622000000000003</v>
      </c>
      <c r="D331" s="8">
        <f>9.643 * CHOOSE( CONTROL!$C$15, $D$11, 100%, $F$11)</f>
        <v>9.6430000000000007</v>
      </c>
      <c r="E331" s="12">
        <f>9.6489 * CHOOSE( CONTROL!$C$15, $D$11, 100%, $F$11)</f>
        <v>9.6488999999999994</v>
      </c>
      <c r="F331" s="4">
        <f>10.31 * CHOOSE(CONTROL!$C$15, $D$11, 100%, $F$11)</f>
        <v>10.31</v>
      </c>
      <c r="G331" s="8">
        <f>9.4282 * CHOOSE( CONTROL!$C$15, $D$11, 100%, $F$11)</f>
        <v>9.4282000000000004</v>
      </c>
      <c r="H331" s="4">
        <f>10.3142 * CHOOSE(CONTROL!$C$15, $D$11, 100%, $F$11)</f>
        <v>10.3142</v>
      </c>
      <c r="I331" s="8">
        <f>9.3738 * CHOOSE(CONTROL!$C$15, $D$11, 100%, $F$11)</f>
        <v>9.3737999999999992</v>
      </c>
      <c r="J331" s="4">
        <f>9.2519 * CHOOSE(CONTROL!$C$15, $D$11, 100%, $F$11)</f>
        <v>9.2518999999999991</v>
      </c>
      <c r="K331" s="4"/>
      <c r="L331" s="9">
        <v>29.306000000000001</v>
      </c>
      <c r="M331" s="9">
        <v>12.063700000000001</v>
      </c>
      <c r="N331" s="9">
        <v>4.9444999999999997</v>
      </c>
      <c r="O331" s="9">
        <v>0.37409999999999999</v>
      </c>
      <c r="P331" s="9">
        <v>1.2927</v>
      </c>
      <c r="Q331" s="9">
        <v>30.258500000000002</v>
      </c>
      <c r="R331" s="9"/>
      <c r="S331" s="11"/>
    </row>
    <row r="332" spans="1:19" ht="15.75">
      <c r="A332" s="13">
        <v>51621</v>
      </c>
      <c r="B332" s="8">
        <f>9.7979 * CHOOSE(CONTROL!$C$15, $D$11, 100%, $F$11)</f>
        <v>9.7979000000000003</v>
      </c>
      <c r="C332" s="8">
        <f>9.8087 * CHOOSE(CONTROL!$C$15, $D$11, 100%, $F$11)</f>
        <v>9.8087</v>
      </c>
      <c r="D332" s="8">
        <f>9.8456 * CHOOSE( CONTROL!$C$15, $D$11, 100%, $F$11)</f>
        <v>9.8455999999999992</v>
      </c>
      <c r="E332" s="12">
        <f>9.8322 * CHOOSE( CONTROL!$C$15, $D$11, 100%, $F$11)</f>
        <v>9.8322000000000003</v>
      </c>
      <c r="F332" s="4">
        <f>10.5371 * CHOOSE(CONTROL!$C$15, $D$11, 100%, $F$11)</f>
        <v>10.537100000000001</v>
      </c>
      <c r="G332" s="8">
        <f>9.5706 * CHOOSE( CONTROL!$C$15, $D$11, 100%, $F$11)</f>
        <v>9.5706000000000007</v>
      </c>
      <c r="H332" s="4">
        <f>10.5363 * CHOOSE(CONTROL!$C$15, $D$11, 100%, $F$11)</f>
        <v>10.536300000000001</v>
      </c>
      <c r="I332" s="8">
        <f>9.5064 * CHOOSE(CONTROL!$C$15, $D$11, 100%, $F$11)</f>
        <v>9.5063999999999993</v>
      </c>
      <c r="J332" s="4">
        <f>9.3925 * CHOOSE(CONTROL!$C$15, $D$11, 100%, $F$11)</f>
        <v>9.3925000000000001</v>
      </c>
      <c r="K332" s="4"/>
      <c r="L332" s="9">
        <v>30.092199999999998</v>
      </c>
      <c r="M332" s="9">
        <v>11.6745</v>
      </c>
      <c r="N332" s="9">
        <v>4.7850000000000001</v>
      </c>
      <c r="O332" s="9">
        <v>0.36199999999999999</v>
      </c>
      <c r="P332" s="9">
        <v>1.1791</v>
      </c>
      <c r="Q332" s="9">
        <v>29.282399999999999</v>
      </c>
      <c r="R332" s="9"/>
      <c r="S332" s="11"/>
    </row>
    <row r="333" spans="1:19" ht="15.75">
      <c r="A333" s="13">
        <v>51652</v>
      </c>
      <c r="B333" s="8">
        <f>CHOOSE( CONTROL!$C$32, 10.0608, 10.0585) * CHOOSE(CONTROL!$C$15, $D$11, 100%, $F$11)</f>
        <v>10.0608</v>
      </c>
      <c r="C333" s="8">
        <f>CHOOSE( CONTROL!$C$32, 10.0714, 10.069) * CHOOSE(CONTROL!$C$15, $D$11, 100%, $F$11)</f>
        <v>10.071400000000001</v>
      </c>
      <c r="D333" s="8">
        <f>CHOOSE( CONTROL!$C$32, 10.1072, 10.1049) * CHOOSE( CONTROL!$C$15, $D$11, 100%, $F$11)</f>
        <v>10.107200000000001</v>
      </c>
      <c r="E333" s="12">
        <f>CHOOSE( CONTROL!$C$32, 10.0926, 10.0903) * CHOOSE( CONTROL!$C$15, $D$11, 100%, $F$11)</f>
        <v>10.092599999999999</v>
      </c>
      <c r="F333" s="4">
        <f>CHOOSE( CONTROL!$C$32, 10.8002, 10.7978) * CHOOSE(CONTROL!$C$15, $D$11, 100%, $F$11)</f>
        <v>10.8002</v>
      </c>
      <c r="G333" s="8">
        <f>CHOOSE( CONTROL!$C$32, 9.8283, 9.826) * CHOOSE( CONTROL!$C$15, $D$11, 100%, $F$11)</f>
        <v>9.8283000000000005</v>
      </c>
      <c r="H333" s="4">
        <f>CHOOSE( CONTROL!$C$32, 10.7935, 10.7911) * CHOOSE(CONTROL!$C$15, $D$11, 100%, $F$11)</f>
        <v>10.7935</v>
      </c>
      <c r="I333" s="8">
        <f>CHOOSE( CONTROL!$C$32, 9.7592, 9.7569) * CHOOSE(CONTROL!$C$15, $D$11, 100%, $F$11)</f>
        <v>9.7591999999999999</v>
      </c>
      <c r="J333" s="4">
        <f>CHOOSE( CONTROL!$C$32, 9.6451, 9.6428) * CHOOSE(CONTROL!$C$15, $D$11, 100%, $F$11)</f>
        <v>9.6450999999999993</v>
      </c>
      <c r="K333" s="4"/>
      <c r="L333" s="9">
        <v>30.7165</v>
      </c>
      <c r="M333" s="9">
        <v>12.063700000000001</v>
      </c>
      <c r="N333" s="9">
        <v>4.9444999999999997</v>
      </c>
      <c r="O333" s="9">
        <v>0.37409999999999999</v>
      </c>
      <c r="P333" s="9">
        <v>1.2183999999999999</v>
      </c>
      <c r="Q333" s="9">
        <v>30.258500000000002</v>
      </c>
      <c r="R333" s="9"/>
      <c r="S333" s="11"/>
    </row>
    <row r="334" spans="1:19" ht="15.75">
      <c r="A334" s="13">
        <v>51682</v>
      </c>
      <c r="B334" s="8">
        <f>CHOOSE( CONTROL!$C$32, 9.8994, 9.897) * CHOOSE(CONTROL!$C$15, $D$11, 100%, $F$11)</f>
        <v>9.8994</v>
      </c>
      <c r="C334" s="8">
        <f>CHOOSE( CONTROL!$C$32, 9.9099, 9.9075) * CHOOSE(CONTROL!$C$15, $D$11, 100%, $F$11)</f>
        <v>9.9099000000000004</v>
      </c>
      <c r="D334" s="8">
        <f>CHOOSE( CONTROL!$C$32, 9.946, 9.9436) * CHOOSE( CONTROL!$C$15, $D$11, 100%, $F$11)</f>
        <v>9.9459999999999997</v>
      </c>
      <c r="E334" s="12">
        <f>CHOOSE( CONTROL!$C$32, 9.9313, 9.9289) * CHOOSE( CONTROL!$C$15, $D$11, 100%, $F$11)</f>
        <v>9.9313000000000002</v>
      </c>
      <c r="F334" s="4">
        <f>CHOOSE( CONTROL!$C$32, 10.6387, 10.6363) * CHOOSE(CONTROL!$C$15, $D$11, 100%, $F$11)</f>
        <v>10.6387</v>
      </c>
      <c r="G334" s="8">
        <f>CHOOSE( CONTROL!$C$32, 9.6707, 9.6684) * CHOOSE( CONTROL!$C$15, $D$11, 100%, $F$11)</f>
        <v>9.6707000000000001</v>
      </c>
      <c r="H334" s="4">
        <f>CHOOSE( CONTROL!$C$32, 10.6356, 10.6333) * CHOOSE(CONTROL!$C$15, $D$11, 100%, $F$11)</f>
        <v>10.6356</v>
      </c>
      <c r="I334" s="8">
        <f>CHOOSE( CONTROL!$C$32, 9.605, 9.6027) * CHOOSE(CONTROL!$C$15, $D$11, 100%, $F$11)</f>
        <v>9.6050000000000004</v>
      </c>
      <c r="J334" s="4">
        <f>CHOOSE( CONTROL!$C$32, 9.4901, 9.4878) * CHOOSE(CONTROL!$C$15, $D$11, 100%, $F$11)</f>
        <v>9.4901</v>
      </c>
      <c r="K334" s="4"/>
      <c r="L334" s="9">
        <v>29.7257</v>
      </c>
      <c r="M334" s="9">
        <v>11.6745</v>
      </c>
      <c r="N334" s="9">
        <v>4.7850000000000001</v>
      </c>
      <c r="O334" s="9">
        <v>0.36199999999999999</v>
      </c>
      <c r="P334" s="9">
        <v>1.1791</v>
      </c>
      <c r="Q334" s="9">
        <v>29.282399999999999</v>
      </c>
      <c r="R334" s="9"/>
      <c r="S334" s="11"/>
    </row>
    <row r="335" spans="1:19" ht="15.75">
      <c r="A335" s="13">
        <v>51713</v>
      </c>
      <c r="B335" s="8">
        <f>CHOOSE( CONTROL!$C$32, 10.3246, 10.3222) * CHOOSE(CONTROL!$C$15, $D$11, 100%, $F$11)</f>
        <v>10.3246</v>
      </c>
      <c r="C335" s="8">
        <f>CHOOSE( CONTROL!$C$32, 10.3352, 10.3328) * CHOOSE(CONTROL!$C$15, $D$11, 100%, $F$11)</f>
        <v>10.3352</v>
      </c>
      <c r="D335" s="8">
        <f>CHOOSE( CONTROL!$C$32, 10.3714, 10.369) * CHOOSE( CONTROL!$C$15, $D$11, 100%, $F$11)</f>
        <v>10.3714</v>
      </c>
      <c r="E335" s="12">
        <f>CHOOSE( CONTROL!$C$32, 10.3567, 10.3543) * CHOOSE( CONTROL!$C$15, $D$11, 100%, $F$11)</f>
        <v>10.3567</v>
      </c>
      <c r="F335" s="4">
        <f>CHOOSE( CONTROL!$C$32, 11.064, 11.0616) * CHOOSE(CONTROL!$C$15, $D$11, 100%, $F$11)</f>
        <v>11.064</v>
      </c>
      <c r="G335" s="8">
        <f>CHOOSE( CONTROL!$C$32, 10.0868, 10.0844) * CHOOSE( CONTROL!$C$15, $D$11, 100%, $F$11)</f>
        <v>10.0868</v>
      </c>
      <c r="H335" s="4">
        <f>CHOOSE( CONTROL!$C$32, 11.0514, 11.049) * CHOOSE(CONTROL!$C$15, $D$11, 100%, $F$11)</f>
        <v>11.051399999999999</v>
      </c>
      <c r="I335" s="8">
        <f>CHOOSE( CONTROL!$C$32, 10.0144, 10.0121) * CHOOSE(CONTROL!$C$15, $D$11, 100%, $F$11)</f>
        <v>10.0144</v>
      </c>
      <c r="J335" s="4">
        <f>CHOOSE( CONTROL!$C$32, 9.8983, 9.896) * CHOOSE(CONTROL!$C$15, $D$11, 100%, $F$11)</f>
        <v>9.8983000000000008</v>
      </c>
      <c r="K335" s="4"/>
      <c r="L335" s="9">
        <v>30.7165</v>
      </c>
      <c r="M335" s="9">
        <v>12.063700000000001</v>
      </c>
      <c r="N335" s="9">
        <v>4.9444999999999997</v>
      </c>
      <c r="O335" s="9">
        <v>0.37409999999999999</v>
      </c>
      <c r="P335" s="9">
        <v>1.2183999999999999</v>
      </c>
      <c r="Q335" s="9">
        <v>30.258500000000002</v>
      </c>
      <c r="R335" s="9"/>
      <c r="S335" s="11"/>
    </row>
    <row r="336" spans="1:19" ht="15.75">
      <c r="A336" s="13">
        <v>51744</v>
      </c>
      <c r="B336" s="8">
        <f>CHOOSE( CONTROL!$C$32, 9.529, 9.5266) * CHOOSE(CONTROL!$C$15, $D$11, 100%, $F$11)</f>
        <v>9.5289999999999999</v>
      </c>
      <c r="C336" s="8">
        <f>CHOOSE( CONTROL!$C$32, 9.5395, 9.5371) * CHOOSE(CONTROL!$C$15, $D$11, 100%, $F$11)</f>
        <v>9.5395000000000003</v>
      </c>
      <c r="D336" s="8">
        <f>CHOOSE( CONTROL!$C$32, 9.5758, 9.5734) * CHOOSE( CONTROL!$C$15, $D$11, 100%, $F$11)</f>
        <v>9.5757999999999992</v>
      </c>
      <c r="E336" s="12">
        <f>CHOOSE( CONTROL!$C$32, 9.561, 9.5586) * CHOOSE( CONTROL!$C$15, $D$11, 100%, $F$11)</f>
        <v>9.5609999999999999</v>
      </c>
      <c r="F336" s="4">
        <f>CHOOSE( CONTROL!$C$32, 10.2683, 10.2659) * CHOOSE(CONTROL!$C$15, $D$11, 100%, $F$11)</f>
        <v>10.2683</v>
      </c>
      <c r="G336" s="8">
        <f>CHOOSE( CONTROL!$C$32, 9.309, 9.3066) * CHOOSE( CONTROL!$C$15, $D$11, 100%, $F$11)</f>
        <v>9.3089999999999993</v>
      </c>
      <c r="H336" s="4">
        <f>CHOOSE( CONTROL!$C$32, 10.2734, 10.2711) * CHOOSE(CONTROL!$C$15, $D$11, 100%, $F$11)</f>
        <v>10.273400000000001</v>
      </c>
      <c r="I336" s="8">
        <f>CHOOSE( CONTROL!$C$32, 9.2504, 9.2481) * CHOOSE(CONTROL!$C$15, $D$11, 100%, $F$11)</f>
        <v>9.2504000000000008</v>
      </c>
      <c r="J336" s="4">
        <f>CHOOSE( CONTROL!$C$32, 9.1344, 9.1321) * CHOOSE(CONTROL!$C$15, $D$11, 100%, $F$11)</f>
        <v>9.1343999999999994</v>
      </c>
      <c r="K336" s="4"/>
      <c r="L336" s="9">
        <v>30.7165</v>
      </c>
      <c r="M336" s="9">
        <v>12.063700000000001</v>
      </c>
      <c r="N336" s="9">
        <v>4.9444999999999997</v>
      </c>
      <c r="O336" s="9">
        <v>0.37409999999999999</v>
      </c>
      <c r="P336" s="9">
        <v>1.2183999999999999</v>
      </c>
      <c r="Q336" s="9">
        <v>30.258500000000002</v>
      </c>
      <c r="R336" s="9"/>
      <c r="S336" s="11"/>
    </row>
    <row r="337" spans="1:19" ht="15.75">
      <c r="A337" s="13">
        <v>51774</v>
      </c>
      <c r="B337" s="8">
        <f>CHOOSE( CONTROL!$C$32, 9.3297, 9.3273) * CHOOSE(CONTROL!$C$15, $D$11, 100%, $F$11)</f>
        <v>9.3297000000000008</v>
      </c>
      <c r="C337" s="8">
        <f>CHOOSE( CONTROL!$C$32, 9.3403, 9.3379) * CHOOSE(CONTROL!$C$15, $D$11, 100%, $F$11)</f>
        <v>9.3402999999999992</v>
      </c>
      <c r="D337" s="8">
        <f>CHOOSE( CONTROL!$C$32, 9.3765, 9.3741) * CHOOSE( CONTROL!$C$15, $D$11, 100%, $F$11)</f>
        <v>9.3765000000000001</v>
      </c>
      <c r="E337" s="12">
        <f>CHOOSE( CONTROL!$C$32, 9.3618, 9.3594) * CHOOSE( CONTROL!$C$15, $D$11, 100%, $F$11)</f>
        <v>9.3618000000000006</v>
      </c>
      <c r="F337" s="4">
        <f>CHOOSE( CONTROL!$C$32, 10.0691, 10.0667) * CHOOSE(CONTROL!$C$15, $D$11, 100%, $F$11)</f>
        <v>10.069100000000001</v>
      </c>
      <c r="G337" s="8">
        <f>CHOOSE( CONTROL!$C$32, 9.1141, 9.1117) * CHOOSE( CONTROL!$C$15, $D$11, 100%, $F$11)</f>
        <v>9.1141000000000005</v>
      </c>
      <c r="H337" s="4">
        <f>CHOOSE( CONTROL!$C$32, 10.0787, 10.0763) * CHOOSE(CONTROL!$C$15, $D$11, 100%, $F$11)</f>
        <v>10.0787</v>
      </c>
      <c r="I337" s="8">
        <f>CHOOSE( CONTROL!$C$32, 9.0587, 9.0564) * CHOOSE(CONTROL!$C$15, $D$11, 100%, $F$11)</f>
        <v>9.0587</v>
      </c>
      <c r="J337" s="4">
        <f>CHOOSE( CONTROL!$C$32, 8.9431, 8.9408) * CHOOSE(CONTROL!$C$15, $D$11, 100%, $F$11)</f>
        <v>8.9430999999999994</v>
      </c>
      <c r="K337" s="4"/>
      <c r="L337" s="9">
        <v>29.7257</v>
      </c>
      <c r="M337" s="9">
        <v>11.6745</v>
      </c>
      <c r="N337" s="9">
        <v>4.7850000000000001</v>
      </c>
      <c r="O337" s="9">
        <v>0.36199999999999999</v>
      </c>
      <c r="P337" s="9">
        <v>1.1791</v>
      </c>
      <c r="Q337" s="9">
        <v>29.282399999999999</v>
      </c>
      <c r="R337" s="9"/>
      <c r="S337" s="11"/>
    </row>
    <row r="338" spans="1:19" ht="15.75">
      <c r="A338" s="13">
        <v>51805</v>
      </c>
      <c r="B338" s="8">
        <f>9.7411 * CHOOSE(CONTROL!$C$15, $D$11, 100%, $F$11)</f>
        <v>9.7410999999999994</v>
      </c>
      <c r="C338" s="8">
        <f>9.7519 * CHOOSE(CONTROL!$C$15, $D$11, 100%, $F$11)</f>
        <v>9.7518999999999991</v>
      </c>
      <c r="D338" s="8">
        <f>9.7894 * CHOOSE( CONTROL!$C$15, $D$11, 100%, $F$11)</f>
        <v>9.7894000000000005</v>
      </c>
      <c r="E338" s="12">
        <f>9.7759 * CHOOSE( CONTROL!$C$15, $D$11, 100%, $F$11)</f>
        <v>9.7759</v>
      </c>
      <c r="F338" s="4">
        <f>10.4804 * CHOOSE(CONTROL!$C$15, $D$11, 100%, $F$11)</f>
        <v>10.480399999999999</v>
      </c>
      <c r="G338" s="8">
        <f>9.5159 * CHOOSE( CONTROL!$C$15, $D$11, 100%, $F$11)</f>
        <v>9.5159000000000002</v>
      </c>
      <c r="H338" s="4">
        <f>10.4808 * CHOOSE(CONTROL!$C$15, $D$11, 100%, $F$11)</f>
        <v>10.4808</v>
      </c>
      <c r="I338" s="8">
        <f>9.4546 * CHOOSE(CONTROL!$C$15, $D$11, 100%, $F$11)</f>
        <v>9.4545999999999992</v>
      </c>
      <c r="J338" s="4">
        <f>9.338 * CHOOSE(CONTROL!$C$15, $D$11, 100%, $F$11)</f>
        <v>9.3379999999999992</v>
      </c>
      <c r="K338" s="4"/>
      <c r="L338" s="9">
        <v>31.095300000000002</v>
      </c>
      <c r="M338" s="9">
        <v>12.063700000000001</v>
      </c>
      <c r="N338" s="9">
        <v>4.9444999999999997</v>
      </c>
      <c r="O338" s="9">
        <v>0.37409999999999999</v>
      </c>
      <c r="P338" s="9">
        <v>1.2183999999999999</v>
      </c>
      <c r="Q338" s="9">
        <v>30.258500000000002</v>
      </c>
      <c r="R338" s="9"/>
      <c r="S338" s="11"/>
    </row>
    <row r="339" spans="1:19" ht="15.75">
      <c r="A339" s="13">
        <v>51835</v>
      </c>
      <c r="B339" s="8">
        <f>10.5047 * CHOOSE(CONTROL!$C$15, $D$11, 100%, $F$11)</f>
        <v>10.5047</v>
      </c>
      <c r="C339" s="8">
        <f>10.5155 * CHOOSE(CONTROL!$C$15, $D$11, 100%, $F$11)</f>
        <v>10.515499999999999</v>
      </c>
      <c r="D339" s="8">
        <f>10.4982 * CHOOSE( CONTROL!$C$15, $D$11, 100%, $F$11)</f>
        <v>10.498200000000001</v>
      </c>
      <c r="E339" s="12">
        <f>10.5034 * CHOOSE( CONTROL!$C$15, $D$11, 100%, $F$11)</f>
        <v>10.503399999999999</v>
      </c>
      <c r="F339" s="4">
        <f>11.1632 * CHOOSE(CONTROL!$C$15, $D$11, 100%, $F$11)</f>
        <v>11.1632</v>
      </c>
      <c r="G339" s="8">
        <f>10.2692 * CHOOSE( CONTROL!$C$15, $D$11, 100%, $F$11)</f>
        <v>10.2692</v>
      </c>
      <c r="H339" s="4">
        <f>11.1484 * CHOOSE(CONTROL!$C$15, $D$11, 100%, $F$11)</f>
        <v>11.148400000000001</v>
      </c>
      <c r="I339" s="8">
        <f>10.2252 * CHOOSE(CONTROL!$C$15, $D$11, 100%, $F$11)</f>
        <v>10.225199999999999</v>
      </c>
      <c r="J339" s="4">
        <f>10.0711 * CHOOSE(CONTROL!$C$15, $D$11, 100%, $F$11)</f>
        <v>10.071099999999999</v>
      </c>
      <c r="K339" s="4"/>
      <c r="L339" s="9">
        <v>28.360600000000002</v>
      </c>
      <c r="M339" s="9">
        <v>11.6745</v>
      </c>
      <c r="N339" s="9">
        <v>4.7850000000000001</v>
      </c>
      <c r="O339" s="9">
        <v>0.36199999999999999</v>
      </c>
      <c r="P339" s="9">
        <v>1.2509999999999999</v>
      </c>
      <c r="Q339" s="9">
        <v>29.282399999999999</v>
      </c>
      <c r="R339" s="9"/>
      <c r="S339" s="11"/>
    </row>
    <row r="340" spans="1:19" ht="15.75">
      <c r="A340" s="13">
        <v>51866</v>
      </c>
      <c r="B340" s="8">
        <f>10.4857 * CHOOSE(CONTROL!$C$15, $D$11, 100%, $F$11)</f>
        <v>10.4857</v>
      </c>
      <c r="C340" s="8">
        <f>10.4964 * CHOOSE(CONTROL!$C$15, $D$11, 100%, $F$11)</f>
        <v>10.4964</v>
      </c>
      <c r="D340" s="8">
        <f>10.4808 * CHOOSE( CONTROL!$C$15, $D$11, 100%, $F$11)</f>
        <v>10.4808</v>
      </c>
      <c r="E340" s="12">
        <f>10.4854 * CHOOSE( CONTROL!$C$15, $D$11, 100%, $F$11)</f>
        <v>10.4854</v>
      </c>
      <c r="F340" s="4">
        <f>11.1442 * CHOOSE(CONTROL!$C$15, $D$11, 100%, $F$11)</f>
        <v>11.1442</v>
      </c>
      <c r="G340" s="8">
        <f>10.2517 * CHOOSE( CONTROL!$C$15, $D$11, 100%, $F$11)</f>
        <v>10.2517</v>
      </c>
      <c r="H340" s="4">
        <f>11.1298 * CHOOSE(CONTROL!$C$15, $D$11, 100%, $F$11)</f>
        <v>11.129799999999999</v>
      </c>
      <c r="I340" s="8">
        <f>10.2121 * CHOOSE(CONTROL!$C$15, $D$11, 100%, $F$11)</f>
        <v>10.2121</v>
      </c>
      <c r="J340" s="4">
        <f>10.0528 * CHOOSE(CONTROL!$C$15, $D$11, 100%, $F$11)</f>
        <v>10.0528</v>
      </c>
      <c r="K340" s="4"/>
      <c r="L340" s="9">
        <v>29.306000000000001</v>
      </c>
      <c r="M340" s="9">
        <v>12.063700000000001</v>
      </c>
      <c r="N340" s="9">
        <v>4.9444999999999997</v>
      </c>
      <c r="O340" s="9">
        <v>0.37409999999999999</v>
      </c>
      <c r="P340" s="9">
        <v>1.2927</v>
      </c>
      <c r="Q340" s="9">
        <v>30.258500000000002</v>
      </c>
      <c r="R340" s="9"/>
      <c r="S340" s="11"/>
    </row>
    <row r="341" spans="1:19" ht="15.75">
      <c r="A341" s="13">
        <v>51897</v>
      </c>
      <c r="B341" s="8">
        <f>10.7945 * CHOOSE(CONTROL!$C$15, $D$11, 100%, $F$11)</f>
        <v>10.794499999999999</v>
      </c>
      <c r="C341" s="8">
        <f>10.8053 * CHOOSE(CONTROL!$C$15, $D$11, 100%, $F$11)</f>
        <v>10.805300000000001</v>
      </c>
      <c r="D341" s="8">
        <f>10.7867 * CHOOSE( CONTROL!$C$15, $D$11, 100%, $F$11)</f>
        <v>10.7867</v>
      </c>
      <c r="E341" s="12">
        <f>10.7924 * CHOOSE( CONTROL!$C$15, $D$11, 100%, $F$11)</f>
        <v>10.792400000000001</v>
      </c>
      <c r="F341" s="4">
        <f>11.453 * CHOOSE(CONTROL!$C$15, $D$11, 100%, $F$11)</f>
        <v>11.452999999999999</v>
      </c>
      <c r="G341" s="8">
        <f>10.5461 * CHOOSE( CONTROL!$C$15, $D$11, 100%, $F$11)</f>
        <v>10.546099999999999</v>
      </c>
      <c r="H341" s="4">
        <f>11.4317 * CHOOSE(CONTROL!$C$15, $D$11, 100%, $F$11)</f>
        <v>11.431699999999999</v>
      </c>
      <c r="I341" s="8">
        <f>10.4736 * CHOOSE(CONTROL!$C$15, $D$11, 100%, $F$11)</f>
        <v>10.473599999999999</v>
      </c>
      <c r="J341" s="4">
        <f>10.3493 * CHOOSE(CONTROL!$C$15, $D$11, 100%, $F$11)</f>
        <v>10.349299999999999</v>
      </c>
      <c r="K341" s="4"/>
      <c r="L341" s="9">
        <v>29.306000000000001</v>
      </c>
      <c r="M341" s="9">
        <v>12.063700000000001</v>
      </c>
      <c r="N341" s="9">
        <v>4.9444999999999997</v>
      </c>
      <c r="O341" s="9">
        <v>0.37409999999999999</v>
      </c>
      <c r="P341" s="9">
        <v>1.2927</v>
      </c>
      <c r="Q341" s="9">
        <v>20.593900000000001</v>
      </c>
      <c r="R341" s="9"/>
      <c r="S341" s="11"/>
    </row>
    <row r="342" spans="1:19" ht="15.75">
      <c r="A342" s="13">
        <v>51925</v>
      </c>
      <c r="B342" s="8">
        <f>10.0976 * CHOOSE(CONTROL!$C$15, $D$11, 100%, $F$11)</f>
        <v>10.0976</v>
      </c>
      <c r="C342" s="8">
        <f>10.1084 * CHOOSE(CONTROL!$C$15, $D$11, 100%, $F$11)</f>
        <v>10.1084</v>
      </c>
      <c r="D342" s="8">
        <f>10.0897 * CHOOSE( CONTROL!$C$15, $D$11, 100%, $F$11)</f>
        <v>10.089700000000001</v>
      </c>
      <c r="E342" s="12">
        <f>10.0954 * CHOOSE( CONTROL!$C$15, $D$11, 100%, $F$11)</f>
        <v>10.0954</v>
      </c>
      <c r="F342" s="4">
        <f>10.7561 * CHOOSE(CONTROL!$C$15, $D$11, 100%, $F$11)</f>
        <v>10.7561</v>
      </c>
      <c r="G342" s="8">
        <f>9.8647 * CHOOSE( CONTROL!$C$15, $D$11, 100%, $F$11)</f>
        <v>9.8646999999999991</v>
      </c>
      <c r="H342" s="4">
        <f>10.7504 * CHOOSE(CONTROL!$C$15, $D$11, 100%, $F$11)</f>
        <v>10.750400000000001</v>
      </c>
      <c r="I342" s="8">
        <f>9.8039 * CHOOSE(CONTROL!$C$15, $D$11, 100%, $F$11)</f>
        <v>9.8039000000000005</v>
      </c>
      <c r="J342" s="4">
        <f>9.6803 * CHOOSE(CONTROL!$C$15, $D$11, 100%, $F$11)</f>
        <v>9.6803000000000008</v>
      </c>
      <c r="K342" s="4"/>
      <c r="L342" s="9">
        <v>26.469899999999999</v>
      </c>
      <c r="M342" s="9">
        <v>10.8962</v>
      </c>
      <c r="N342" s="9">
        <v>4.4660000000000002</v>
      </c>
      <c r="O342" s="9">
        <v>0.33789999999999998</v>
      </c>
      <c r="P342" s="9">
        <v>1.1676</v>
      </c>
      <c r="Q342" s="9">
        <v>18.600999999999999</v>
      </c>
      <c r="R342" s="9"/>
      <c r="S342" s="11"/>
    </row>
    <row r="343" spans="1:19" ht="15.75">
      <c r="A343" s="13">
        <v>51956</v>
      </c>
      <c r="B343" s="8">
        <f>9.883 * CHOOSE(CONTROL!$C$15, $D$11, 100%, $F$11)</f>
        <v>9.8829999999999991</v>
      </c>
      <c r="C343" s="8">
        <f>9.8938 * CHOOSE(CONTROL!$C$15, $D$11, 100%, $F$11)</f>
        <v>9.8938000000000006</v>
      </c>
      <c r="D343" s="8">
        <f>9.8746 * CHOOSE( CONTROL!$C$15, $D$11, 100%, $F$11)</f>
        <v>9.8745999999999992</v>
      </c>
      <c r="E343" s="12">
        <f>9.8805 * CHOOSE( CONTROL!$C$15, $D$11, 100%, $F$11)</f>
        <v>9.8804999999999996</v>
      </c>
      <c r="F343" s="4">
        <f>10.5415 * CHOOSE(CONTROL!$C$15, $D$11, 100%, $F$11)</f>
        <v>10.541499999999999</v>
      </c>
      <c r="G343" s="8">
        <f>9.6545 * CHOOSE( CONTROL!$C$15, $D$11, 100%, $F$11)</f>
        <v>9.6545000000000005</v>
      </c>
      <c r="H343" s="4">
        <f>10.5405 * CHOOSE(CONTROL!$C$15, $D$11, 100%, $F$11)</f>
        <v>10.5405</v>
      </c>
      <c r="I343" s="8">
        <f>9.5963 * CHOOSE(CONTROL!$C$15, $D$11, 100%, $F$11)</f>
        <v>9.5962999999999994</v>
      </c>
      <c r="J343" s="4">
        <f>9.4742 * CHOOSE(CONTROL!$C$15, $D$11, 100%, $F$11)</f>
        <v>9.4741999999999997</v>
      </c>
      <c r="K343" s="4"/>
      <c r="L343" s="9">
        <v>29.306000000000001</v>
      </c>
      <c r="M343" s="9">
        <v>12.063700000000001</v>
      </c>
      <c r="N343" s="9">
        <v>4.9444999999999997</v>
      </c>
      <c r="O343" s="9">
        <v>0.37409999999999999</v>
      </c>
      <c r="P343" s="9">
        <v>1.2927</v>
      </c>
      <c r="Q343" s="9">
        <v>20.593900000000001</v>
      </c>
      <c r="R343" s="9"/>
      <c r="S343" s="11"/>
    </row>
    <row r="344" spans="1:19" ht="15.75">
      <c r="A344" s="13">
        <v>51986</v>
      </c>
      <c r="B344" s="8">
        <f>10.0329 * CHOOSE(CONTROL!$C$15, $D$11, 100%, $F$11)</f>
        <v>10.0329</v>
      </c>
      <c r="C344" s="8">
        <f>10.0437 * CHOOSE(CONTROL!$C$15, $D$11, 100%, $F$11)</f>
        <v>10.043699999999999</v>
      </c>
      <c r="D344" s="8">
        <f>10.0807 * CHOOSE( CONTROL!$C$15, $D$11, 100%, $F$11)</f>
        <v>10.0807</v>
      </c>
      <c r="E344" s="12">
        <f>10.0672 * CHOOSE( CONTROL!$C$15, $D$11, 100%, $F$11)</f>
        <v>10.0672</v>
      </c>
      <c r="F344" s="4">
        <f>10.7722 * CHOOSE(CONTROL!$C$15, $D$11, 100%, $F$11)</f>
        <v>10.7722</v>
      </c>
      <c r="G344" s="8">
        <f>9.8004 * CHOOSE( CONTROL!$C$15, $D$11, 100%, $F$11)</f>
        <v>9.8003999999999998</v>
      </c>
      <c r="H344" s="4">
        <f>10.7661 * CHOOSE(CONTROL!$C$15, $D$11, 100%, $F$11)</f>
        <v>10.7661</v>
      </c>
      <c r="I344" s="8">
        <f>9.7322 * CHOOSE(CONTROL!$C$15, $D$11, 100%, $F$11)</f>
        <v>9.7322000000000006</v>
      </c>
      <c r="J344" s="4">
        <f>9.6182 * CHOOSE(CONTROL!$C$15, $D$11, 100%, $F$11)</f>
        <v>9.6181999999999999</v>
      </c>
      <c r="K344" s="4"/>
      <c r="L344" s="9">
        <v>30.092199999999998</v>
      </c>
      <c r="M344" s="9">
        <v>11.6745</v>
      </c>
      <c r="N344" s="9">
        <v>4.7850000000000001</v>
      </c>
      <c r="O344" s="9">
        <v>0.36199999999999999</v>
      </c>
      <c r="P344" s="9">
        <v>1.1791</v>
      </c>
      <c r="Q344" s="9">
        <v>19.929600000000001</v>
      </c>
      <c r="R344" s="9"/>
      <c r="S344" s="11"/>
    </row>
    <row r="345" spans="1:19" ht="15.75">
      <c r="A345" s="13">
        <v>52017</v>
      </c>
      <c r="B345" s="8">
        <f>CHOOSE( CONTROL!$C$32, 10.3022, 10.2998) * CHOOSE(CONTROL!$C$15, $D$11, 100%, $F$11)</f>
        <v>10.302199999999999</v>
      </c>
      <c r="C345" s="8">
        <f>CHOOSE( CONTROL!$C$32, 10.3127, 10.3103) * CHOOSE(CONTROL!$C$15, $D$11, 100%, $F$11)</f>
        <v>10.3127</v>
      </c>
      <c r="D345" s="8">
        <f>CHOOSE( CONTROL!$C$32, 10.3486, 10.3462) * CHOOSE( CONTROL!$C$15, $D$11, 100%, $F$11)</f>
        <v>10.348599999999999</v>
      </c>
      <c r="E345" s="12">
        <f>CHOOSE( CONTROL!$C$32, 10.334, 10.3316) * CHOOSE( CONTROL!$C$15, $D$11, 100%, $F$11)</f>
        <v>10.334</v>
      </c>
      <c r="F345" s="4">
        <f>CHOOSE( CONTROL!$C$32, 11.0415, 11.0391) * CHOOSE(CONTROL!$C$15, $D$11, 100%, $F$11)</f>
        <v>11.041499999999999</v>
      </c>
      <c r="G345" s="8">
        <f>CHOOSE( CONTROL!$C$32, 10.0642, 10.0619) * CHOOSE( CONTROL!$C$15, $D$11, 100%, $F$11)</f>
        <v>10.0642</v>
      </c>
      <c r="H345" s="4">
        <f>CHOOSE( CONTROL!$C$32, 11.0294, 11.0271) * CHOOSE(CONTROL!$C$15, $D$11, 100%, $F$11)</f>
        <v>11.029400000000001</v>
      </c>
      <c r="I345" s="8">
        <f>CHOOSE( CONTROL!$C$32, 9.991, 9.9887) * CHOOSE(CONTROL!$C$15, $D$11, 100%, $F$11)</f>
        <v>9.9909999999999997</v>
      </c>
      <c r="J345" s="4">
        <f>CHOOSE( CONTROL!$C$32, 9.8768, 9.8745) * CHOOSE(CONTROL!$C$15, $D$11, 100%, $F$11)</f>
        <v>9.8767999999999994</v>
      </c>
      <c r="K345" s="4"/>
      <c r="L345" s="9">
        <v>30.7165</v>
      </c>
      <c r="M345" s="9">
        <v>12.063700000000001</v>
      </c>
      <c r="N345" s="9">
        <v>4.9444999999999997</v>
      </c>
      <c r="O345" s="9">
        <v>0.37409999999999999</v>
      </c>
      <c r="P345" s="9">
        <v>1.2183999999999999</v>
      </c>
      <c r="Q345" s="9">
        <v>20.593900000000001</v>
      </c>
      <c r="R345" s="9"/>
      <c r="S345" s="11"/>
    </row>
    <row r="346" spans="1:19" ht="15.75">
      <c r="A346" s="13">
        <v>52047</v>
      </c>
      <c r="B346" s="8">
        <f>CHOOSE( CONTROL!$C$32, 10.1368, 10.1344) * CHOOSE(CONTROL!$C$15, $D$11, 100%, $F$11)</f>
        <v>10.136799999999999</v>
      </c>
      <c r="C346" s="8">
        <f>CHOOSE( CONTROL!$C$32, 10.1474, 10.145) * CHOOSE(CONTROL!$C$15, $D$11, 100%, $F$11)</f>
        <v>10.147399999999999</v>
      </c>
      <c r="D346" s="8">
        <f>CHOOSE( CONTROL!$C$32, 10.1834, 10.181) * CHOOSE( CONTROL!$C$15, $D$11, 100%, $F$11)</f>
        <v>10.183400000000001</v>
      </c>
      <c r="E346" s="12">
        <f>CHOOSE( CONTROL!$C$32, 10.1687, 10.1663) * CHOOSE( CONTROL!$C$15, $D$11, 100%, $F$11)</f>
        <v>10.168699999999999</v>
      </c>
      <c r="F346" s="4">
        <f>CHOOSE( CONTROL!$C$32, 10.8762, 10.8738) * CHOOSE(CONTROL!$C$15, $D$11, 100%, $F$11)</f>
        <v>10.876200000000001</v>
      </c>
      <c r="G346" s="8">
        <f>CHOOSE( CONTROL!$C$32, 9.9029, 9.9005) * CHOOSE( CONTROL!$C$15, $D$11, 100%, $F$11)</f>
        <v>9.9029000000000007</v>
      </c>
      <c r="H346" s="4">
        <f>CHOOSE( CONTROL!$C$32, 10.8678, 10.8654) * CHOOSE(CONTROL!$C$15, $D$11, 100%, $F$11)</f>
        <v>10.867800000000001</v>
      </c>
      <c r="I346" s="8">
        <f>CHOOSE( CONTROL!$C$32, 9.8331, 9.8308) * CHOOSE(CONTROL!$C$15, $D$11, 100%, $F$11)</f>
        <v>9.8331</v>
      </c>
      <c r="J346" s="4">
        <f>CHOOSE( CONTROL!$C$32, 9.718, 9.7157) * CHOOSE(CONTROL!$C$15, $D$11, 100%, $F$11)</f>
        <v>9.718</v>
      </c>
      <c r="K346" s="4"/>
      <c r="L346" s="9">
        <v>29.7257</v>
      </c>
      <c r="M346" s="9">
        <v>11.6745</v>
      </c>
      <c r="N346" s="9">
        <v>4.7850000000000001</v>
      </c>
      <c r="O346" s="9">
        <v>0.36199999999999999</v>
      </c>
      <c r="P346" s="9">
        <v>1.1791</v>
      </c>
      <c r="Q346" s="9">
        <v>19.929600000000001</v>
      </c>
      <c r="R346" s="9"/>
      <c r="S346" s="11"/>
    </row>
    <row r="347" spans="1:19" ht="15.75">
      <c r="A347" s="13">
        <v>52078</v>
      </c>
      <c r="B347" s="8">
        <f>CHOOSE( CONTROL!$C$32, 10.5723, 10.5699) * CHOOSE(CONTROL!$C$15, $D$11, 100%, $F$11)</f>
        <v>10.5723</v>
      </c>
      <c r="C347" s="8">
        <f>CHOOSE( CONTROL!$C$32, 10.5828, 10.5804) * CHOOSE(CONTROL!$C$15, $D$11, 100%, $F$11)</f>
        <v>10.582800000000001</v>
      </c>
      <c r="D347" s="8">
        <f>CHOOSE( CONTROL!$C$32, 10.6191, 10.6167) * CHOOSE( CONTROL!$C$15, $D$11, 100%, $F$11)</f>
        <v>10.6191</v>
      </c>
      <c r="E347" s="12">
        <f>CHOOSE( CONTROL!$C$32, 10.6043, 10.6019) * CHOOSE( CONTROL!$C$15, $D$11, 100%, $F$11)</f>
        <v>10.6043</v>
      </c>
      <c r="F347" s="4">
        <f>CHOOSE( CONTROL!$C$32, 11.3116, 11.3092) * CHOOSE(CONTROL!$C$15, $D$11, 100%, $F$11)</f>
        <v>11.3116</v>
      </c>
      <c r="G347" s="8">
        <f>CHOOSE( CONTROL!$C$32, 10.3289, 10.3266) * CHOOSE( CONTROL!$C$15, $D$11, 100%, $F$11)</f>
        <v>10.328900000000001</v>
      </c>
      <c r="H347" s="4">
        <f>CHOOSE( CONTROL!$C$32, 11.2935, 11.2911) * CHOOSE(CONTROL!$C$15, $D$11, 100%, $F$11)</f>
        <v>11.2935</v>
      </c>
      <c r="I347" s="8">
        <f>CHOOSE( CONTROL!$C$32, 10.2523, 10.25) * CHOOSE(CONTROL!$C$15, $D$11, 100%, $F$11)</f>
        <v>10.2523</v>
      </c>
      <c r="J347" s="4">
        <f>CHOOSE( CONTROL!$C$32, 10.1361, 10.1338) * CHOOSE(CONTROL!$C$15, $D$11, 100%, $F$11)</f>
        <v>10.136100000000001</v>
      </c>
      <c r="K347" s="4"/>
      <c r="L347" s="9">
        <v>30.7165</v>
      </c>
      <c r="M347" s="9">
        <v>12.063700000000001</v>
      </c>
      <c r="N347" s="9">
        <v>4.9444999999999997</v>
      </c>
      <c r="O347" s="9">
        <v>0.37409999999999999</v>
      </c>
      <c r="P347" s="9">
        <v>1.2183999999999999</v>
      </c>
      <c r="Q347" s="9">
        <v>20.593900000000001</v>
      </c>
      <c r="R347" s="9"/>
      <c r="S347" s="11"/>
    </row>
    <row r="348" spans="1:19" ht="15.75">
      <c r="A348" s="13">
        <v>52109</v>
      </c>
      <c r="B348" s="8">
        <f>CHOOSE( CONTROL!$C$32, 9.7575, 9.7551) * CHOOSE(CONTROL!$C$15, $D$11, 100%, $F$11)</f>
        <v>9.7575000000000003</v>
      </c>
      <c r="C348" s="8">
        <f>CHOOSE( CONTROL!$C$32, 9.7681, 9.7657) * CHOOSE(CONTROL!$C$15, $D$11, 100%, $F$11)</f>
        <v>9.7681000000000004</v>
      </c>
      <c r="D348" s="8">
        <f>CHOOSE( CONTROL!$C$32, 9.8044, 9.802) * CHOOSE( CONTROL!$C$15, $D$11, 100%, $F$11)</f>
        <v>9.8043999999999993</v>
      </c>
      <c r="E348" s="12">
        <f>CHOOSE( CONTROL!$C$32, 9.7896, 9.7872) * CHOOSE( CONTROL!$C$15, $D$11, 100%, $F$11)</f>
        <v>9.7896000000000001</v>
      </c>
      <c r="F348" s="4">
        <f>CHOOSE( CONTROL!$C$32, 10.4969, 10.4945) * CHOOSE(CONTROL!$C$15, $D$11, 100%, $F$11)</f>
        <v>10.4969</v>
      </c>
      <c r="G348" s="8">
        <f>CHOOSE( CONTROL!$C$32, 9.5324, 9.5301) * CHOOSE( CONTROL!$C$15, $D$11, 100%, $F$11)</f>
        <v>9.5324000000000009</v>
      </c>
      <c r="H348" s="4">
        <f>CHOOSE( CONTROL!$C$32, 10.4969, 10.4946) * CHOOSE(CONTROL!$C$15, $D$11, 100%, $F$11)</f>
        <v>10.4969</v>
      </c>
      <c r="I348" s="8">
        <f>CHOOSE( CONTROL!$C$32, 9.4699, 9.4676) * CHOOSE(CONTROL!$C$15, $D$11, 100%, $F$11)</f>
        <v>9.4699000000000009</v>
      </c>
      <c r="J348" s="4">
        <f>CHOOSE( CONTROL!$C$32, 9.3538, 9.3515) * CHOOSE(CONTROL!$C$15, $D$11, 100%, $F$11)</f>
        <v>9.3537999999999997</v>
      </c>
      <c r="K348" s="4"/>
      <c r="L348" s="9">
        <v>30.7165</v>
      </c>
      <c r="M348" s="9">
        <v>12.063700000000001</v>
      </c>
      <c r="N348" s="9">
        <v>4.9444999999999997</v>
      </c>
      <c r="O348" s="9">
        <v>0.37409999999999999</v>
      </c>
      <c r="P348" s="9">
        <v>1.2183999999999999</v>
      </c>
      <c r="Q348" s="9">
        <v>20.593900000000001</v>
      </c>
      <c r="R348" s="9"/>
      <c r="S348" s="11"/>
    </row>
    <row r="349" spans="1:19" ht="15.75">
      <c r="A349" s="13">
        <v>52139</v>
      </c>
      <c r="B349" s="8">
        <f>CHOOSE( CONTROL!$C$32, 9.5535, 9.5511) * CHOOSE(CONTROL!$C$15, $D$11, 100%, $F$11)</f>
        <v>9.5534999999999997</v>
      </c>
      <c r="C349" s="8">
        <f>CHOOSE( CONTROL!$C$32, 9.564, 9.5616) * CHOOSE(CONTROL!$C$15, $D$11, 100%, $F$11)</f>
        <v>9.5640000000000001</v>
      </c>
      <c r="D349" s="8">
        <f>CHOOSE( CONTROL!$C$32, 9.6003, 9.5979) * CHOOSE( CONTROL!$C$15, $D$11, 100%, $F$11)</f>
        <v>9.6003000000000007</v>
      </c>
      <c r="E349" s="12">
        <f>CHOOSE( CONTROL!$C$32, 9.5855, 9.5831) * CHOOSE( CONTROL!$C$15, $D$11, 100%, $F$11)</f>
        <v>9.5854999999999997</v>
      </c>
      <c r="F349" s="4">
        <f>CHOOSE( CONTROL!$C$32, 10.2928, 10.2904) * CHOOSE(CONTROL!$C$15, $D$11, 100%, $F$11)</f>
        <v>10.2928</v>
      </c>
      <c r="G349" s="8">
        <f>CHOOSE( CONTROL!$C$32, 9.3328, 9.3305) * CHOOSE( CONTROL!$C$15, $D$11, 100%, $F$11)</f>
        <v>9.3328000000000007</v>
      </c>
      <c r="H349" s="4">
        <f>CHOOSE( CONTROL!$C$32, 10.2974, 10.2951) * CHOOSE(CONTROL!$C$15, $D$11, 100%, $F$11)</f>
        <v>10.2974</v>
      </c>
      <c r="I349" s="8">
        <f>CHOOSE( CONTROL!$C$32, 9.2737, 9.2714) * CHOOSE(CONTROL!$C$15, $D$11, 100%, $F$11)</f>
        <v>9.2736999999999998</v>
      </c>
      <c r="J349" s="4">
        <f>CHOOSE( CONTROL!$C$32, 9.158, 9.1557) * CHOOSE(CONTROL!$C$15, $D$11, 100%, $F$11)</f>
        <v>9.1579999999999995</v>
      </c>
      <c r="K349" s="4"/>
      <c r="L349" s="9">
        <v>29.7257</v>
      </c>
      <c r="M349" s="9">
        <v>11.6745</v>
      </c>
      <c r="N349" s="9">
        <v>4.7850000000000001</v>
      </c>
      <c r="O349" s="9">
        <v>0.36199999999999999</v>
      </c>
      <c r="P349" s="9">
        <v>1.1791</v>
      </c>
      <c r="Q349" s="9">
        <v>19.929600000000001</v>
      </c>
      <c r="R349" s="9"/>
      <c r="S349" s="11"/>
    </row>
    <row r="350" spans="1:19" ht="15.75">
      <c r="A350" s="13">
        <v>52170</v>
      </c>
      <c r="B350" s="8">
        <f>9.9748 * CHOOSE(CONTROL!$C$15, $D$11, 100%, $F$11)</f>
        <v>9.9748000000000001</v>
      </c>
      <c r="C350" s="8">
        <f>9.9856 * CHOOSE(CONTROL!$C$15, $D$11, 100%, $F$11)</f>
        <v>9.9855999999999998</v>
      </c>
      <c r="D350" s="8">
        <f>10.0231 * CHOOSE( CONTROL!$C$15, $D$11, 100%, $F$11)</f>
        <v>10.023099999999999</v>
      </c>
      <c r="E350" s="12">
        <f>10.0096 * CHOOSE( CONTROL!$C$15, $D$11, 100%, $F$11)</f>
        <v>10.009600000000001</v>
      </c>
      <c r="F350" s="4">
        <f>10.7141 * CHOOSE(CONTROL!$C$15, $D$11, 100%, $F$11)</f>
        <v>10.7141</v>
      </c>
      <c r="G350" s="8">
        <f>9.7444 * CHOOSE( CONTROL!$C$15, $D$11, 100%, $F$11)</f>
        <v>9.7444000000000006</v>
      </c>
      <c r="H350" s="4">
        <f>10.7093 * CHOOSE(CONTROL!$C$15, $D$11, 100%, $F$11)</f>
        <v>10.709300000000001</v>
      </c>
      <c r="I350" s="8">
        <f>9.679 * CHOOSE(CONTROL!$C$15, $D$11, 100%, $F$11)</f>
        <v>9.6790000000000003</v>
      </c>
      <c r="J350" s="4">
        <f>9.5624 * CHOOSE(CONTROL!$C$15, $D$11, 100%, $F$11)</f>
        <v>9.5624000000000002</v>
      </c>
      <c r="K350" s="4"/>
      <c r="L350" s="9">
        <v>31.095300000000002</v>
      </c>
      <c r="M350" s="9">
        <v>12.063700000000001</v>
      </c>
      <c r="N350" s="9">
        <v>4.9444999999999997</v>
      </c>
      <c r="O350" s="9">
        <v>0.37409999999999999</v>
      </c>
      <c r="P350" s="9">
        <v>1.2183999999999999</v>
      </c>
      <c r="Q350" s="9">
        <v>20.593900000000001</v>
      </c>
      <c r="R350" s="9"/>
      <c r="S350" s="11"/>
    </row>
    <row r="351" spans="1:19" ht="15.75">
      <c r="A351" s="13">
        <v>52200</v>
      </c>
      <c r="B351" s="8">
        <f>10.7568 * CHOOSE(CONTROL!$C$15, $D$11, 100%, $F$11)</f>
        <v>10.7568</v>
      </c>
      <c r="C351" s="8">
        <f>10.7675 * CHOOSE(CONTROL!$C$15, $D$11, 100%, $F$11)</f>
        <v>10.7675</v>
      </c>
      <c r="D351" s="8">
        <f>10.7503 * CHOOSE( CONTROL!$C$15, $D$11, 100%, $F$11)</f>
        <v>10.750299999999999</v>
      </c>
      <c r="E351" s="12">
        <f>10.7554 * CHOOSE( CONTROL!$C$15, $D$11, 100%, $F$11)</f>
        <v>10.7554</v>
      </c>
      <c r="F351" s="4">
        <f>11.4153 * CHOOSE(CONTROL!$C$15, $D$11, 100%, $F$11)</f>
        <v>11.4153</v>
      </c>
      <c r="G351" s="8">
        <f>10.5156 * CHOOSE( CONTROL!$C$15, $D$11, 100%, $F$11)</f>
        <v>10.515599999999999</v>
      </c>
      <c r="H351" s="4">
        <f>11.3948 * CHOOSE(CONTROL!$C$15, $D$11, 100%, $F$11)</f>
        <v>11.3948</v>
      </c>
      <c r="I351" s="8">
        <f>10.4673 * CHOOSE(CONTROL!$C$15, $D$11, 100%, $F$11)</f>
        <v>10.4673</v>
      </c>
      <c r="J351" s="4">
        <f>10.3131 * CHOOSE(CONTROL!$C$15, $D$11, 100%, $F$11)</f>
        <v>10.3131</v>
      </c>
      <c r="K351" s="4"/>
      <c r="L351" s="9">
        <v>28.360600000000002</v>
      </c>
      <c r="M351" s="9">
        <v>11.6745</v>
      </c>
      <c r="N351" s="9">
        <v>4.7850000000000001</v>
      </c>
      <c r="O351" s="9">
        <v>0.36199999999999999</v>
      </c>
      <c r="P351" s="9">
        <v>1.2509999999999999</v>
      </c>
      <c r="Q351" s="9">
        <v>19.929600000000001</v>
      </c>
      <c r="R351" s="9"/>
      <c r="S351" s="11"/>
    </row>
    <row r="352" spans="1:19" ht="15.75">
      <c r="A352" s="13">
        <v>52231</v>
      </c>
      <c r="B352" s="8">
        <f>10.7372 * CHOOSE(CONTROL!$C$15, $D$11, 100%, $F$11)</f>
        <v>10.7372</v>
      </c>
      <c r="C352" s="8">
        <f>10.748 * CHOOSE(CONTROL!$C$15, $D$11, 100%, $F$11)</f>
        <v>10.747999999999999</v>
      </c>
      <c r="D352" s="8">
        <f>10.7324 * CHOOSE( CONTROL!$C$15, $D$11, 100%, $F$11)</f>
        <v>10.7324</v>
      </c>
      <c r="E352" s="12">
        <f>10.737 * CHOOSE( CONTROL!$C$15, $D$11, 100%, $F$11)</f>
        <v>10.737</v>
      </c>
      <c r="F352" s="4">
        <f>11.3957 * CHOOSE(CONTROL!$C$15, $D$11, 100%, $F$11)</f>
        <v>11.3957</v>
      </c>
      <c r="G352" s="8">
        <f>10.4977 * CHOOSE( CONTROL!$C$15, $D$11, 100%, $F$11)</f>
        <v>10.4977</v>
      </c>
      <c r="H352" s="4">
        <f>11.3757 * CHOOSE(CONTROL!$C$15, $D$11, 100%, $F$11)</f>
        <v>11.3757</v>
      </c>
      <c r="I352" s="8">
        <f>10.4537 * CHOOSE(CONTROL!$C$15, $D$11, 100%, $F$11)</f>
        <v>10.4537</v>
      </c>
      <c r="J352" s="4">
        <f>10.2944 * CHOOSE(CONTROL!$C$15, $D$11, 100%, $F$11)</f>
        <v>10.2944</v>
      </c>
      <c r="K352" s="4"/>
      <c r="L352" s="9">
        <v>29.306000000000001</v>
      </c>
      <c r="M352" s="9">
        <v>12.063700000000001</v>
      </c>
      <c r="N352" s="9">
        <v>4.9444999999999997</v>
      </c>
      <c r="O352" s="9">
        <v>0.37409999999999999</v>
      </c>
      <c r="P352" s="9">
        <v>1.2927</v>
      </c>
      <c r="Q352" s="9">
        <v>20.593900000000001</v>
      </c>
      <c r="R352" s="9"/>
      <c r="S352" s="11"/>
    </row>
    <row r="353" spans="1:19" ht="15.75">
      <c r="A353" s="13">
        <v>52262</v>
      </c>
      <c r="B353" s="8">
        <f>11.0535 * CHOOSE(CONTROL!$C$15, $D$11, 100%, $F$11)</f>
        <v>11.0535</v>
      </c>
      <c r="C353" s="8">
        <f>11.0643 * CHOOSE(CONTROL!$C$15, $D$11, 100%, $F$11)</f>
        <v>11.064299999999999</v>
      </c>
      <c r="D353" s="8">
        <f>11.0457 * CHOOSE( CONTROL!$C$15, $D$11, 100%, $F$11)</f>
        <v>11.0457</v>
      </c>
      <c r="E353" s="12">
        <f>11.0514 * CHOOSE( CONTROL!$C$15, $D$11, 100%, $F$11)</f>
        <v>11.051399999999999</v>
      </c>
      <c r="F353" s="4">
        <f>11.712 * CHOOSE(CONTROL!$C$15, $D$11, 100%, $F$11)</f>
        <v>11.712</v>
      </c>
      <c r="G353" s="8">
        <f>10.7994 * CHOOSE( CONTROL!$C$15, $D$11, 100%, $F$11)</f>
        <v>10.7994</v>
      </c>
      <c r="H353" s="4">
        <f>11.6849 * CHOOSE(CONTROL!$C$15, $D$11, 100%, $F$11)</f>
        <v>11.684900000000001</v>
      </c>
      <c r="I353" s="8">
        <f>10.7224 * CHOOSE(CONTROL!$C$15, $D$11, 100%, $F$11)</f>
        <v>10.7224</v>
      </c>
      <c r="J353" s="4">
        <f>10.598 * CHOOSE(CONTROL!$C$15, $D$11, 100%, $F$11)</f>
        <v>10.598000000000001</v>
      </c>
      <c r="K353" s="4"/>
      <c r="L353" s="9">
        <v>29.306000000000001</v>
      </c>
      <c r="M353" s="9">
        <v>12.063700000000001</v>
      </c>
      <c r="N353" s="9">
        <v>4.9444999999999997</v>
      </c>
      <c r="O353" s="9">
        <v>0.37409999999999999</v>
      </c>
      <c r="P353" s="9">
        <v>1.2927</v>
      </c>
      <c r="Q353" s="9">
        <v>20.5288</v>
      </c>
      <c r="R353" s="9"/>
      <c r="S353" s="11"/>
    </row>
    <row r="354" spans="1:19" ht="15.75">
      <c r="A354" s="13">
        <v>52290</v>
      </c>
      <c r="B354" s="8">
        <f>10.3399 * CHOOSE(CONTROL!$C$15, $D$11, 100%, $F$11)</f>
        <v>10.3399</v>
      </c>
      <c r="C354" s="8">
        <f>10.3507 * CHOOSE(CONTROL!$C$15, $D$11, 100%, $F$11)</f>
        <v>10.3507</v>
      </c>
      <c r="D354" s="8">
        <f>10.3319 * CHOOSE( CONTROL!$C$15, $D$11, 100%, $F$11)</f>
        <v>10.331899999999999</v>
      </c>
      <c r="E354" s="12">
        <f>10.3376 * CHOOSE( CONTROL!$C$15, $D$11, 100%, $F$11)</f>
        <v>10.3376</v>
      </c>
      <c r="F354" s="4">
        <f>10.9984 * CHOOSE(CONTROL!$C$15, $D$11, 100%, $F$11)</f>
        <v>10.9984</v>
      </c>
      <c r="G354" s="8">
        <f>10.1016 * CHOOSE( CONTROL!$C$15, $D$11, 100%, $F$11)</f>
        <v>10.101599999999999</v>
      </c>
      <c r="H354" s="4">
        <f>10.9872 * CHOOSE(CONTROL!$C$15, $D$11, 100%, $F$11)</f>
        <v>10.9872</v>
      </c>
      <c r="I354" s="8">
        <f>10.0366 * CHOOSE(CONTROL!$C$15, $D$11, 100%, $F$11)</f>
        <v>10.0366</v>
      </c>
      <c r="J354" s="4">
        <f>9.9129 * CHOOSE(CONTROL!$C$15, $D$11, 100%, $F$11)</f>
        <v>9.9129000000000005</v>
      </c>
      <c r="K354" s="4"/>
      <c r="L354" s="9">
        <v>26.469899999999999</v>
      </c>
      <c r="M354" s="9">
        <v>10.8962</v>
      </c>
      <c r="N354" s="9">
        <v>4.4660000000000002</v>
      </c>
      <c r="O354" s="9">
        <v>0.33789999999999998</v>
      </c>
      <c r="P354" s="9">
        <v>1.1676</v>
      </c>
      <c r="Q354" s="9">
        <v>18.542200000000001</v>
      </c>
      <c r="R354" s="9"/>
      <c r="S354" s="11"/>
    </row>
    <row r="355" spans="1:19" ht="15.75">
      <c r="A355" s="13">
        <v>52321</v>
      </c>
      <c r="B355" s="8">
        <f>10.1201 * CHOOSE(CONTROL!$C$15, $D$11, 100%, $F$11)</f>
        <v>10.120100000000001</v>
      </c>
      <c r="C355" s="8">
        <f>10.1309 * CHOOSE(CONTROL!$C$15, $D$11, 100%, $F$11)</f>
        <v>10.1309</v>
      </c>
      <c r="D355" s="8">
        <f>10.1117 * CHOOSE( CONTROL!$C$15, $D$11, 100%, $F$11)</f>
        <v>10.111700000000001</v>
      </c>
      <c r="E355" s="12">
        <f>10.1176 * CHOOSE( CONTROL!$C$15, $D$11, 100%, $F$11)</f>
        <v>10.117599999999999</v>
      </c>
      <c r="F355" s="4">
        <f>10.7786 * CHOOSE(CONTROL!$C$15, $D$11, 100%, $F$11)</f>
        <v>10.778600000000001</v>
      </c>
      <c r="G355" s="8">
        <f>9.8864 * CHOOSE( CONTROL!$C$15, $D$11, 100%, $F$11)</f>
        <v>9.8864000000000001</v>
      </c>
      <c r="H355" s="4">
        <f>10.7724 * CHOOSE(CONTROL!$C$15, $D$11, 100%, $F$11)</f>
        <v>10.772399999999999</v>
      </c>
      <c r="I355" s="8">
        <f>9.824 * CHOOSE(CONTROL!$C$15, $D$11, 100%, $F$11)</f>
        <v>9.8239999999999998</v>
      </c>
      <c r="J355" s="4">
        <f>9.7018 * CHOOSE(CONTROL!$C$15, $D$11, 100%, $F$11)</f>
        <v>9.7018000000000004</v>
      </c>
      <c r="K355" s="4"/>
      <c r="L355" s="9">
        <v>29.306000000000001</v>
      </c>
      <c r="M355" s="9">
        <v>12.063700000000001</v>
      </c>
      <c r="N355" s="9">
        <v>4.9444999999999997</v>
      </c>
      <c r="O355" s="9">
        <v>0.37409999999999999</v>
      </c>
      <c r="P355" s="9">
        <v>1.2927</v>
      </c>
      <c r="Q355" s="9">
        <v>20.5288</v>
      </c>
      <c r="R355" s="9"/>
      <c r="S355" s="11"/>
    </row>
    <row r="356" spans="1:19" ht="15.75">
      <c r="A356" s="13">
        <v>52351</v>
      </c>
      <c r="B356" s="8">
        <f>10.2736 * CHOOSE(CONTROL!$C$15, $D$11, 100%, $F$11)</f>
        <v>10.2736</v>
      </c>
      <c r="C356" s="8">
        <f>10.2844 * CHOOSE(CONTROL!$C$15, $D$11, 100%, $F$11)</f>
        <v>10.2844</v>
      </c>
      <c r="D356" s="8">
        <f>10.3214 * CHOOSE( CONTROL!$C$15, $D$11, 100%, $F$11)</f>
        <v>10.321400000000001</v>
      </c>
      <c r="E356" s="12">
        <f>10.3079 * CHOOSE( CONTROL!$C$15, $D$11, 100%, $F$11)</f>
        <v>10.3079</v>
      </c>
      <c r="F356" s="4">
        <f>11.0129 * CHOOSE(CONTROL!$C$15, $D$11, 100%, $F$11)</f>
        <v>11.0129</v>
      </c>
      <c r="G356" s="8">
        <f>10.0357 * CHOOSE( CONTROL!$C$15, $D$11, 100%, $F$11)</f>
        <v>10.0357</v>
      </c>
      <c r="H356" s="4">
        <f>11.0014 * CHOOSE(CONTROL!$C$15, $D$11, 100%, $F$11)</f>
        <v>11.0014</v>
      </c>
      <c r="I356" s="8">
        <f>9.9634 * CHOOSE(CONTROL!$C$15, $D$11, 100%, $F$11)</f>
        <v>9.9634</v>
      </c>
      <c r="J356" s="4">
        <f>9.8493 * CHOOSE(CONTROL!$C$15, $D$11, 100%, $F$11)</f>
        <v>9.8492999999999995</v>
      </c>
      <c r="K356" s="4"/>
      <c r="L356" s="9">
        <v>30.092199999999998</v>
      </c>
      <c r="M356" s="9">
        <v>11.6745</v>
      </c>
      <c r="N356" s="9">
        <v>4.7850000000000001</v>
      </c>
      <c r="O356" s="9">
        <v>0.36199999999999999</v>
      </c>
      <c r="P356" s="9">
        <v>1.1791</v>
      </c>
      <c r="Q356" s="9">
        <v>19.866599999999998</v>
      </c>
      <c r="R356" s="9"/>
      <c r="S356" s="11"/>
    </row>
    <row r="357" spans="1:19" ht="15.75">
      <c r="A357" s="13">
        <v>52382</v>
      </c>
      <c r="B357" s="8">
        <f>CHOOSE( CONTROL!$C$32, 10.5493, 10.5469) * CHOOSE(CONTROL!$C$15, $D$11, 100%, $F$11)</f>
        <v>10.549300000000001</v>
      </c>
      <c r="C357" s="8">
        <f>CHOOSE( CONTROL!$C$32, 10.5599, 10.5575) * CHOOSE(CONTROL!$C$15, $D$11, 100%, $F$11)</f>
        <v>10.559900000000001</v>
      </c>
      <c r="D357" s="8">
        <f>CHOOSE( CONTROL!$C$32, 10.5957, 10.5933) * CHOOSE( CONTROL!$C$15, $D$11, 100%, $F$11)</f>
        <v>10.595700000000001</v>
      </c>
      <c r="E357" s="12">
        <f>CHOOSE( CONTROL!$C$32, 10.5811, 10.5787) * CHOOSE( CONTROL!$C$15, $D$11, 100%, $F$11)</f>
        <v>10.581099999999999</v>
      </c>
      <c r="F357" s="4">
        <f>CHOOSE( CONTROL!$C$32, 11.2886, 11.2863) * CHOOSE(CONTROL!$C$15, $D$11, 100%, $F$11)</f>
        <v>11.288600000000001</v>
      </c>
      <c r="G357" s="8">
        <f>CHOOSE( CONTROL!$C$32, 10.3058, 10.3035) * CHOOSE( CONTROL!$C$15, $D$11, 100%, $F$11)</f>
        <v>10.3058</v>
      </c>
      <c r="H357" s="4">
        <f>CHOOSE( CONTROL!$C$32, 11.271, 11.2687) * CHOOSE(CONTROL!$C$15, $D$11, 100%, $F$11)</f>
        <v>11.271000000000001</v>
      </c>
      <c r="I357" s="8">
        <f>CHOOSE( CONTROL!$C$32, 10.2283, 10.226) * CHOOSE(CONTROL!$C$15, $D$11, 100%, $F$11)</f>
        <v>10.228300000000001</v>
      </c>
      <c r="J357" s="4">
        <f>CHOOSE( CONTROL!$C$32, 10.114, 10.1117) * CHOOSE(CONTROL!$C$15, $D$11, 100%, $F$11)</f>
        <v>10.114000000000001</v>
      </c>
      <c r="K357" s="4"/>
      <c r="L357" s="9">
        <v>30.7165</v>
      </c>
      <c r="M357" s="9">
        <v>12.063700000000001</v>
      </c>
      <c r="N357" s="9">
        <v>4.9444999999999997</v>
      </c>
      <c r="O357" s="9">
        <v>0.37409999999999999</v>
      </c>
      <c r="P357" s="9">
        <v>1.2183999999999999</v>
      </c>
      <c r="Q357" s="9">
        <v>20.5288</v>
      </c>
      <c r="R357" s="9"/>
      <c r="S357" s="11"/>
    </row>
    <row r="358" spans="1:19" ht="15.75">
      <c r="A358" s="13">
        <v>52412</v>
      </c>
      <c r="B358" s="8">
        <f>CHOOSE( CONTROL!$C$32, 10.38, 10.3776) * CHOOSE(CONTROL!$C$15, $D$11, 100%, $F$11)</f>
        <v>10.38</v>
      </c>
      <c r="C358" s="8">
        <f>CHOOSE( CONTROL!$C$32, 10.3905, 10.3881) * CHOOSE(CONTROL!$C$15, $D$11, 100%, $F$11)</f>
        <v>10.390499999999999</v>
      </c>
      <c r="D358" s="8">
        <f>CHOOSE( CONTROL!$C$32, 10.4266, 10.4242) * CHOOSE( CONTROL!$C$15, $D$11, 100%, $F$11)</f>
        <v>10.426600000000001</v>
      </c>
      <c r="E358" s="12">
        <f>CHOOSE( CONTROL!$C$32, 10.4119, 10.4095) * CHOOSE( CONTROL!$C$15, $D$11, 100%, $F$11)</f>
        <v>10.411899999999999</v>
      </c>
      <c r="F358" s="4">
        <f>CHOOSE( CONTROL!$C$32, 11.1193, 11.1169) * CHOOSE(CONTROL!$C$15, $D$11, 100%, $F$11)</f>
        <v>11.119300000000001</v>
      </c>
      <c r="G358" s="8">
        <f>CHOOSE( CONTROL!$C$32, 10.1406, 10.1382) * CHOOSE( CONTROL!$C$15, $D$11, 100%, $F$11)</f>
        <v>10.140599999999999</v>
      </c>
      <c r="H358" s="4">
        <f>CHOOSE( CONTROL!$C$32, 11.1055, 11.1031) * CHOOSE(CONTROL!$C$15, $D$11, 100%, $F$11)</f>
        <v>11.105499999999999</v>
      </c>
      <c r="I358" s="8">
        <f>CHOOSE( CONTROL!$C$32, 10.0666, 10.0643) * CHOOSE(CONTROL!$C$15, $D$11, 100%, $F$11)</f>
        <v>10.066599999999999</v>
      </c>
      <c r="J358" s="4">
        <f>CHOOSE( CONTROL!$C$32, 9.9515, 9.9492) * CHOOSE(CONTROL!$C$15, $D$11, 100%, $F$11)</f>
        <v>9.9514999999999993</v>
      </c>
      <c r="K358" s="4"/>
      <c r="L358" s="9">
        <v>29.7257</v>
      </c>
      <c r="M358" s="9">
        <v>11.6745</v>
      </c>
      <c r="N358" s="9">
        <v>4.7850000000000001</v>
      </c>
      <c r="O358" s="9">
        <v>0.36199999999999999</v>
      </c>
      <c r="P358" s="9">
        <v>1.1791</v>
      </c>
      <c r="Q358" s="9">
        <v>19.866599999999998</v>
      </c>
      <c r="R358" s="9"/>
      <c r="S358" s="11"/>
    </row>
    <row r="359" spans="1:19" ht="15.75">
      <c r="A359" s="13">
        <v>52443</v>
      </c>
      <c r="B359" s="8">
        <f>CHOOSE( CONTROL!$C$32, 10.8259, 10.8235) * CHOOSE(CONTROL!$C$15, $D$11, 100%, $F$11)</f>
        <v>10.825900000000001</v>
      </c>
      <c r="C359" s="8">
        <f>CHOOSE( CONTROL!$C$32, 10.8364, 10.834) * CHOOSE(CONTROL!$C$15, $D$11, 100%, $F$11)</f>
        <v>10.836399999999999</v>
      </c>
      <c r="D359" s="8">
        <f>CHOOSE( CONTROL!$C$32, 10.8727, 10.8703) * CHOOSE( CONTROL!$C$15, $D$11, 100%, $F$11)</f>
        <v>10.8727</v>
      </c>
      <c r="E359" s="12">
        <f>CHOOSE( CONTROL!$C$32, 10.8579, 10.8555) * CHOOSE( CONTROL!$C$15, $D$11, 100%, $F$11)</f>
        <v>10.857900000000001</v>
      </c>
      <c r="F359" s="4">
        <f>CHOOSE( CONTROL!$C$32, 11.5652, 11.5628) * CHOOSE(CONTROL!$C$15, $D$11, 100%, $F$11)</f>
        <v>11.565200000000001</v>
      </c>
      <c r="G359" s="8">
        <f>CHOOSE( CONTROL!$C$32, 10.5769, 10.5745) * CHOOSE( CONTROL!$C$15, $D$11, 100%, $F$11)</f>
        <v>10.5769</v>
      </c>
      <c r="H359" s="4">
        <f>CHOOSE( CONTROL!$C$32, 11.5414, 11.5391) * CHOOSE(CONTROL!$C$15, $D$11, 100%, $F$11)</f>
        <v>11.541399999999999</v>
      </c>
      <c r="I359" s="8">
        <f>CHOOSE( CONTROL!$C$32, 10.4959, 10.4937) * CHOOSE(CONTROL!$C$15, $D$11, 100%, $F$11)</f>
        <v>10.495900000000001</v>
      </c>
      <c r="J359" s="4">
        <f>CHOOSE( CONTROL!$C$32, 10.3796, 10.3773) * CHOOSE(CONTROL!$C$15, $D$11, 100%, $F$11)</f>
        <v>10.3796</v>
      </c>
      <c r="K359" s="4"/>
      <c r="L359" s="9">
        <v>30.7165</v>
      </c>
      <c r="M359" s="9">
        <v>12.063700000000001</v>
      </c>
      <c r="N359" s="9">
        <v>4.9444999999999997</v>
      </c>
      <c r="O359" s="9">
        <v>0.37409999999999999</v>
      </c>
      <c r="P359" s="9">
        <v>1.2183999999999999</v>
      </c>
      <c r="Q359" s="9">
        <v>20.5288</v>
      </c>
      <c r="R359" s="9"/>
      <c r="S359" s="11"/>
    </row>
    <row r="360" spans="1:19" ht="15.75">
      <c r="A360" s="13">
        <v>52474</v>
      </c>
      <c r="B360" s="8">
        <f>CHOOSE( CONTROL!$C$32, 9.9915, 9.9891) * CHOOSE(CONTROL!$C$15, $D$11, 100%, $F$11)</f>
        <v>9.9915000000000003</v>
      </c>
      <c r="C360" s="8">
        <f>CHOOSE( CONTROL!$C$32, 10.0021, 9.9997) * CHOOSE(CONTROL!$C$15, $D$11, 100%, $F$11)</f>
        <v>10.0021</v>
      </c>
      <c r="D360" s="8">
        <f>CHOOSE( CONTROL!$C$32, 10.0384, 10.036) * CHOOSE( CONTROL!$C$15, $D$11, 100%, $F$11)</f>
        <v>10.038399999999999</v>
      </c>
      <c r="E360" s="12">
        <f>CHOOSE( CONTROL!$C$32, 10.0236, 10.0212) * CHOOSE( CONTROL!$C$15, $D$11, 100%, $F$11)</f>
        <v>10.0236</v>
      </c>
      <c r="F360" s="4">
        <f>CHOOSE( CONTROL!$C$32, 10.7309, 10.7285) * CHOOSE(CONTROL!$C$15, $D$11, 100%, $F$11)</f>
        <v>10.7309</v>
      </c>
      <c r="G360" s="8">
        <f>CHOOSE( CONTROL!$C$32, 9.7612, 9.7589) * CHOOSE( CONTROL!$C$15, $D$11, 100%, $F$11)</f>
        <v>9.7612000000000005</v>
      </c>
      <c r="H360" s="4">
        <f>CHOOSE( CONTROL!$C$32, 10.7257, 10.7234) * CHOOSE(CONTROL!$C$15, $D$11, 100%, $F$11)</f>
        <v>10.7257</v>
      </c>
      <c r="I360" s="8">
        <f>CHOOSE( CONTROL!$C$32, 9.6947, 9.6924) * CHOOSE(CONTROL!$C$15, $D$11, 100%, $F$11)</f>
        <v>9.6946999999999992</v>
      </c>
      <c r="J360" s="4">
        <f>CHOOSE( CONTROL!$C$32, 9.5785, 9.5762) * CHOOSE(CONTROL!$C$15, $D$11, 100%, $F$11)</f>
        <v>9.5785</v>
      </c>
      <c r="K360" s="4"/>
      <c r="L360" s="9">
        <v>30.7165</v>
      </c>
      <c r="M360" s="9">
        <v>12.063700000000001</v>
      </c>
      <c r="N360" s="9">
        <v>4.9444999999999997</v>
      </c>
      <c r="O360" s="9">
        <v>0.37409999999999999</v>
      </c>
      <c r="P360" s="9">
        <v>1.2183999999999999</v>
      </c>
      <c r="Q360" s="9">
        <v>20.5288</v>
      </c>
      <c r="R360" s="9"/>
      <c r="S360" s="11"/>
    </row>
    <row r="361" spans="1:19" ht="15.75">
      <c r="A361" s="13">
        <v>52504</v>
      </c>
      <c r="B361" s="8">
        <f>CHOOSE( CONTROL!$C$32, 9.7826, 9.7802) * CHOOSE(CONTROL!$C$15, $D$11, 100%, $F$11)</f>
        <v>9.7826000000000004</v>
      </c>
      <c r="C361" s="8">
        <f>CHOOSE( CONTROL!$C$32, 9.7932, 9.7908) * CHOOSE(CONTROL!$C$15, $D$11, 100%, $F$11)</f>
        <v>9.7932000000000006</v>
      </c>
      <c r="D361" s="8">
        <f>CHOOSE( CONTROL!$C$32, 9.8294, 9.827) * CHOOSE( CONTROL!$C$15, $D$11, 100%, $F$11)</f>
        <v>9.8293999999999997</v>
      </c>
      <c r="E361" s="12">
        <f>CHOOSE( CONTROL!$C$32, 9.8147, 9.8123) * CHOOSE( CONTROL!$C$15, $D$11, 100%, $F$11)</f>
        <v>9.8147000000000002</v>
      </c>
      <c r="F361" s="4">
        <f>CHOOSE( CONTROL!$C$32, 10.522, 10.5196) * CHOOSE(CONTROL!$C$15, $D$11, 100%, $F$11)</f>
        <v>10.522</v>
      </c>
      <c r="G361" s="8">
        <f>CHOOSE( CONTROL!$C$32, 9.5569, 9.5545) * CHOOSE( CONTROL!$C$15, $D$11, 100%, $F$11)</f>
        <v>9.5569000000000006</v>
      </c>
      <c r="H361" s="4">
        <f>CHOOSE( CONTROL!$C$32, 10.5214, 10.5191) * CHOOSE(CONTROL!$C$15, $D$11, 100%, $F$11)</f>
        <v>10.5214</v>
      </c>
      <c r="I361" s="8">
        <f>CHOOSE( CONTROL!$C$32, 9.4937, 9.4914) * CHOOSE(CONTROL!$C$15, $D$11, 100%, $F$11)</f>
        <v>9.4937000000000005</v>
      </c>
      <c r="J361" s="4">
        <f>CHOOSE( CONTROL!$C$32, 9.3779, 9.3756) * CHOOSE(CONTROL!$C$15, $D$11, 100%, $F$11)</f>
        <v>9.3779000000000003</v>
      </c>
      <c r="K361" s="4"/>
      <c r="L361" s="9">
        <v>29.7257</v>
      </c>
      <c r="M361" s="9">
        <v>11.6745</v>
      </c>
      <c r="N361" s="9">
        <v>4.7850000000000001</v>
      </c>
      <c r="O361" s="9">
        <v>0.36199999999999999</v>
      </c>
      <c r="P361" s="9">
        <v>1.1791</v>
      </c>
      <c r="Q361" s="9">
        <v>19.866599999999998</v>
      </c>
      <c r="R361" s="9"/>
      <c r="S361" s="11"/>
    </row>
    <row r="362" spans="1:19" ht="15.75">
      <c r="A362" s="13">
        <v>52535</v>
      </c>
      <c r="B362" s="8">
        <f>10.2141 * CHOOSE(CONTROL!$C$15, $D$11, 100%, $F$11)</f>
        <v>10.2141</v>
      </c>
      <c r="C362" s="8">
        <f>10.2249 * CHOOSE(CONTROL!$C$15, $D$11, 100%, $F$11)</f>
        <v>10.2249</v>
      </c>
      <c r="D362" s="8">
        <f>10.2624 * CHOOSE( CONTROL!$C$15, $D$11, 100%, $F$11)</f>
        <v>10.2624</v>
      </c>
      <c r="E362" s="12">
        <f>10.2489 * CHOOSE( CONTROL!$C$15, $D$11, 100%, $F$11)</f>
        <v>10.248900000000001</v>
      </c>
      <c r="F362" s="4">
        <f>10.9534 * CHOOSE(CONTROL!$C$15, $D$11, 100%, $F$11)</f>
        <v>10.9534</v>
      </c>
      <c r="G362" s="8">
        <f>9.9784 * CHOOSE( CONTROL!$C$15, $D$11, 100%, $F$11)</f>
        <v>9.9784000000000006</v>
      </c>
      <c r="H362" s="4">
        <f>10.9432 * CHOOSE(CONTROL!$C$15, $D$11, 100%, $F$11)</f>
        <v>10.943199999999999</v>
      </c>
      <c r="I362" s="8">
        <f>9.9089 * CHOOSE(CONTROL!$C$15, $D$11, 100%, $F$11)</f>
        <v>9.9088999999999992</v>
      </c>
      <c r="J362" s="4">
        <f>9.7921 * CHOOSE(CONTROL!$C$15, $D$11, 100%, $F$11)</f>
        <v>9.7920999999999996</v>
      </c>
      <c r="K362" s="4"/>
      <c r="L362" s="9">
        <v>31.095300000000002</v>
      </c>
      <c r="M362" s="9">
        <v>12.063700000000001</v>
      </c>
      <c r="N362" s="9">
        <v>4.9444999999999997</v>
      </c>
      <c r="O362" s="9">
        <v>0.37409999999999999</v>
      </c>
      <c r="P362" s="9">
        <v>1.2183999999999999</v>
      </c>
      <c r="Q362" s="9">
        <v>20.5288</v>
      </c>
      <c r="R362" s="9"/>
      <c r="S362" s="11"/>
    </row>
    <row r="363" spans="1:19" ht="15.75">
      <c r="A363" s="13">
        <v>52565</v>
      </c>
      <c r="B363" s="8">
        <f>11.0149 * CHOOSE(CONTROL!$C$15, $D$11, 100%, $F$11)</f>
        <v>11.014900000000001</v>
      </c>
      <c r="C363" s="8">
        <f>11.0256 * CHOOSE(CONTROL!$C$15, $D$11, 100%, $F$11)</f>
        <v>11.025600000000001</v>
      </c>
      <c r="D363" s="8">
        <f>11.0084 * CHOOSE( CONTROL!$C$15, $D$11, 100%, $F$11)</f>
        <v>11.0084</v>
      </c>
      <c r="E363" s="12">
        <f>11.0135 * CHOOSE( CONTROL!$C$15, $D$11, 100%, $F$11)</f>
        <v>11.013500000000001</v>
      </c>
      <c r="F363" s="4">
        <f>11.6734 * CHOOSE(CONTROL!$C$15, $D$11, 100%, $F$11)</f>
        <v>11.673400000000001</v>
      </c>
      <c r="G363" s="8">
        <f>10.7679 * CHOOSE( CONTROL!$C$15, $D$11, 100%, $F$11)</f>
        <v>10.767899999999999</v>
      </c>
      <c r="H363" s="4">
        <f>11.6472 * CHOOSE(CONTROL!$C$15, $D$11, 100%, $F$11)</f>
        <v>11.6472</v>
      </c>
      <c r="I363" s="8">
        <f>10.7152 * CHOOSE(CONTROL!$C$15, $D$11, 100%, $F$11)</f>
        <v>10.715199999999999</v>
      </c>
      <c r="J363" s="4">
        <f>10.5609 * CHOOSE(CONTROL!$C$15, $D$11, 100%, $F$11)</f>
        <v>10.5609</v>
      </c>
      <c r="K363" s="4"/>
      <c r="L363" s="9">
        <v>28.360600000000002</v>
      </c>
      <c r="M363" s="9">
        <v>11.6745</v>
      </c>
      <c r="N363" s="9">
        <v>4.7850000000000001</v>
      </c>
      <c r="O363" s="9">
        <v>0.36199999999999999</v>
      </c>
      <c r="P363" s="9">
        <v>1.2509999999999999</v>
      </c>
      <c r="Q363" s="9">
        <v>19.866599999999998</v>
      </c>
      <c r="R363" s="9"/>
      <c r="S363" s="11"/>
    </row>
    <row r="364" spans="1:19" ht="15.75">
      <c r="A364" s="13">
        <v>52596</v>
      </c>
      <c r="B364" s="8">
        <f>10.9949 * CHOOSE(CONTROL!$C$15, $D$11, 100%, $F$11)</f>
        <v>10.994899999999999</v>
      </c>
      <c r="C364" s="8">
        <f>11.0056 * CHOOSE(CONTROL!$C$15, $D$11, 100%, $F$11)</f>
        <v>11.005599999999999</v>
      </c>
      <c r="D364" s="8">
        <f>10.9901 * CHOOSE( CONTROL!$C$15, $D$11, 100%, $F$11)</f>
        <v>10.9901</v>
      </c>
      <c r="E364" s="12">
        <f>10.9946 * CHOOSE( CONTROL!$C$15, $D$11, 100%, $F$11)</f>
        <v>10.9946</v>
      </c>
      <c r="F364" s="4">
        <f>11.6534 * CHOOSE(CONTROL!$C$15, $D$11, 100%, $F$11)</f>
        <v>11.6534</v>
      </c>
      <c r="G364" s="8">
        <f>10.7496 * CHOOSE( CONTROL!$C$15, $D$11, 100%, $F$11)</f>
        <v>10.749599999999999</v>
      </c>
      <c r="H364" s="4">
        <f>11.6276 * CHOOSE(CONTROL!$C$15, $D$11, 100%, $F$11)</f>
        <v>11.627599999999999</v>
      </c>
      <c r="I364" s="8">
        <f>10.7012 * CHOOSE(CONTROL!$C$15, $D$11, 100%, $F$11)</f>
        <v>10.7012</v>
      </c>
      <c r="J364" s="4">
        <f>10.5417 * CHOOSE(CONTROL!$C$15, $D$11, 100%, $F$11)</f>
        <v>10.541700000000001</v>
      </c>
      <c r="K364" s="4"/>
      <c r="L364" s="9">
        <v>29.306000000000001</v>
      </c>
      <c r="M364" s="9">
        <v>12.063700000000001</v>
      </c>
      <c r="N364" s="9">
        <v>4.9444999999999997</v>
      </c>
      <c r="O364" s="9">
        <v>0.37409999999999999</v>
      </c>
      <c r="P364" s="9">
        <v>1.2927</v>
      </c>
      <c r="Q364" s="9">
        <v>20.5288</v>
      </c>
      <c r="R364" s="9"/>
      <c r="S364" s="11"/>
    </row>
    <row r="365" spans="1:19" ht="15.75">
      <c r="A365" s="13">
        <v>52627</v>
      </c>
      <c r="B365" s="8">
        <f>11.3187 * CHOOSE(CONTROL!$C$15, $D$11, 100%, $F$11)</f>
        <v>11.3187</v>
      </c>
      <c r="C365" s="8">
        <f>11.3295 * CHOOSE(CONTROL!$C$15, $D$11, 100%, $F$11)</f>
        <v>11.329499999999999</v>
      </c>
      <c r="D365" s="8">
        <f>11.3109 * CHOOSE( CONTROL!$C$15, $D$11, 100%, $F$11)</f>
        <v>11.3109</v>
      </c>
      <c r="E365" s="12">
        <f>11.3166 * CHOOSE( CONTROL!$C$15, $D$11, 100%, $F$11)</f>
        <v>11.316599999999999</v>
      </c>
      <c r="F365" s="4">
        <f>11.9772 * CHOOSE(CONTROL!$C$15, $D$11, 100%, $F$11)</f>
        <v>11.9772</v>
      </c>
      <c r="G365" s="8">
        <f>11.0587 * CHOOSE( CONTROL!$C$15, $D$11, 100%, $F$11)</f>
        <v>11.0587</v>
      </c>
      <c r="H365" s="4">
        <f>11.9443 * CHOOSE(CONTROL!$C$15, $D$11, 100%, $F$11)</f>
        <v>11.9443</v>
      </c>
      <c r="I365" s="8">
        <f>10.9772 * CHOOSE(CONTROL!$C$15, $D$11, 100%, $F$11)</f>
        <v>10.9772</v>
      </c>
      <c r="J365" s="4">
        <f>10.8527 * CHOOSE(CONTROL!$C$15, $D$11, 100%, $F$11)</f>
        <v>10.8527</v>
      </c>
      <c r="K365" s="4"/>
      <c r="L365" s="9">
        <v>29.306000000000001</v>
      </c>
      <c r="M365" s="9">
        <v>12.063700000000001</v>
      </c>
      <c r="N365" s="9">
        <v>4.9444999999999997</v>
      </c>
      <c r="O365" s="9">
        <v>0.37409999999999999</v>
      </c>
      <c r="P365" s="9">
        <v>1.2927</v>
      </c>
      <c r="Q365" s="9">
        <v>20.4619</v>
      </c>
      <c r="R365" s="9"/>
      <c r="S365" s="11"/>
    </row>
    <row r="366" spans="1:19" ht="15.75">
      <c r="A366" s="13">
        <v>52655</v>
      </c>
      <c r="B366" s="8">
        <f>10.588 * CHOOSE(CONTROL!$C$15, $D$11, 100%, $F$11)</f>
        <v>10.587999999999999</v>
      </c>
      <c r="C366" s="8">
        <f>10.5987 * CHOOSE(CONTROL!$C$15, $D$11, 100%, $F$11)</f>
        <v>10.598699999999999</v>
      </c>
      <c r="D366" s="8">
        <f>10.58 * CHOOSE( CONTROL!$C$15, $D$11, 100%, $F$11)</f>
        <v>10.58</v>
      </c>
      <c r="E366" s="12">
        <f>10.5857 * CHOOSE( CONTROL!$C$15, $D$11, 100%, $F$11)</f>
        <v>10.585699999999999</v>
      </c>
      <c r="F366" s="4">
        <f>11.2465 * CHOOSE(CONTROL!$C$15, $D$11, 100%, $F$11)</f>
        <v>11.246499999999999</v>
      </c>
      <c r="G366" s="8">
        <f>10.3441 * CHOOSE( CONTROL!$C$15, $D$11, 100%, $F$11)</f>
        <v>10.344099999999999</v>
      </c>
      <c r="H366" s="4">
        <f>11.2298 * CHOOSE(CONTROL!$C$15, $D$11, 100%, $F$11)</f>
        <v>11.229799999999999</v>
      </c>
      <c r="I366" s="8">
        <f>10.2749 * CHOOSE(CONTROL!$C$15, $D$11, 100%, $F$11)</f>
        <v>10.274900000000001</v>
      </c>
      <c r="J366" s="4">
        <f>10.151 * CHOOSE(CONTROL!$C$15, $D$11, 100%, $F$11)</f>
        <v>10.151</v>
      </c>
      <c r="K366" s="4"/>
      <c r="L366" s="9">
        <v>27.415299999999998</v>
      </c>
      <c r="M366" s="9">
        <v>11.285299999999999</v>
      </c>
      <c r="N366" s="9">
        <v>4.6254999999999997</v>
      </c>
      <c r="O366" s="9">
        <v>0.34989999999999999</v>
      </c>
      <c r="P366" s="9">
        <v>1.2093</v>
      </c>
      <c r="Q366" s="9">
        <v>19.1417</v>
      </c>
      <c r="R366" s="9"/>
      <c r="S366" s="11"/>
    </row>
    <row r="367" spans="1:19" ht="15.75">
      <c r="A367" s="13">
        <v>52687</v>
      </c>
      <c r="B367" s="8">
        <f>10.3629 * CHOOSE(CONTROL!$C$15, $D$11, 100%, $F$11)</f>
        <v>10.3629</v>
      </c>
      <c r="C367" s="8">
        <f>10.3737 * CHOOSE(CONTROL!$C$15, $D$11, 100%, $F$11)</f>
        <v>10.373699999999999</v>
      </c>
      <c r="D367" s="8">
        <f>10.3545 * CHOOSE( CONTROL!$C$15, $D$11, 100%, $F$11)</f>
        <v>10.3545</v>
      </c>
      <c r="E367" s="12">
        <f>10.3604 * CHOOSE( CONTROL!$C$15, $D$11, 100%, $F$11)</f>
        <v>10.3604</v>
      </c>
      <c r="F367" s="4">
        <f>11.0214 * CHOOSE(CONTROL!$C$15, $D$11, 100%, $F$11)</f>
        <v>11.0214</v>
      </c>
      <c r="G367" s="8">
        <f>10.1237 * CHOOSE( CONTROL!$C$15, $D$11, 100%, $F$11)</f>
        <v>10.123699999999999</v>
      </c>
      <c r="H367" s="4">
        <f>11.0097 * CHOOSE(CONTROL!$C$15, $D$11, 100%, $F$11)</f>
        <v>11.0097</v>
      </c>
      <c r="I367" s="8">
        <f>10.0572 * CHOOSE(CONTROL!$C$15, $D$11, 100%, $F$11)</f>
        <v>10.0572</v>
      </c>
      <c r="J367" s="4">
        <f>9.935 * CHOOSE(CONTROL!$C$15, $D$11, 100%, $F$11)</f>
        <v>9.9350000000000005</v>
      </c>
      <c r="K367" s="4"/>
      <c r="L367" s="9">
        <v>29.306000000000001</v>
      </c>
      <c r="M367" s="9">
        <v>12.063700000000001</v>
      </c>
      <c r="N367" s="9">
        <v>4.9444999999999997</v>
      </c>
      <c r="O367" s="9">
        <v>0.37409999999999999</v>
      </c>
      <c r="P367" s="9">
        <v>1.2927</v>
      </c>
      <c r="Q367" s="9">
        <v>20.4619</v>
      </c>
      <c r="R367" s="9"/>
      <c r="S367" s="11"/>
    </row>
    <row r="368" spans="1:19" ht="15.75">
      <c r="A368" s="13">
        <v>52717</v>
      </c>
      <c r="B368" s="8">
        <f>10.5201 * CHOOSE(CONTROL!$C$15, $D$11, 100%, $F$11)</f>
        <v>10.520099999999999</v>
      </c>
      <c r="C368" s="8">
        <f>10.5309 * CHOOSE(CONTROL!$C$15, $D$11, 100%, $F$11)</f>
        <v>10.530900000000001</v>
      </c>
      <c r="D368" s="8">
        <f>10.5679 * CHOOSE( CONTROL!$C$15, $D$11, 100%, $F$11)</f>
        <v>10.5679</v>
      </c>
      <c r="E368" s="12">
        <f>10.5544 * CHOOSE( CONTROL!$C$15, $D$11, 100%, $F$11)</f>
        <v>10.554399999999999</v>
      </c>
      <c r="F368" s="4">
        <f>11.2594 * CHOOSE(CONTROL!$C$15, $D$11, 100%, $F$11)</f>
        <v>11.259399999999999</v>
      </c>
      <c r="G368" s="8">
        <f>10.2767 * CHOOSE( CONTROL!$C$15, $D$11, 100%, $F$11)</f>
        <v>10.2767</v>
      </c>
      <c r="H368" s="4">
        <f>11.2424 * CHOOSE(CONTROL!$C$15, $D$11, 100%, $F$11)</f>
        <v>11.2424</v>
      </c>
      <c r="I368" s="8">
        <f>10.2002 * CHOOSE(CONTROL!$C$15, $D$11, 100%, $F$11)</f>
        <v>10.200200000000001</v>
      </c>
      <c r="J368" s="4">
        <f>10.086 * CHOOSE(CONTROL!$C$15, $D$11, 100%, $F$11)</f>
        <v>10.086</v>
      </c>
      <c r="K368" s="4"/>
      <c r="L368" s="9">
        <v>30.092199999999998</v>
      </c>
      <c r="M368" s="9">
        <v>11.6745</v>
      </c>
      <c r="N368" s="9">
        <v>4.7850000000000001</v>
      </c>
      <c r="O368" s="9">
        <v>0.36199999999999999</v>
      </c>
      <c r="P368" s="9">
        <v>1.1791</v>
      </c>
      <c r="Q368" s="9">
        <v>19.8018</v>
      </c>
      <c r="R368" s="9"/>
      <c r="S368" s="11"/>
    </row>
    <row r="369" spans="1:19" ht="15.75">
      <c r="A369" s="13">
        <v>52748</v>
      </c>
      <c r="B369" s="8">
        <f>CHOOSE( CONTROL!$C$32, 10.8023, 10.7999) * CHOOSE(CONTROL!$C$15, $D$11, 100%, $F$11)</f>
        <v>10.802300000000001</v>
      </c>
      <c r="C369" s="8">
        <f>CHOOSE( CONTROL!$C$32, 10.8129, 10.8105) * CHOOSE(CONTROL!$C$15, $D$11, 100%, $F$11)</f>
        <v>10.812900000000001</v>
      </c>
      <c r="D369" s="8">
        <f>CHOOSE( CONTROL!$C$32, 10.8487, 10.8463) * CHOOSE( CONTROL!$C$15, $D$11, 100%, $F$11)</f>
        <v>10.848699999999999</v>
      </c>
      <c r="E369" s="12">
        <f>CHOOSE( CONTROL!$C$32, 10.8341, 10.8317) * CHOOSE( CONTROL!$C$15, $D$11, 100%, $F$11)</f>
        <v>10.834099999999999</v>
      </c>
      <c r="F369" s="4">
        <f>CHOOSE( CONTROL!$C$32, 11.5417, 11.5393) * CHOOSE(CONTROL!$C$15, $D$11, 100%, $F$11)</f>
        <v>11.541700000000001</v>
      </c>
      <c r="G369" s="8">
        <f>CHOOSE( CONTROL!$C$32, 10.5533, 10.5509) * CHOOSE( CONTROL!$C$15, $D$11, 100%, $F$11)</f>
        <v>10.5533</v>
      </c>
      <c r="H369" s="4">
        <f>CHOOSE( CONTROL!$C$32, 11.5184, 11.5161) * CHOOSE(CONTROL!$C$15, $D$11, 100%, $F$11)</f>
        <v>11.5184</v>
      </c>
      <c r="I369" s="8">
        <f>CHOOSE( CONTROL!$C$32, 10.4714, 10.4691) * CHOOSE(CONTROL!$C$15, $D$11, 100%, $F$11)</f>
        <v>10.471399999999999</v>
      </c>
      <c r="J369" s="4">
        <f>CHOOSE( CONTROL!$C$32, 10.357, 10.3547) * CHOOSE(CONTROL!$C$15, $D$11, 100%, $F$11)</f>
        <v>10.356999999999999</v>
      </c>
      <c r="K369" s="4"/>
      <c r="L369" s="9">
        <v>30.7165</v>
      </c>
      <c r="M369" s="9">
        <v>12.063700000000001</v>
      </c>
      <c r="N369" s="9">
        <v>4.9444999999999997</v>
      </c>
      <c r="O369" s="9">
        <v>0.37409999999999999</v>
      </c>
      <c r="P369" s="9">
        <v>1.2183999999999999</v>
      </c>
      <c r="Q369" s="9">
        <v>20.4619</v>
      </c>
      <c r="R369" s="9"/>
      <c r="S369" s="11"/>
    </row>
    <row r="370" spans="1:19" ht="15.75">
      <c r="A370" s="13">
        <v>52778</v>
      </c>
      <c r="B370" s="8">
        <f>CHOOSE( CONTROL!$C$32, 10.6289, 10.6266) * CHOOSE(CONTROL!$C$15, $D$11, 100%, $F$11)</f>
        <v>10.6289</v>
      </c>
      <c r="C370" s="8">
        <f>CHOOSE( CONTROL!$C$32, 10.6395, 10.6371) * CHOOSE(CONTROL!$C$15, $D$11, 100%, $F$11)</f>
        <v>10.6395</v>
      </c>
      <c r="D370" s="8">
        <f>CHOOSE( CONTROL!$C$32, 10.6755, 10.6731) * CHOOSE( CONTROL!$C$15, $D$11, 100%, $F$11)</f>
        <v>10.6755</v>
      </c>
      <c r="E370" s="12">
        <f>CHOOSE( CONTROL!$C$32, 10.6608, 10.6585) * CHOOSE( CONTROL!$C$15, $D$11, 100%, $F$11)</f>
        <v>10.6608</v>
      </c>
      <c r="F370" s="4">
        <f>CHOOSE( CONTROL!$C$32, 11.3683, 11.3659) * CHOOSE(CONTROL!$C$15, $D$11, 100%, $F$11)</f>
        <v>11.3683</v>
      </c>
      <c r="G370" s="8">
        <f>CHOOSE( CONTROL!$C$32, 10.384, 10.3817) * CHOOSE( CONTROL!$C$15, $D$11, 100%, $F$11)</f>
        <v>10.384</v>
      </c>
      <c r="H370" s="4">
        <f>CHOOSE( CONTROL!$C$32, 11.3489, 11.3466) * CHOOSE(CONTROL!$C$15, $D$11, 100%, $F$11)</f>
        <v>11.3489</v>
      </c>
      <c r="I370" s="8">
        <f>CHOOSE( CONTROL!$C$32, 10.3058, 10.3035) * CHOOSE(CONTROL!$C$15, $D$11, 100%, $F$11)</f>
        <v>10.3058</v>
      </c>
      <c r="J370" s="4">
        <f>CHOOSE( CONTROL!$C$32, 10.1905, 10.1882) * CHOOSE(CONTROL!$C$15, $D$11, 100%, $F$11)</f>
        <v>10.1905</v>
      </c>
      <c r="K370" s="4"/>
      <c r="L370" s="9">
        <v>29.7257</v>
      </c>
      <c r="M370" s="9">
        <v>11.6745</v>
      </c>
      <c r="N370" s="9">
        <v>4.7850000000000001</v>
      </c>
      <c r="O370" s="9">
        <v>0.36199999999999999</v>
      </c>
      <c r="P370" s="9">
        <v>1.1791</v>
      </c>
      <c r="Q370" s="9">
        <v>19.8018</v>
      </c>
      <c r="R370" s="9"/>
      <c r="S370" s="11"/>
    </row>
    <row r="371" spans="1:19" ht="15.75">
      <c r="A371" s="13">
        <v>52809</v>
      </c>
      <c r="B371" s="8">
        <f>CHOOSE( CONTROL!$C$32, 11.0856, 11.0832) * CHOOSE(CONTROL!$C$15, $D$11, 100%, $F$11)</f>
        <v>11.085599999999999</v>
      </c>
      <c r="C371" s="8">
        <f>CHOOSE( CONTROL!$C$32, 11.0961, 11.0937) * CHOOSE(CONTROL!$C$15, $D$11, 100%, $F$11)</f>
        <v>11.0961</v>
      </c>
      <c r="D371" s="8">
        <f>CHOOSE( CONTROL!$C$32, 11.1324, 11.13) * CHOOSE( CONTROL!$C$15, $D$11, 100%, $F$11)</f>
        <v>11.132400000000001</v>
      </c>
      <c r="E371" s="12">
        <f>CHOOSE( CONTROL!$C$32, 11.1176, 11.1152) * CHOOSE( CONTROL!$C$15, $D$11, 100%, $F$11)</f>
        <v>11.117599999999999</v>
      </c>
      <c r="F371" s="4">
        <f>CHOOSE( CONTROL!$C$32, 11.8249, 11.8225) * CHOOSE(CONTROL!$C$15, $D$11, 100%, $F$11)</f>
        <v>11.8249</v>
      </c>
      <c r="G371" s="8">
        <f>CHOOSE( CONTROL!$C$32, 10.8308, 10.8284) * CHOOSE( CONTROL!$C$15, $D$11, 100%, $F$11)</f>
        <v>10.8308</v>
      </c>
      <c r="H371" s="4">
        <f>CHOOSE( CONTROL!$C$32, 11.7953, 11.793) * CHOOSE(CONTROL!$C$15, $D$11, 100%, $F$11)</f>
        <v>11.795299999999999</v>
      </c>
      <c r="I371" s="8">
        <f>CHOOSE( CONTROL!$C$32, 10.7454, 10.7431) * CHOOSE(CONTROL!$C$15, $D$11, 100%, $F$11)</f>
        <v>10.7454</v>
      </c>
      <c r="J371" s="4">
        <f>CHOOSE( CONTROL!$C$32, 10.6289, 10.6266) * CHOOSE(CONTROL!$C$15, $D$11, 100%, $F$11)</f>
        <v>10.6289</v>
      </c>
      <c r="K371" s="4"/>
      <c r="L371" s="9">
        <v>30.7165</v>
      </c>
      <c r="M371" s="9">
        <v>12.063700000000001</v>
      </c>
      <c r="N371" s="9">
        <v>4.9444999999999997</v>
      </c>
      <c r="O371" s="9">
        <v>0.37409999999999999</v>
      </c>
      <c r="P371" s="9">
        <v>1.2183999999999999</v>
      </c>
      <c r="Q371" s="9">
        <v>20.4619</v>
      </c>
      <c r="R371" s="9"/>
      <c r="S371" s="11"/>
    </row>
    <row r="372" spans="1:19" ht="15.75">
      <c r="A372" s="13">
        <v>52840</v>
      </c>
      <c r="B372" s="8">
        <f>CHOOSE( CONTROL!$C$32, 10.2312, 10.2288) * CHOOSE(CONTROL!$C$15, $D$11, 100%, $F$11)</f>
        <v>10.231199999999999</v>
      </c>
      <c r="C372" s="8">
        <f>CHOOSE( CONTROL!$C$32, 10.2417, 10.2394) * CHOOSE(CONTROL!$C$15, $D$11, 100%, $F$11)</f>
        <v>10.2417</v>
      </c>
      <c r="D372" s="8">
        <f>CHOOSE( CONTROL!$C$32, 10.278, 10.2757) * CHOOSE( CONTROL!$C$15, $D$11, 100%, $F$11)</f>
        <v>10.278</v>
      </c>
      <c r="E372" s="12">
        <f>CHOOSE( CONTROL!$C$32, 10.2632, 10.2609) * CHOOSE( CONTROL!$C$15, $D$11, 100%, $F$11)</f>
        <v>10.263199999999999</v>
      </c>
      <c r="F372" s="4">
        <f>CHOOSE( CONTROL!$C$32, 10.9705, 10.9681) * CHOOSE(CONTROL!$C$15, $D$11, 100%, $F$11)</f>
        <v>10.970499999999999</v>
      </c>
      <c r="G372" s="8">
        <f>CHOOSE( CONTROL!$C$32, 9.9955, 9.9932) * CHOOSE( CONTROL!$C$15, $D$11, 100%, $F$11)</f>
        <v>9.9954999999999998</v>
      </c>
      <c r="H372" s="4">
        <f>CHOOSE( CONTROL!$C$32, 10.96, 10.9577) * CHOOSE(CONTROL!$C$15, $D$11, 100%, $F$11)</f>
        <v>10.96</v>
      </c>
      <c r="I372" s="8">
        <f>CHOOSE( CONTROL!$C$32, 9.9249, 9.9226) * CHOOSE(CONTROL!$C$15, $D$11, 100%, $F$11)</f>
        <v>9.9248999999999992</v>
      </c>
      <c r="J372" s="4">
        <f>CHOOSE( CONTROL!$C$32, 9.8086, 9.8063) * CHOOSE(CONTROL!$C$15, $D$11, 100%, $F$11)</f>
        <v>9.8086000000000002</v>
      </c>
      <c r="K372" s="4"/>
      <c r="L372" s="9">
        <v>30.7165</v>
      </c>
      <c r="M372" s="9">
        <v>12.063700000000001</v>
      </c>
      <c r="N372" s="9">
        <v>4.9444999999999997</v>
      </c>
      <c r="O372" s="9">
        <v>0.37409999999999999</v>
      </c>
      <c r="P372" s="9">
        <v>1.2183999999999999</v>
      </c>
      <c r="Q372" s="9">
        <v>20.4619</v>
      </c>
      <c r="R372" s="9"/>
      <c r="S372" s="11"/>
    </row>
    <row r="373" spans="1:19" ht="15.75">
      <c r="A373" s="13">
        <v>52870</v>
      </c>
      <c r="B373" s="8">
        <f>CHOOSE( CONTROL!$C$32, 10.0172, 10.0148) * CHOOSE(CONTROL!$C$15, $D$11, 100%, $F$11)</f>
        <v>10.017200000000001</v>
      </c>
      <c r="C373" s="8">
        <f>CHOOSE( CONTROL!$C$32, 10.0278, 10.0254) * CHOOSE(CONTROL!$C$15, $D$11, 100%, $F$11)</f>
        <v>10.027799999999999</v>
      </c>
      <c r="D373" s="8">
        <f>CHOOSE( CONTROL!$C$32, 10.064, 10.0616) * CHOOSE( CONTROL!$C$15, $D$11, 100%, $F$11)</f>
        <v>10.064</v>
      </c>
      <c r="E373" s="12">
        <f>CHOOSE( CONTROL!$C$32, 10.0493, 10.0469) * CHOOSE( CONTROL!$C$15, $D$11, 100%, $F$11)</f>
        <v>10.049300000000001</v>
      </c>
      <c r="F373" s="4">
        <f>CHOOSE( CONTROL!$C$32, 10.7566, 10.7542) * CHOOSE(CONTROL!$C$15, $D$11, 100%, $F$11)</f>
        <v>10.756600000000001</v>
      </c>
      <c r="G373" s="8">
        <f>CHOOSE( CONTROL!$C$32, 9.7863, 9.7839) * CHOOSE( CONTROL!$C$15, $D$11, 100%, $F$11)</f>
        <v>9.7863000000000007</v>
      </c>
      <c r="H373" s="4">
        <f>CHOOSE( CONTROL!$C$32, 10.7508, 10.7485) * CHOOSE(CONTROL!$C$15, $D$11, 100%, $F$11)</f>
        <v>10.7508</v>
      </c>
      <c r="I373" s="8">
        <f>CHOOSE( CONTROL!$C$32, 9.7191, 9.7168) * CHOOSE(CONTROL!$C$15, $D$11, 100%, $F$11)</f>
        <v>9.7190999999999992</v>
      </c>
      <c r="J373" s="4">
        <f>CHOOSE( CONTROL!$C$32, 9.6032, 9.6009) * CHOOSE(CONTROL!$C$15, $D$11, 100%, $F$11)</f>
        <v>9.6031999999999993</v>
      </c>
      <c r="K373" s="4"/>
      <c r="L373" s="9">
        <v>29.7257</v>
      </c>
      <c r="M373" s="9">
        <v>11.6745</v>
      </c>
      <c r="N373" s="9">
        <v>4.7850000000000001</v>
      </c>
      <c r="O373" s="9">
        <v>0.36199999999999999</v>
      </c>
      <c r="P373" s="9">
        <v>1.1791</v>
      </c>
      <c r="Q373" s="9">
        <v>19.8018</v>
      </c>
      <c r="R373" s="9"/>
      <c r="S373" s="11"/>
    </row>
    <row r="374" spans="1:19" ht="15.75">
      <c r="A374" s="13">
        <v>52901</v>
      </c>
      <c r="B374" s="8">
        <f>10.4592 * CHOOSE(CONTROL!$C$15, $D$11, 100%, $F$11)</f>
        <v>10.459199999999999</v>
      </c>
      <c r="C374" s="8">
        <f>10.4699 * CHOOSE(CONTROL!$C$15, $D$11, 100%, $F$11)</f>
        <v>10.469900000000001</v>
      </c>
      <c r="D374" s="8">
        <f>10.5075 * CHOOSE( CONTROL!$C$15, $D$11, 100%, $F$11)</f>
        <v>10.5075</v>
      </c>
      <c r="E374" s="12">
        <f>10.4939 * CHOOSE( CONTROL!$C$15, $D$11, 100%, $F$11)</f>
        <v>10.4939</v>
      </c>
      <c r="F374" s="4">
        <f>11.1984 * CHOOSE(CONTROL!$C$15, $D$11, 100%, $F$11)</f>
        <v>11.198399999999999</v>
      </c>
      <c r="G374" s="8">
        <f>10.218 * CHOOSE( CONTROL!$C$15, $D$11, 100%, $F$11)</f>
        <v>10.218</v>
      </c>
      <c r="H374" s="4">
        <f>11.1828 * CHOOSE(CONTROL!$C$15, $D$11, 100%, $F$11)</f>
        <v>11.1828</v>
      </c>
      <c r="I374" s="8">
        <f>10.1443 * CHOOSE(CONTROL!$C$15, $D$11, 100%, $F$11)</f>
        <v>10.144299999999999</v>
      </c>
      <c r="J374" s="4">
        <f>10.0274 * CHOOSE(CONTROL!$C$15, $D$11, 100%, $F$11)</f>
        <v>10.0274</v>
      </c>
      <c r="K374" s="4"/>
      <c r="L374" s="9">
        <v>31.095300000000002</v>
      </c>
      <c r="M374" s="9">
        <v>12.063700000000001</v>
      </c>
      <c r="N374" s="9">
        <v>4.9444999999999997</v>
      </c>
      <c r="O374" s="9">
        <v>0.37409999999999999</v>
      </c>
      <c r="P374" s="9">
        <v>1.2183999999999999</v>
      </c>
      <c r="Q374" s="9">
        <v>20.4619</v>
      </c>
      <c r="R374" s="9"/>
      <c r="S374" s="11"/>
    </row>
    <row r="375" spans="1:19" ht="15.75">
      <c r="A375" s="13">
        <v>52931</v>
      </c>
      <c r="B375" s="8">
        <f>11.2792 * CHOOSE(CONTROL!$C$15, $D$11, 100%, $F$11)</f>
        <v>11.279199999999999</v>
      </c>
      <c r="C375" s="8">
        <f>11.2899 * CHOOSE(CONTROL!$C$15, $D$11, 100%, $F$11)</f>
        <v>11.289899999999999</v>
      </c>
      <c r="D375" s="8">
        <f>11.2727 * CHOOSE( CONTROL!$C$15, $D$11, 100%, $F$11)</f>
        <v>11.2727</v>
      </c>
      <c r="E375" s="12">
        <f>11.2778 * CHOOSE( CONTROL!$C$15, $D$11, 100%, $F$11)</f>
        <v>11.277799999999999</v>
      </c>
      <c r="F375" s="4">
        <f>11.9377 * CHOOSE(CONTROL!$C$15, $D$11, 100%, $F$11)</f>
        <v>11.9377</v>
      </c>
      <c r="G375" s="8">
        <f>11.0263 * CHOOSE( CONTROL!$C$15, $D$11, 100%, $F$11)</f>
        <v>11.026300000000001</v>
      </c>
      <c r="H375" s="4">
        <f>11.9056 * CHOOSE(CONTROL!$C$15, $D$11, 100%, $F$11)</f>
        <v>11.9056</v>
      </c>
      <c r="I375" s="8">
        <f>10.9691 * CHOOSE(CONTROL!$C$15, $D$11, 100%, $F$11)</f>
        <v>10.969099999999999</v>
      </c>
      <c r="J375" s="4">
        <f>10.8147 * CHOOSE(CONTROL!$C$15, $D$11, 100%, $F$11)</f>
        <v>10.8147</v>
      </c>
      <c r="K375" s="4"/>
      <c r="L375" s="9">
        <v>28.360600000000002</v>
      </c>
      <c r="M375" s="9">
        <v>11.6745</v>
      </c>
      <c r="N375" s="9">
        <v>4.7850000000000001</v>
      </c>
      <c r="O375" s="9">
        <v>0.36199999999999999</v>
      </c>
      <c r="P375" s="9">
        <v>1.2509999999999999</v>
      </c>
      <c r="Q375" s="9">
        <v>19.8018</v>
      </c>
      <c r="R375" s="9"/>
      <c r="S375" s="11"/>
    </row>
    <row r="376" spans="1:19" ht="15.75">
      <c r="A376" s="13">
        <v>52962</v>
      </c>
      <c r="B376" s="8">
        <f>11.2587 * CHOOSE(CONTROL!$C$15, $D$11, 100%, $F$11)</f>
        <v>11.258699999999999</v>
      </c>
      <c r="C376" s="8">
        <f>11.2694 * CHOOSE(CONTROL!$C$15, $D$11, 100%, $F$11)</f>
        <v>11.269399999999999</v>
      </c>
      <c r="D376" s="8">
        <f>11.2539 * CHOOSE( CONTROL!$C$15, $D$11, 100%, $F$11)</f>
        <v>11.2539</v>
      </c>
      <c r="E376" s="12">
        <f>11.2584 * CHOOSE( CONTROL!$C$15, $D$11, 100%, $F$11)</f>
        <v>11.2584</v>
      </c>
      <c r="F376" s="4">
        <f>11.9172 * CHOOSE(CONTROL!$C$15, $D$11, 100%, $F$11)</f>
        <v>11.917199999999999</v>
      </c>
      <c r="G376" s="8">
        <f>11.0075 * CHOOSE( CONTROL!$C$15, $D$11, 100%, $F$11)</f>
        <v>11.0075</v>
      </c>
      <c r="H376" s="4">
        <f>11.8855 * CHOOSE(CONTROL!$C$15, $D$11, 100%, $F$11)</f>
        <v>11.8855</v>
      </c>
      <c r="I376" s="8">
        <f>10.9546 * CHOOSE(CONTROL!$C$15, $D$11, 100%, $F$11)</f>
        <v>10.954599999999999</v>
      </c>
      <c r="J376" s="4">
        <f>10.795 * CHOOSE(CONTROL!$C$15, $D$11, 100%, $F$11)</f>
        <v>10.795</v>
      </c>
      <c r="K376" s="4"/>
      <c r="L376" s="9">
        <v>29.306000000000001</v>
      </c>
      <c r="M376" s="9">
        <v>12.063700000000001</v>
      </c>
      <c r="N376" s="9">
        <v>4.9444999999999997</v>
      </c>
      <c r="O376" s="9">
        <v>0.37409999999999999</v>
      </c>
      <c r="P376" s="9">
        <v>1.2927</v>
      </c>
      <c r="Q376" s="9">
        <v>20.4619</v>
      </c>
      <c r="R376" s="9"/>
      <c r="S376" s="11"/>
    </row>
    <row r="377" spans="1:19" ht="15.75">
      <c r="A377" s="13">
        <v>52993</v>
      </c>
      <c r="B377" s="8">
        <f>11.5903 * CHOOSE(CONTROL!$C$15, $D$11, 100%, $F$11)</f>
        <v>11.590299999999999</v>
      </c>
      <c r="C377" s="8">
        <f>11.6011 * CHOOSE(CONTROL!$C$15, $D$11, 100%, $F$11)</f>
        <v>11.601100000000001</v>
      </c>
      <c r="D377" s="8">
        <f>11.5825 * CHOOSE( CONTROL!$C$15, $D$11, 100%, $F$11)</f>
        <v>11.5825</v>
      </c>
      <c r="E377" s="12">
        <f>11.5882 * CHOOSE( CONTROL!$C$15, $D$11, 100%, $F$11)</f>
        <v>11.588200000000001</v>
      </c>
      <c r="F377" s="4">
        <f>12.2488 * CHOOSE(CONTROL!$C$15, $D$11, 100%, $F$11)</f>
        <v>12.248799999999999</v>
      </c>
      <c r="G377" s="8">
        <f>11.3242 * CHOOSE( CONTROL!$C$15, $D$11, 100%, $F$11)</f>
        <v>11.324199999999999</v>
      </c>
      <c r="H377" s="4">
        <f>12.2098 * CHOOSE(CONTROL!$C$15, $D$11, 100%, $F$11)</f>
        <v>12.2098</v>
      </c>
      <c r="I377" s="8">
        <f>11.2381 * CHOOSE(CONTROL!$C$15, $D$11, 100%, $F$11)</f>
        <v>11.238099999999999</v>
      </c>
      <c r="J377" s="4">
        <f>11.1134 * CHOOSE(CONTROL!$C$15, $D$11, 100%, $F$11)</f>
        <v>11.1134</v>
      </c>
      <c r="K377" s="4"/>
      <c r="L377" s="9">
        <v>29.306000000000001</v>
      </c>
      <c r="M377" s="9">
        <v>12.063700000000001</v>
      </c>
      <c r="N377" s="9">
        <v>4.9444999999999997</v>
      </c>
      <c r="O377" s="9">
        <v>0.37409999999999999</v>
      </c>
      <c r="P377" s="9">
        <v>1.2927</v>
      </c>
      <c r="Q377" s="9">
        <v>20.396799999999999</v>
      </c>
      <c r="R377" s="9"/>
      <c r="S377" s="11"/>
    </row>
    <row r="378" spans="1:19" ht="15.75">
      <c r="A378" s="13">
        <v>53021</v>
      </c>
      <c r="B378" s="8">
        <f>10.842 * CHOOSE(CONTROL!$C$15, $D$11, 100%, $F$11)</f>
        <v>10.842000000000001</v>
      </c>
      <c r="C378" s="8">
        <f>10.8528 * CHOOSE(CONTROL!$C$15, $D$11, 100%, $F$11)</f>
        <v>10.8528</v>
      </c>
      <c r="D378" s="8">
        <f>10.8341 * CHOOSE( CONTROL!$C$15, $D$11, 100%, $F$11)</f>
        <v>10.834099999999999</v>
      </c>
      <c r="E378" s="12">
        <f>10.8398 * CHOOSE( CONTROL!$C$15, $D$11, 100%, $F$11)</f>
        <v>10.8398</v>
      </c>
      <c r="F378" s="4">
        <f>11.5005 * CHOOSE(CONTROL!$C$15, $D$11, 100%, $F$11)</f>
        <v>11.500500000000001</v>
      </c>
      <c r="G378" s="8">
        <f>10.5925 * CHOOSE( CONTROL!$C$15, $D$11, 100%, $F$11)</f>
        <v>10.592499999999999</v>
      </c>
      <c r="H378" s="4">
        <f>11.4782 * CHOOSE(CONTROL!$C$15, $D$11, 100%, $F$11)</f>
        <v>11.478199999999999</v>
      </c>
      <c r="I378" s="8">
        <f>10.519 * CHOOSE(CONTROL!$C$15, $D$11, 100%, $F$11)</f>
        <v>10.519</v>
      </c>
      <c r="J378" s="4">
        <f>10.395 * CHOOSE(CONTROL!$C$15, $D$11, 100%, $F$11)</f>
        <v>10.395</v>
      </c>
      <c r="K378" s="4"/>
      <c r="L378" s="9">
        <v>26.469899999999999</v>
      </c>
      <c r="M378" s="9">
        <v>10.8962</v>
      </c>
      <c r="N378" s="9">
        <v>4.4660000000000002</v>
      </c>
      <c r="O378" s="9">
        <v>0.33789999999999998</v>
      </c>
      <c r="P378" s="9">
        <v>1.1676</v>
      </c>
      <c r="Q378" s="9">
        <v>18.422899999999998</v>
      </c>
      <c r="R378" s="9"/>
      <c r="S378" s="11"/>
    </row>
    <row r="379" spans="1:19" ht="15.75">
      <c r="A379" s="13">
        <v>53052</v>
      </c>
      <c r="B379" s="8">
        <f>10.6115 * CHOOSE(CONTROL!$C$15, $D$11, 100%, $F$11)</f>
        <v>10.611499999999999</v>
      </c>
      <c r="C379" s="8">
        <f>10.6223 * CHOOSE(CONTROL!$C$15, $D$11, 100%, $F$11)</f>
        <v>10.622299999999999</v>
      </c>
      <c r="D379" s="8">
        <f>10.6031 * CHOOSE( CONTROL!$C$15, $D$11, 100%, $F$11)</f>
        <v>10.6031</v>
      </c>
      <c r="E379" s="12">
        <f>10.609 * CHOOSE( CONTROL!$C$15, $D$11, 100%, $F$11)</f>
        <v>10.609</v>
      </c>
      <c r="F379" s="4">
        <f>11.27 * CHOOSE(CONTROL!$C$15, $D$11, 100%, $F$11)</f>
        <v>11.27</v>
      </c>
      <c r="G379" s="8">
        <f>10.3668 * CHOOSE( CONTROL!$C$15, $D$11, 100%, $F$11)</f>
        <v>10.3668</v>
      </c>
      <c r="H379" s="4">
        <f>11.2528 * CHOOSE(CONTROL!$C$15, $D$11, 100%, $F$11)</f>
        <v>11.252800000000001</v>
      </c>
      <c r="I379" s="8">
        <f>10.2961 * CHOOSE(CONTROL!$C$15, $D$11, 100%, $F$11)</f>
        <v>10.296099999999999</v>
      </c>
      <c r="J379" s="4">
        <f>10.1737 * CHOOSE(CONTROL!$C$15, $D$11, 100%, $F$11)</f>
        <v>10.1737</v>
      </c>
      <c r="K379" s="4"/>
      <c r="L379" s="9">
        <v>29.306000000000001</v>
      </c>
      <c r="M379" s="9">
        <v>12.063700000000001</v>
      </c>
      <c r="N379" s="9">
        <v>4.9444999999999997</v>
      </c>
      <c r="O379" s="9">
        <v>0.37409999999999999</v>
      </c>
      <c r="P379" s="9">
        <v>1.2927</v>
      </c>
      <c r="Q379" s="9">
        <v>20.396799999999999</v>
      </c>
      <c r="R379" s="9"/>
      <c r="S379" s="11"/>
    </row>
    <row r="380" spans="1:19" ht="15.75">
      <c r="A380" s="13">
        <v>53082</v>
      </c>
      <c r="B380" s="8">
        <f>10.7725 * CHOOSE(CONTROL!$C$15, $D$11, 100%, $F$11)</f>
        <v>10.772500000000001</v>
      </c>
      <c r="C380" s="8">
        <f>10.7833 * CHOOSE(CONTROL!$C$15, $D$11, 100%, $F$11)</f>
        <v>10.783300000000001</v>
      </c>
      <c r="D380" s="8">
        <f>10.8203 * CHOOSE( CONTROL!$C$15, $D$11, 100%, $F$11)</f>
        <v>10.8203</v>
      </c>
      <c r="E380" s="12">
        <f>10.8068 * CHOOSE( CONTROL!$C$15, $D$11, 100%, $F$11)</f>
        <v>10.806800000000001</v>
      </c>
      <c r="F380" s="4">
        <f>11.5118 * CHOOSE(CONTROL!$C$15, $D$11, 100%, $F$11)</f>
        <v>11.511799999999999</v>
      </c>
      <c r="G380" s="8">
        <f>10.5235 * CHOOSE( CONTROL!$C$15, $D$11, 100%, $F$11)</f>
        <v>10.5235</v>
      </c>
      <c r="H380" s="4">
        <f>11.4892 * CHOOSE(CONTROL!$C$15, $D$11, 100%, $F$11)</f>
        <v>11.4892</v>
      </c>
      <c r="I380" s="8">
        <f>10.4426 * CHOOSE(CONTROL!$C$15, $D$11, 100%, $F$11)</f>
        <v>10.442600000000001</v>
      </c>
      <c r="J380" s="4">
        <f>10.3283 * CHOOSE(CONTROL!$C$15, $D$11, 100%, $F$11)</f>
        <v>10.3283</v>
      </c>
      <c r="K380" s="4"/>
      <c r="L380" s="9">
        <v>30.092199999999998</v>
      </c>
      <c r="M380" s="9">
        <v>11.6745</v>
      </c>
      <c r="N380" s="9">
        <v>4.7850000000000001</v>
      </c>
      <c r="O380" s="9">
        <v>0.36199999999999999</v>
      </c>
      <c r="P380" s="9">
        <v>1.1791</v>
      </c>
      <c r="Q380" s="9">
        <v>19.738800000000001</v>
      </c>
      <c r="R380" s="9"/>
      <c r="S380" s="11"/>
    </row>
    <row r="381" spans="1:19" ht="15.75">
      <c r="A381" s="13">
        <v>53113</v>
      </c>
      <c r="B381" s="8">
        <f>CHOOSE( CONTROL!$C$32, 11.0615, 11.0591) * CHOOSE(CONTROL!$C$15, $D$11, 100%, $F$11)</f>
        <v>11.061500000000001</v>
      </c>
      <c r="C381" s="8">
        <f>CHOOSE( CONTROL!$C$32, 11.072, 11.0697) * CHOOSE(CONTROL!$C$15, $D$11, 100%, $F$11)</f>
        <v>11.071999999999999</v>
      </c>
      <c r="D381" s="8">
        <f>CHOOSE( CONTROL!$C$32, 11.1079, 11.1055) * CHOOSE( CONTROL!$C$15, $D$11, 100%, $F$11)</f>
        <v>11.107900000000001</v>
      </c>
      <c r="E381" s="12">
        <f>CHOOSE( CONTROL!$C$32, 11.0933, 11.0909) * CHOOSE( CONTROL!$C$15, $D$11, 100%, $F$11)</f>
        <v>11.093299999999999</v>
      </c>
      <c r="F381" s="4">
        <f>CHOOSE( CONTROL!$C$32, 11.8008, 11.7984) * CHOOSE(CONTROL!$C$15, $D$11, 100%, $F$11)</f>
        <v>11.800800000000001</v>
      </c>
      <c r="G381" s="8">
        <f>CHOOSE( CONTROL!$C$32, 10.8066, 10.8043) * CHOOSE( CONTROL!$C$15, $D$11, 100%, $F$11)</f>
        <v>10.8066</v>
      </c>
      <c r="H381" s="4">
        <f>CHOOSE( CONTROL!$C$32, 11.7718, 11.7695) * CHOOSE(CONTROL!$C$15, $D$11, 100%, $F$11)</f>
        <v>11.771800000000001</v>
      </c>
      <c r="I381" s="8">
        <f>CHOOSE( CONTROL!$C$32, 10.7203, 10.718) * CHOOSE(CONTROL!$C$15, $D$11, 100%, $F$11)</f>
        <v>10.7203</v>
      </c>
      <c r="J381" s="4">
        <f>CHOOSE( CONTROL!$C$32, 10.6058, 10.6035) * CHOOSE(CONTROL!$C$15, $D$11, 100%, $F$11)</f>
        <v>10.6058</v>
      </c>
      <c r="K381" s="4"/>
      <c r="L381" s="9">
        <v>30.7165</v>
      </c>
      <c r="M381" s="9">
        <v>12.063700000000001</v>
      </c>
      <c r="N381" s="9">
        <v>4.9444999999999997</v>
      </c>
      <c r="O381" s="9">
        <v>0.37409999999999999</v>
      </c>
      <c r="P381" s="9">
        <v>1.2183999999999999</v>
      </c>
      <c r="Q381" s="9">
        <v>20.396799999999999</v>
      </c>
      <c r="R381" s="9"/>
      <c r="S381" s="11"/>
    </row>
    <row r="382" spans="1:19" ht="15.75">
      <c r="A382" s="13">
        <v>53143</v>
      </c>
      <c r="B382" s="8">
        <f>CHOOSE( CONTROL!$C$32, 10.8839, 10.8815) * CHOOSE(CONTROL!$C$15, $D$11, 100%, $F$11)</f>
        <v>10.883900000000001</v>
      </c>
      <c r="C382" s="8">
        <f>CHOOSE( CONTROL!$C$32, 10.8945, 10.8921) * CHOOSE(CONTROL!$C$15, $D$11, 100%, $F$11)</f>
        <v>10.894500000000001</v>
      </c>
      <c r="D382" s="8">
        <f>CHOOSE( CONTROL!$C$32, 10.9305, 10.9281) * CHOOSE( CONTROL!$C$15, $D$11, 100%, $F$11)</f>
        <v>10.9305</v>
      </c>
      <c r="E382" s="12">
        <f>CHOOSE( CONTROL!$C$32, 10.9158, 10.9134) * CHOOSE( CONTROL!$C$15, $D$11, 100%, $F$11)</f>
        <v>10.915800000000001</v>
      </c>
      <c r="F382" s="4">
        <f>CHOOSE( CONTROL!$C$32, 11.6233, 11.6209) * CHOOSE(CONTROL!$C$15, $D$11, 100%, $F$11)</f>
        <v>11.6233</v>
      </c>
      <c r="G382" s="8">
        <f>CHOOSE( CONTROL!$C$32, 10.6333, 10.631) * CHOOSE( CONTROL!$C$15, $D$11, 100%, $F$11)</f>
        <v>10.6333</v>
      </c>
      <c r="H382" s="4">
        <f>CHOOSE( CONTROL!$C$32, 11.5982, 11.5959) * CHOOSE(CONTROL!$C$15, $D$11, 100%, $F$11)</f>
        <v>11.5982</v>
      </c>
      <c r="I382" s="8">
        <f>CHOOSE( CONTROL!$C$32, 10.5507, 10.5484) * CHOOSE(CONTROL!$C$15, $D$11, 100%, $F$11)</f>
        <v>10.550700000000001</v>
      </c>
      <c r="J382" s="4">
        <f>CHOOSE( CONTROL!$C$32, 10.4353, 10.433) * CHOOSE(CONTROL!$C$15, $D$11, 100%, $F$11)</f>
        <v>10.4353</v>
      </c>
      <c r="K382" s="4"/>
      <c r="L382" s="9">
        <v>29.7257</v>
      </c>
      <c r="M382" s="9">
        <v>11.6745</v>
      </c>
      <c r="N382" s="9">
        <v>4.7850000000000001</v>
      </c>
      <c r="O382" s="9">
        <v>0.36199999999999999</v>
      </c>
      <c r="P382" s="9">
        <v>1.1791</v>
      </c>
      <c r="Q382" s="9">
        <v>19.738800000000001</v>
      </c>
      <c r="R382" s="9"/>
      <c r="S382" s="11"/>
    </row>
    <row r="383" spans="1:19" ht="15.75">
      <c r="A383" s="13">
        <v>53174</v>
      </c>
      <c r="B383" s="8">
        <f>CHOOSE( CONTROL!$C$32, 11.3515, 11.3491) * CHOOSE(CONTROL!$C$15, $D$11, 100%, $F$11)</f>
        <v>11.3515</v>
      </c>
      <c r="C383" s="8">
        <f>CHOOSE( CONTROL!$C$32, 11.3621, 11.3597) * CHOOSE(CONTROL!$C$15, $D$11, 100%, $F$11)</f>
        <v>11.3621</v>
      </c>
      <c r="D383" s="8">
        <f>CHOOSE( CONTROL!$C$32, 11.3983, 11.3959) * CHOOSE( CONTROL!$C$15, $D$11, 100%, $F$11)</f>
        <v>11.398300000000001</v>
      </c>
      <c r="E383" s="12">
        <f>CHOOSE( CONTROL!$C$32, 11.3836, 11.3812) * CHOOSE( CONTROL!$C$15, $D$11, 100%, $F$11)</f>
        <v>11.383599999999999</v>
      </c>
      <c r="F383" s="4">
        <f>CHOOSE( CONTROL!$C$32, 12.0909, 12.0885) * CHOOSE(CONTROL!$C$15, $D$11, 100%, $F$11)</f>
        <v>12.0909</v>
      </c>
      <c r="G383" s="8">
        <f>CHOOSE( CONTROL!$C$32, 11.0908, 11.0885) * CHOOSE( CONTROL!$C$15, $D$11, 100%, $F$11)</f>
        <v>11.0908</v>
      </c>
      <c r="H383" s="4">
        <f>CHOOSE( CONTROL!$C$32, 12.0554, 12.053) * CHOOSE(CONTROL!$C$15, $D$11, 100%, $F$11)</f>
        <v>12.055400000000001</v>
      </c>
      <c r="I383" s="8">
        <f>CHOOSE( CONTROL!$C$32, 11.0009, 10.9986) * CHOOSE(CONTROL!$C$15, $D$11, 100%, $F$11)</f>
        <v>11.0009</v>
      </c>
      <c r="J383" s="4">
        <f>CHOOSE( CONTROL!$C$32, 10.8843, 10.882) * CHOOSE(CONTROL!$C$15, $D$11, 100%, $F$11)</f>
        <v>10.8843</v>
      </c>
      <c r="K383" s="4"/>
      <c r="L383" s="9">
        <v>30.7165</v>
      </c>
      <c r="M383" s="9">
        <v>12.063700000000001</v>
      </c>
      <c r="N383" s="9">
        <v>4.9444999999999997</v>
      </c>
      <c r="O383" s="9">
        <v>0.37409999999999999</v>
      </c>
      <c r="P383" s="9">
        <v>1.2183999999999999</v>
      </c>
      <c r="Q383" s="9">
        <v>20.396799999999999</v>
      </c>
      <c r="R383" s="9"/>
      <c r="S383" s="11"/>
    </row>
    <row r="384" spans="1:19" ht="15.75">
      <c r="A384" s="13">
        <v>53205</v>
      </c>
      <c r="B384" s="8">
        <f>CHOOSE( CONTROL!$C$32, 10.4766, 10.4742) * CHOOSE(CONTROL!$C$15, $D$11, 100%, $F$11)</f>
        <v>10.476599999999999</v>
      </c>
      <c r="C384" s="8">
        <f>CHOOSE( CONTROL!$C$32, 10.4872, 10.4848) * CHOOSE(CONTROL!$C$15, $D$11, 100%, $F$11)</f>
        <v>10.4872</v>
      </c>
      <c r="D384" s="8">
        <f>CHOOSE( CONTROL!$C$32, 10.5235, 10.5211) * CHOOSE( CONTROL!$C$15, $D$11, 100%, $F$11)</f>
        <v>10.5235</v>
      </c>
      <c r="E384" s="12">
        <f>CHOOSE( CONTROL!$C$32, 10.5087, 10.5063) * CHOOSE( CONTROL!$C$15, $D$11, 100%, $F$11)</f>
        <v>10.508699999999999</v>
      </c>
      <c r="F384" s="4">
        <f>CHOOSE( CONTROL!$C$32, 11.216, 11.2136) * CHOOSE(CONTROL!$C$15, $D$11, 100%, $F$11)</f>
        <v>11.215999999999999</v>
      </c>
      <c r="G384" s="8">
        <f>CHOOSE( CONTROL!$C$32, 10.2355, 10.2331) * CHOOSE( CONTROL!$C$15, $D$11, 100%, $F$11)</f>
        <v>10.2355</v>
      </c>
      <c r="H384" s="4">
        <f>CHOOSE( CONTROL!$C$32, 11.2, 11.1976) * CHOOSE(CONTROL!$C$15, $D$11, 100%, $F$11)</f>
        <v>11.2</v>
      </c>
      <c r="I384" s="8">
        <f>CHOOSE( CONTROL!$C$32, 10.1607, 10.1584) * CHOOSE(CONTROL!$C$15, $D$11, 100%, $F$11)</f>
        <v>10.1607</v>
      </c>
      <c r="J384" s="4">
        <f>CHOOSE( CONTROL!$C$32, 10.0442, 10.0419) * CHOOSE(CONTROL!$C$15, $D$11, 100%, $F$11)</f>
        <v>10.0442</v>
      </c>
      <c r="K384" s="4"/>
      <c r="L384" s="9">
        <v>30.7165</v>
      </c>
      <c r="M384" s="9">
        <v>12.063700000000001</v>
      </c>
      <c r="N384" s="9">
        <v>4.9444999999999997</v>
      </c>
      <c r="O384" s="9">
        <v>0.37409999999999999</v>
      </c>
      <c r="P384" s="9">
        <v>1.2183999999999999</v>
      </c>
      <c r="Q384" s="9">
        <v>20.396799999999999</v>
      </c>
      <c r="R384" s="9"/>
      <c r="S384" s="11"/>
    </row>
    <row r="385" spans="1:19" ht="15.75">
      <c r="A385" s="13">
        <v>53235</v>
      </c>
      <c r="B385" s="8">
        <f>CHOOSE( CONTROL!$C$32, 10.2575, 10.2551) * CHOOSE(CONTROL!$C$15, $D$11, 100%, $F$11)</f>
        <v>10.2575</v>
      </c>
      <c r="C385" s="8">
        <f>CHOOSE( CONTROL!$C$32, 10.2681, 10.2657) * CHOOSE(CONTROL!$C$15, $D$11, 100%, $F$11)</f>
        <v>10.2681</v>
      </c>
      <c r="D385" s="8">
        <f>CHOOSE( CONTROL!$C$32, 10.3043, 10.3019) * CHOOSE( CONTROL!$C$15, $D$11, 100%, $F$11)</f>
        <v>10.3043</v>
      </c>
      <c r="E385" s="12">
        <f>CHOOSE( CONTROL!$C$32, 10.2896, 10.2872) * CHOOSE( CONTROL!$C$15, $D$11, 100%, $F$11)</f>
        <v>10.2896</v>
      </c>
      <c r="F385" s="4">
        <f>CHOOSE( CONTROL!$C$32, 10.9969, 10.9945) * CHOOSE(CONTROL!$C$15, $D$11, 100%, $F$11)</f>
        <v>10.9969</v>
      </c>
      <c r="G385" s="8">
        <f>CHOOSE( CONTROL!$C$32, 10.0212, 10.0188) * CHOOSE( CONTROL!$C$15, $D$11, 100%, $F$11)</f>
        <v>10.0212</v>
      </c>
      <c r="H385" s="4">
        <f>CHOOSE( CONTROL!$C$32, 10.9858, 10.9834) * CHOOSE(CONTROL!$C$15, $D$11, 100%, $F$11)</f>
        <v>10.985799999999999</v>
      </c>
      <c r="I385" s="8">
        <f>CHOOSE( CONTROL!$C$32, 9.9499, 9.9476) * CHOOSE(CONTROL!$C$15, $D$11, 100%, $F$11)</f>
        <v>9.9498999999999995</v>
      </c>
      <c r="J385" s="4">
        <f>CHOOSE( CONTROL!$C$32, 9.8339, 9.8316) * CHOOSE(CONTROL!$C$15, $D$11, 100%, $F$11)</f>
        <v>9.8338999999999999</v>
      </c>
      <c r="K385" s="4"/>
      <c r="L385" s="9">
        <v>29.7257</v>
      </c>
      <c r="M385" s="9">
        <v>11.6745</v>
      </c>
      <c r="N385" s="9">
        <v>4.7850000000000001</v>
      </c>
      <c r="O385" s="9">
        <v>0.36199999999999999</v>
      </c>
      <c r="P385" s="9">
        <v>1.1791</v>
      </c>
      <c r="Q385" s="9">
        <v>19.738800000000001</v>
      </c>
      <c r="R385" s="9"/>
      <c r="S385" s="11"/>
    </row>
    <row r="386" spans="1:19" ht="15.75">
      <c r="A386" s="13">
        <v>53266</v>
      </c>
      <c r="B386" s="8">
        <f>10.7101 * CHOOSE(CONTROL!$C$15, $D$11, 100%, $F$11)</f>
        <v>10.710100000000001</v>
      </c>
      <c r="C386" s="8">
        <f>10.7209 * CHOOSE(CONTROL!$C$15, $D$11, 100%, $F$11)</f>
        <v>10.7209</v>
      </c>
      <c r="D386" s="8">
        <f>10.7584 * CHOOSE( CONTROL!$C$15, $D$11, 100%, $F$11)</f>
        <v>10.7584</v>
      </c>
      <c r="E386" s="12">
        <f>10.7449 * CHOOSE( CONTROL!$C$15, $D$11, 100%, $F$11)</f>
        <v>10.744899999999999</v>
      </c>
      <c r="F386" s="4">
        <f>11.4494 * CHOOSE(CONTROL!$C$15, $D$11, 100%, $F$11)</f>
        <v>11.449400000000001</v>
      </c>
      <c r="G386" s="8">
        <f>10.4633 * CHOOSE( CONTROL!$C$15, $D$11, 100%, $F$11)</f>
        <v>10.4633</v>
      </c>
      <c r="H386" s="4">
        <f>11.4282 * CHOOSE(CONTROL!$C$15, $D$11, 100%, $F$11)</f>
        <v>11.4282</v>
      </c>
      <c r="I386" s="8">
        <f>10.3854 * CHOOSE(CONTROL!$C$15, $D$11, 100%, $F$11)</f>
        <v>10.385400000000001</v>
      </c>
      <c r="J386" s="4">
        <f>10.2684 * CHOOSE(CONTROL!$C$15, $D$11, 100%, $F$11)</f>
        <v>10.2684</v>
      </c>
      <c r="K386" s="4"/>
      <c r="L386" s="9">
        <v>31.095300000000002</v>
      </c>
      <c r="M386" s="9">
        <v>12.063700000000001</v>
      </c>
      <c r="N386" s="9">
        <v>4.9444999999999997</v>
      </c>
      <c r="O386" s="9">
        <v>0.37409999999999999</v>
      </c>
      <c r="P386" s="9">
        <v>1.2183999999999999</v>
      </c>
      <c r="Q386" s="9">
        <v>20.396799999999999</v>
      </c>
      <c r="R386" s="9"/>
      <c r="S386" s="11"/>
    </row>
    <row r="387" spans="1:19" ht="15.75">
      <c r="A387" s="13">
        <v>53296</v>
      </c>
      <c r="B387" s="8">
        <f>11.5498 * CHOOSE(CONTROL!$C$15, $D$11, 100%, $F$11)</f>
        <v>11.549799999999999</v>
      </c>
      <c r="C387" s="8">
        <f>11.5606 * CHOOSE(CONTROL!$C$15, $D$11, 100%, $F$11)</f>
        <v>11.560600000000001</v>
      </c>
      <c r="D387" s="8">
        <f>11.5433 * CHOOSE( CONTROL!$C$15, $D$11, 100%, $F$11)</f>
        <v>11.5433</v>
      </c>
      <c r="E387" s="12">
        <f>11.5485 * CHOOSE( CONTROL!$C$15, $D$11, 100%, $F$11)</f>
        <v>11.548500000000001</v>
      </c>
      <c r="F387" s="4">
        <f>12.2083 * CHOOSE(CONTROL!$C$15, $D$11, 100%, $F$11)</f>
        <v>12.208299999999999</v>
      </c>
      <c r="G387" s="8">
        <f>11.2909 * CHOOSE( CONTROL!$C$15, $D$11, 100%, $F$11)</f>
        <v>11.290900000000001</v>
      </c>
      <c r="H387" s="4">
        <f>12.1702 * CHOOSE(CONTROL!$C$15, $D$11, 100%, $F$11)</f>
        <v>12.170199999999999</v>
      </c>
      <c r="I387" s="8">
        <f>11.2291 * CHOOSE(CONTROL!$C$15, $D$11, 100%, $F$11)</f>
        <v>11.229100000000001</v>
      </c>
      <c r="J387" s="4">
        <f>11.0745 * CHOOSE(CONTROL!$C$15, $D$11, 100%, $F$11)</f>
        <v>11.0745</v>
      </c>
      <c r="K387" s="4"/>
      <c r="L387" s="9">
        <v>28.360600000000002</v>
      </c>
      <c r="M387" s="9">
        <v>11.6745</v>
      </c>
      <c r="N387" s="9">
        <v>4.7850000000000001</v>
      </c>
      <c r="O387" s="9">
        <v>0.36199999999999999</v>
      </c>
      <c r="P387" s="9">
        <v>1.2509999999999999</v>
      </c>
      <c r="Q387" s="9">
        <v>19.738800000000001</v>
      </c>
      <c r="R387" s="9"/>
      <c r="S387" s="11"/>
    </row>
    <row r="388" spans="1:19" ht="15.75">
      <c r="A388" s="13">
        <v>53327</v>
      </c>
      <c r="B388" s="8">
        <f>11.5288 * CHOOSE(CONTROL!$C$15, $D$11, 100%, $F$11)</f>
        <v>11.5288</v>
      </c>
      <c r="C388" s="8">
        <f>11.5396 * CHOOSE(CONTROL!$C$15, $D$11, 100%, $F$11)</f>
        <v>11.5396</v>
      </c>
      <c r="D388" s="8">
        <f>11.524 * CHOOSE( CONTROL!$C$15, $D$11, 100%, $F$11)</f>
        <v>11.523999999999999</v>
      </c>
      <c r="E388" s="12">
        <f>11.5286 * CHOOSE( CONTROL!$C$15, $D$11, 100%, $F$11)</f>
        <v>11.528600000000001</v>
      </c>
      <c r="F388" s="4">
        <f>12.1873 * CHOOSE(CONTROL!$C$15, $D$11, 100%, $F$11)</f>
        <v>12.1873</v>
      </c>
      <c r="G388" s="8">
        <f>11.2716 * CHOOSE( CONTROL!$C$15, $D$11, 100%, $F$11)</f>
        <v>11.271599999999999</v>
      </c>
      <c r="H388" s="4">
        <f>12.1497 * CHOOSE(CONTROL!$C$15, $D$11, 100%, $F$11)</f>
        <v>12.149699999999999</v>
      </c>
      <c r="I388" s="8">
        <f>11.2141 * CHOOSE(CONTROL!$C$15, $D$11, 100%, $F$11)</f>
        <v>11.2141</v>
      </c>
      <c r="J388" s="4">
        <f>11.0544 * CHOOSE(CONTROL!$C$15, $D$11, 100%, $F$11)</f>
        <v>11.054399999999999</v>
      </c>
      <c r="K388" s="4"/>
      <c r="L388" s="9">
        <v>29.306000000000001</v>
      </c>
      <c r="M388" s="9">
        <v>12.063700000000001</v>
      </c>
      <c r="N388" s="9">
        <v>4.9444999999999997</v>
      </c>
      <c r="O388" s="9">
        <v>0.37409999999999999</v>
      </c>
      <c r="P388" s="9">
        <v>1.2927</v>
      </c>
      <c r="Q388" s="9">
        <v>20.396799999999999</v>
      </c>
      <c r="R388" s="9"/>
      <c r="S388" s="11"/>
    </row>
    <row r="389" spans="1:19" ht="15.75">
      <c r="A389" s="13">
        <v>53358</v>
      </c>
      <c r="B389" s="8">
        <f>11.8685 * CHOOSE(CONTROL!$C$15, $D$11, 100%, $F$11)</f>
        <v>11.868499999999999</v>
      </c>
      <c r="C389" s="8">
        <f>11.8792 * CHOOSE(CONTROL!$C$15, $D$11, 100%, $F$11)</f>
        <v>11.879200000000001</v>
      </c>
      <c r="D389" s="8">
        <f>11.8606 * CHOOSE( CONTROL!$C$15, $D$11, 100%, $F$11)</f>
        <v>11.8606</v>
      </c>
      <c r="E389" s="12">
        <f>11.8663 * CHOOSE( CONTROL!$C$15, $D$11, 100%, $F$11)</f>
        <v>11.866300000000001</v>
      </c>
      <c r="F389" s="4">
        <f>12.527 * CHOOSE(CONTROL!$C$15, $D$11, 100%, $F$11)</f>
        <v>12.526999999999999</v>
      </c>
      <c r="G389" s="8">
        <f>11.5961 * CHOOSE( CONTROL!$C$15, $D$11, 100%, $F$11)</f>
        <v>11.5961</v>
      </c>
      <c r="H389" s="4">
        <f>12.4817 * CHOOSE(CONTROL!$C$15, $D$11, 100%, $F$11)</f>
        <v>12.4817</v>
      </c>
      <c r="I389" s="8">
        <f>11.5052 * CHOOSE(CONTROL!$C$15, $D$11, 100%, $F$11)</f>
        <v>11.5052</v>
      </c>
      <c r="J389" s="4">
        <f>11.3804 * CHOOSE(CONTROL!$C$15, $D$11, 100%, $F$11)</f>
        <v>11.3804</v>
      </c>
      <c r="K389" s="4"/>
      <c r="L389" s="9">
        <v>29.306000000000001</v>
      </c>
      <c r="M389" s="9">
        <v>12.063700000000001</v>
      </c>
      <c r="N389" s="9">
        <v>4.9444999999999997</v>
      </c>
      <c r="O389" s="9">
        <v>0.37409999999999999</v>
      </c>
      <c r="P389" s="9">
        <v>1.2927</v>
      </c>
      <c r="Q389" s="9">
        <v>20.331700000000001</v>
      </c>
      <c r="R389" s="9"/>
      <c r="S389" s="11"/>
    </row>
    <row r="390" spans="1:19" ht="15.75">
      <c r="A390" s="13">
        <v>53386</v>
      </c>
      <c r="B390" s="8">
        <f>11.1022 * CHOOSE(CONTROL!$C$15, $D$11, 100%, $F$11)</f>
        <v>11.1022</v>
      </c>
      <c r="C390" s="8">
        <f>11.1129 * CHOOSE(CONTROL!$C$15, $D$11, 100%, $F$11)</f>
        <v>11.1129</v>
      </c>
      <c r="D390" s="8">
        <f>11.0942 * CHOOSE( CONTROL!$C$15, $D$11, 100%, $F$11)</f>
        <v>11.094200000000001</v>
      </c>
      <c r="E390" s="12">
        <f>11.0999 * CHOOSE( CONTROL!$C$15, $D$11, 100%, $F$11)</f>
        <v>11.0999</v>
      </c>
      <c r="F390" s="4">
        <f>11.7607 * CHOOSE(CONTROL!$C$15, $D$11, 100%, $F$11)</f>
        <v>11.7607</v>
      </c>
      <c r="G390" s="8">
        <f>10.8469 * CHOOSE( CONTROL!$C$15, $D$11, 100%, $F$11)</f>
        <v>10.8469</v>
      </c>
      <c r="H390" s="4">
        <f>11.7325 * CHOOSE(CONTROL!$C$15, $D$11, 100%, $F$11)</f>
        <v>11.7325</v>
      </c>
      <c r="I390" s="8">
        <f>10.7688 * CHOOSE(CONTROL!$C$15, $D$11, 100%, $F$11)</f>
        <v>10.768800000000001</v>
      </c>
      <c r="J390" s="4">
        <f>10.6447 * CHOOSE(CONTROL!$C$15, $D$11, 100%, $F$11)</f>
        <v>10.6447</v>
      </c>
      <c r="K390" s="4"/>
      <c r="L390" s="9">
        <v>26.469899999999999</v>
      </c>
      <c r="M390" s="9">
        <v>10.8962</v>
      </c>
      <c r="N390" s="9">
        <v>4.4660000000000002</v>
      </c>
      <c r="O390" s="9">
        <v>0.33789999999999998</v>
      </c>
      <c r="P390" s="9">
        <v>1.1676</v>
      </c>
      <c r="Q390" s="9">
        <v>18.364100000000001</v>
      </c>
      <c r="R390" s="9"/>
      <c r="S390" s="11"/>
    </row>
    <row r="391" spans="1:19" ht="15.75">
      <c r="A391" s="13">
        <v>53417</v>
      </c>
      <c r="B391" s="8">
        <f>10.8661 * CHOOSE(CONTROL!$C$15, $D$11, 100%, $F$11)</f>
        <v>10.866099999999999</v>
      </c>
      <c r="C391" s="8">
        <f>10.8769 * CHOOSE(CONTROL!$C$15, $D$11, 100%, $F$11)</f>
        <v>10.876899999999999</v>
      </c>
      <c r="D391" s="8">
        <f>10.8577 * CHOOSE( CONTROL!$C$15, $D$11, 100%, $F$11)</f>
        <v>10.857699999999999</v>
      </c>
      <c r="E391" s="12">
        <f>10.8636 * CHOOSE( CONTROL!$C$15, $D$11, 100%, $F$11)</f>
        <v>10.8636</v>
      </c>
      <c r="F391" s="4">
        <f>11.5246 * CHOOSE(CONTROL!$C$15, $D$11, 100%, $F$11)</f>
        <v>11.5246</v>
      </c>
      <c r="G391" s="8">
        <f>10.6158 * CHOOSE( CONTROL!$C$15, $D$11, 100%, $F$11)</f>
        <v>10.6158</v>
      </c>
      <c r="H391" s="4">
        <f>11.5018 * CHOOSE(CONTROL!$C$15, $D$11, 100%, $F$11)</f>
        <v>11.501799999999999</v>
      </c>
      <c r="I391" s="8">
        <f>10.5406 * CHOOSE(CONTROL!$C$15, $D$11, 100%, $F$11)</f>
        <v>10.5406</v>
      </c>
      <c r="J391" s="4">
        <f>10.4181 * CHOOSE(CONTROL!$C$15, $D$11, 100%, $F$11)</f>
        <v>10.418100000000001</v>
      </c>
      <c r="K391" s="4"/>
      <c r="L391" s="9">
        <v>29.306000000000001</v>
      </c>
      <c r="M391" s="9">
        <v>12.063700000000001</v>
      </c>
      <c r="N391" s="9">
        <v>4.9444999999999997</v>
      </c>
      <c r="O391" s="9">
        <v>0.37409999999999999</v>
      </c>
      <c r="P391" s="9">
        <v>1.2927</v>
      </c>
      <c r="Q391" s="9">
        <v>20.331700000000001</v>
      </c>
      <c r="R391" s="9"/>
      <c r="S391" s="11"/>
    </row>
    <row r="392" spans="1:19" ht="15.75">
      <c r="A392" s="13">
        <v>53447</v>
      </c>
      <c r="B392" s="8">
        <f>11.031 * CHOOSE(CONTROL!$C$15, $D$11, 100%, $F$11)</f>
        <v>11.031000000000001</v>
      </c>
      <c r="C392" s="8">
        <f>11.0418 * CHOOSE(CONTROL!$C$15, $D$11, 100%, $F$11)</f>
        <v>11.0418</v>
      </c>
      <c r="D392" s="8">
        <f>11.0787 * CHOOSE( CONTROL!$C$15, $D$11, 100%, $F$11)</f>
        <v>11.0787</v>
      </c>
      <c r="E392" s="12">
        <f>11.0653 * CHOOSE( CONTROL!$C$15, $D$11, 100%, $F$11)</f>
        <v>11.065300000000001</v>
      </c>
      <c r="F392" s="4">
        <f>11.7703 * CHOOSE(CONTROL!$C$15, $D$11, 100%, $F$11)</f>
        <v>11.770300000000001</v>
      </c>
      <c r="G392" s="8">
        <f>10.7762 * CHOOSE( CONTROL!$C$15, $D$11, 100%, $F$11)</f>
        <v>10.776199999999999</v>
      </c>
      <c r="H392" s="4">
        <f>11.7419 * CHOOSE(CONTROL!$C$15, $D$11, 100%, $F$11)</f>
        <v>11.741899999999999</v>
      </c>
      <c r="I392" s="8">
        <f>10.6909 * CHOOSE(CONTROL!$C$15, $D$11, 100%, $F$11)</f>
        <v>10.690899999999999</v>
      </c>
      <c r="J392" s="4">
        <f>10.5765 * CHOOSE(CONTROL!$C$15, $D$11, 100%, $F$11)</f>
        <v>10.576499999999999</v>
      </c>
      <c r="K392" s="4"/>
      <c r="L392" s="9">
        <v>30.092199999999998</v>
      </c>
      <c r="M392" s="9">
        <v>11.6745</v>
      </c>
      <c r="N392" s="9">
        <v>4.7850000000000001</v>
      </c>
      <c r="O392" s="9">
        <v>0.36199999999999999</v>
      </c>
      <c r="P392" s="9">
        <v>1.1791</v>
      </c>
      <c r="Q392" s="9">
        <v>19.675799999999999</v>
      </c>
      <c r="R392" s="9"/>
      <c r="S392" s="11"/>
    </row>
    <row r="393" spans="1:19" ht="15.75">
      <c r="A393" s="13">
        <v>53478</v>
      </c>
      <c r="B393" s="8">
        <f>CHOOSE( CONTROL!$C$32, 11.3268, 11.3244) * CHOOSE(CONTROL!$C$15, $D$11, 100%, $F$11)</f>
        <v>11.3268</v>
      </c>
      <c r="C393" s="8">
        <f>CHOOSE( CONTROL!$C$32, 11.3374, 11.335) * CHOOSE(CONTROL!$C$15, $D$11, 100%, $F$11)</f>
        <v>11.337400000000001</v>
      </c>
      <c r="D393" s="8">
        <f>CHOOSE( CONTROL!$C$32, 11.3732, 11.3708) * CHOOSE( CONTROL!$C$15, $D$11, 100%, $F$11)</f>
        <v>11.373200000000001</v>
      </c>
      <c r="E393" s="12">
        <f>CHOOSE( CONTROL!$C$32, 11.3586, 11.3562) * CHOOSE( CONTROL!$C$15, $D$11, 100%, $F$11)</f>
        <v>11.358599999999999</v>
      </c>
      <c r="F393" s="4">
        <f>CHOOSE( CONTROL!$C$32, 12.0662, 12.0638) * CHOOSE(CONTROL!$C$15, $D$11, 100%, $F$11)</f>
        <v>12.0662</v>
      </c>
      <c r="G393" s="8">
        <f>CHOOSE( CONTROL!$C$32, 11.0661, 11.0637) * CHOOSE( CONTROL!$C$15, $D$11, 100%, $F$11)</f>
        <v>11.0661</v>
      </c>
      <c r="H393" s="4">
        <f>CHOOSE( CONTROL!$C$32, 12.0312, 12.0289) * CHOOSE(CONTROL!$C$15, $D$11, 100%, $F$11)</f>
        <v>12.0312</v>
      </c>
      <c r="I393" s="8">
        <f>CHOOSE( CONTROL!$C$32, 10.9752, 10.9729) * CHOOSE(CONTROL!$C$15, $D$11, 100%, $F$11)</f>
        <v>10.975199999999999</v>
      </c>
      <c r="J393" s="4">
        <f>CHOOSE( CONTROL!$C$32, 10.8606, 10.8583) * CHOOSE(CONTROL!$C$15, $D$11, 100%, $F$11)</f>
        <v>10.8606</v>
      </c>
      <c r="K393" s="4"/>
      <c r="L393" s="9">
        <v>30.7165</v>
      </c>
      <c r="M393" s="9">
        <v>12.063700000000001</v>
      </c>
      <c r="N393" s="9">
        <v>4.9444999999999997</v>
      </c>
      <c r="O393" s="9">
        <v>0.37409999999999999</v>
      </c>
      <c r="P393" s="9">
        <v>1.2183999999999999</v>
      </c>
      <c r="Q393" s="9">
        <v>20.331700000000001</v>
      </c>
      <c r="R393" s="9"/>
      <c r="S393" s="11"/>
    </row>
    <row r="394" spans="1:19" ht="15.75">
      <c r="A394" s="13">
        <v>53508</v>
      </c>
      <c r="B394" s="8">
        <f>CHOOSE( CONTROL!$C$32, 11.145, 11.1426) * CHOOSE(CONTROL!$C$15, $D$11, 100%, $F$11)</f>
        <v>11.145</v>
      </c>
      <c r="C394" s="8">
        <f>CHOOSE( CONTROL!$C$32, 11.1556, 11.1532) * CHOOSE(CONTROL!$C$15, $D$11, 100%, $F$11)</f>
        <v>11.1556</v>
      </c>
      <c r="D394" s="8">
        <f>CHOOSE( CONTROL!$C$32, 11.1916, 11.1892) * CHOOSE( CONTROL!$C$15, $D$11, 100%, $F$11)</f>
        <v>11.191599999999999</v>
      </c>
      <c r="E394" s="12">
        <f>CHOOSE( CONTROL!$C$32, 11.1769, 11.1745) * CHOOSE( CONTROL!$C$15, $D$11, 100%, $F$11)</f>
        <v>11.1769</v>
      </c>
      <c r="F394" s="4">
        <f>CHOOSE( CONTROL!$C$32, 11.8844, 11.882) * CHOOSE(CONTROL!$C$15, $D$11, 100%, $F$11)</f>
        <v>11.884399999999999</v>
      </c>
      <c r="G394" s="8">
        <f>CHOOSE( CONTROL!$C$32, 10.8886, 10.8862) * CHOOSE( CONTROL!$C$15, $D$11, 100%, $F$11)</f>
        <v>10.8886</v>
      </c>
      <c r="H394" s="4">
        <f>CHOOSE( CONTROL!$C$32, 11.8535, 11.8511) * CHOOSE(CONTROL!$C$15, $D$11, 100%, $F$11)</f>
        <v>11.8535</v>
      </c>
      <c r="I394" s="8">
        <f>CHOOSE( CONTROL!$C$32, 10.8015, 10.7992) * CHOOSE(CONTROL!$C$15, $D$11, 100%, $F$11)</f>
        <v>10.801500000000001</v>
      </c>
      <c r="J394" s="4">
        <f>CHOOSE( CONTROL!$C$32, 10.686, 10.6837) * CHOOSE(CONTROL!$C$15, $D$11, 100%, $F$11)</f>
        <v>10.686</v>
      </c>
      <c r="K394" s="4"/>
      <c r="L394" s="9">
        <v>29.7257</v>
      </c>
      <c r="M394" s="9">
        <v>11.6745</v>
      </c>
      <c r="N394" s="9">
        <v>4.7850000000000001</v>
      </c>
      <c r="O394" s="9">
        <v>0.36199999999999999</v>
      </c>
      <c r="P394" s="9">
        <v>1.1791</v>
      </c>
      <c r="Q394" s="9">
        <v>19.675799999999999</v>
      </c>
      <c r="R394" s="9"/>
      <c r="S394" s="11"/>
    </row>
    <row r="395" spans="1:19" ht="15.75">
      <c r="A395" s="13">
        <v>53539</v>
      </c>
      <c r="B395" s="8">
        <f>CHOOSE( CONTROL!$C$32, 11.6238, 11.6214) * CHOOSE(CONTROL!$C$15, $D$11, 100%, $F$11)</f>
        <v>11.623799999999999</v>
      </c>
      <c r="C395" s="8">
        <f>CHOOSE( CONTROL!$C$32, 11.6344, 11.632) * CHOOSE(CONTROL!$C$15, $D$11, 100%, $F$11)</f>
        <v>11.634399999999999</v>
      </c>
      <c r="D395" s="8">
        <f>CHOOSE( CONTROL!$C$32, 11.6707, 11.6683) * CHOOSE( CONTROL!$C$15, $D$11, 100%, $F$11)</f>
        <v>11.6707</v>
      </c>
      <c r="E395" s="12">
        <f>CHOOSE( CONTROL!$C$32, 11.6559, 11.6535) * CHOOSE( CONTROL!$C$15, $D$11, 100%, $F$11)</f>
        <v>11.655900000000001</v>
      </c>
      <c r="F395" s="4">
        <f>CHOOSE( CONTROL!$C$32, 12.3632, 12.3608) * CHOOSE(CONTROL!$C$15, $D$11, 100%, $F$11)</f>
        <v>12.363200000000001</v>
      </c>
      <c r="G395" s="8">
        <f>CHOOSE( CONTROL!$C$32, 11.3571, 11.3547) * CHOOSE( CONTROL!$C$15, $D$11, 100%, $F$11)</f>
        <v>11.357100000000001</v>
      </c>
      <c r="H395" s="4">
        <f>CHOOSE( CONTROL!$C$32, 12.3216, 12.3193) * CHOOSE(CONTROL!$C$15, $D$11, 100%, $F$11)</f>
        <v>12.3216</v>
      </c>
      <c r="I395" s="8">
        <f>CHOOSE( CONTROL!$C$32, 11.2625, 11.2602) * CHOOSE(CONTROL!$C$15, $D$11, 100%, $F$11)</f>
        <v>11.262499999999999</v>
      </c>
      <c r="J395" s="4">
        <f>CHOOSE( CONTROL!$C$32, 11.1457, 11.1434) * CHOOSE(CONTROL!$C$15, $D$11, 100%, $F$11)</f>
        <v>11.1457</v>
      </c>
      <c r="K395" s="4"/>
      <c r="L395" s="9">
        <v>30.7165</v>
      </c>
      <c r="M395" s="9">
        <v>12.063700000000001</v>
      </c>
      <c r="N395" s="9">
        <v>4.9444999999999997</v>
      </c>
      <c r="O395" s="9">
        <v>0.37409999999999999</v>
      </c>
      <c r="P395" s="9">
        <v>1.2183999999999999</v>
      </c>
      <c r="Q395" s="9">
        <v>20.331700000000001</v>
      </c>
      <c r="R395" s="9"/>
      <c r="S395" s="11"/>
    </row>
    <row r="396" spans="1:19" ht="15.75">
      <c r="A396" s="13">
        <v>53570</v>
      </c>
      <c r="B396" s="8">
        <f>CHOOSE( CONTROL!$C$32, 10.7279, 10.7255) * CHOOSE(CONTROL!$C$15, $D$11, 100%, $F$11)</f>
        <v>10.7279</v>
      </c>
      <c r="C396" s="8">
        <f>CHOOSE( CONTROL!$C$32, 10.7385, 10.7361) * CHOOSE(CONTROL!$C$15, $D$11, 100%, $F$11)</f>
        <v>10.7385</v>
      </c>
      <c r="D396" s="8">
        <f>CHOOSE( CONTROL!$C$32, 10.7748, 10.7724) * CHOOSE( CONTROL!$C$15, $D$11, 100%, $F$11)</f>
        <v>10.774800000000001</v>
      </c>
      <c r="E396" s="12">
        <f>CHOOSE( CONTROL!$C$32, 10.76, 10.7576) * CHOOSE( CONTROL!$C$15, $D$11, 100%, $F$11)</f>
        <v>10.76</v>
      </c>
      <c r="F396" s="4">
        <f>CHOOSE( CONTROL!$C$32, 11.4673, 11.4649) * CHOOSE(CONTROL!$C$15, $D$11, 100%, $F$11)</f>
        <v>11.4673</v>
      </c>
      <c r="G396" s="8">
        <f>CHOOSE( CONTROL!$C$32, 10.4812, 10.4788) * CHOOSE( CONTROL!$C$15, $D$11, 100%, $F$11)</f>
        <v>10.481199999999999</v>
      </c>
      <c r="H396" s="4">
        <f>CHOOSE( CONTROL!$C$32, 11.4457, 11.4433) * CHOOSE(CONTROL!$C$15, $D$11, 100%, $F$11)</f>
        <v>11.4457</v>
      </c>
      <c r="I396" s="8">
        <f>CHOOSE( CONTROL!$C$32, 10.4021, 10.3998) * CHOOSE(CONTROL!$C$15, $D$11, 100%, $F$11)</f>
        <v>10.402100000000001</v>
      </c>
      <c r="J396" s="4">
        <f>CHOOSE( CONTROL!$C$32, 10.2855, 10.2832) * CHOOSE(CONTROL!$C$15, $D$11, 100%, $F$11)</f>
        <v>10.285500000000001</v>
      </c>
      <c r="K396" s="4"/>
      <c r="L396" s="9">
        <v>30.7165</v>
      </c>
      <c r="M396" s="9">
        <v>12.063700000000001</v>
      </c>
      <c r="N396" s="9">
        <v>4.9444999999999997</v>
      </c>
      <c r="O396" s="9">
        <v>0.37409999999999999</v>
      </c>
      <c r="P396" s="9">
        <v>1.2183999999999999</v>
      </c>
      <c r="Q396" s="9">
        <v>20.331700000000001</v>
      </c>
      <c r="R396" s="9"/>
      <c r="S396" s="11"/>
    </row>
    <row r="397" spans="1:19" ht="15.75">
      <c r="A397" s="13">
        <v>53600</v>
      </c>
      <c r="B397" s="8">
        <f>CHOOSE( CONTROL!$C$32, 10.5035, 10.5012) * CHOOSE(CONTROL!$C$15, $D$11, 100%, $F$11)</f>
        <v>10.503500000000001</v>
      </c>
      <c r="C397" s="8">
        <f>CHOOSE( CONTROL!$C$32, 10.5141, 10.5117) * CHOOSE(CONTROL!$C$15, $D$11, 100%, $F$11)</f>
        <v>10.514099999999999</v>
      </c>
      <c r="D397" s="8">
        <f>CHOOSE( CONTROL!$C$32, 10.5504, 10.548) * CHOOSE( CONTROL!$C$15, $D$11, 100%, $F$11)</f>
        <v>10.5504</v>
      </c>
      <c r="E397" s="12">
        <f>CHOOSE( CONTROL!$C$32, 10.5356, 10.5332) * CHOOSE( CONTROL!$C$15, $D$11, 100%, $F$11)</f>
        <v>10.535600000000001</v>
      </c>
      <c r="F397" s="4">
        <f>CHOOSE( CONTROL!$C$32, 11.2429, 11.2405) * CHOOSE(CONTROL!$C$15, $D$11, 100%, $F$11)</f>
        <v>11.242900000000001</v>
      </c>
      <c r="G397" s="8">
        <f>CHOOSE( CONTROL!$C$32, 10.2617, 10.2594) * CHOOSE( CONTROL!$C$15, $D$11, 100%, $F$11)</f>
        <v>10.261699999999999</v>
      </c>
      <c r="H397" s="4">
        <f>CHOOSE( CONTROL!$C$32, 11.2263, 11.224) * CHOOSE(CONTROL!$C$15, $D$11, 100%, $F$11)</f>
        <v>11.2263</v>
      </c>
      <c r="I397" s="8">
        <f>CHOOSE( CONTROL!$C$32, 10.1863, 10.184) * CHOOSE(CONTROL!$C$15, $D$11, 100%, $F$11)</f>
        <v>10.186299999999999</v>
      </c>
      <c r="J397" s="4">
        <f>CHOOSE( CONTROL!$C$32, 10.0701, 10.0678) * CHOOSE(CONTROL!$C$15, $D$11, 100%, $F$11)</f>
        <v>10.0701</v>
      </c>
      <c r="K397" s="4"/>
      <c r="L397" s="9">
        <v>29.7257</v>
      </c>
      <c r="M397" s="9">
        <v>11.6745</v>
      </c>
      <c r="N397" s="9">
        <v>4.7850000000000001</v>
      </c>
      <c r="O397" s="9">
        <v>0.36199999999999999</v>
      </c>
      <c r="P397" s="9">
        <v>1.1791</v>
      </c>
      <c r="Q397" s="9">
        <v>19.675799999999999</v>
      </c>
      <c r="R397" s="9"/>
      <c r="S397" s="11"/>
    </row>
    <row r="398" spans="1:19" ht="15.75">
      <c r="A398" s="13">
        <v>53631</v>
      </c>
      <c r="B398" s="8">
        <f>10.9671 * CHOOSE(CONTROL!$C$15, $D$11, 100%, $F$11)</f>
        <v>10.9671</v>
      </c>
      <c r="C398" s="8">
        <f>10.9778 * CHOOSE(CONTROL!$C$15, $D$11, 100%, $F$11)</f>
        <v>10.9778</v>
      </c>
      <c r="D398" s="8">
        <f>11.0154 * CHOOSE( CONTROL!$C$15, $D$11, 100%, $F$11)</f>
        <v>11.0154</v>
      </c>
      <c r="E398" s="12">
        <f>11.0018 * CHOOSE( CONTROL!$C$15, $D$11, 100%, $F$11)</f>
        <v>11.001799999999999</v>
      </c>
      <c r="F398" s="4">
        <f>11.7064 * CHOOSE(CONTROL!$C$15, $D$11, 100%, $F$11)</f>
        <v>11.7064</v>
      </c>
      <c r="G398" s="8">
        <f>10.7146 * CHOOSE( CONTROL!$C$15, $D$11, 100%, $F$11)</f>
        <v>10.714600000000001</v>
      </c>
      <c r="H398" s="4">
        <f>11.6794 * CHOOSE(CONTROL!$C$15, $D$11, 100%, $F$11)</f>
        <v>11.679399999999999</v>
      </c>
      <c r="I398" s="8">
        <f>10.6322 * CHOOSE(CONTROL!$C$15, $D$11, 100%, $F$11)</f>
        <v>10.632199999999999</v>
      </c>
      <c r="J398" s="4">
        <f>10.5151 * CHOOSE(CONTROL!$C$15, $D$11, 100%, $F$11)</f>
        <v>10.5151</v>
      </c>
      <c r="K398" s="4"/>
      <c r="L398" s="9">
        <v>31.095300000000002</v>
      </c>
      <c r="M398" s="9">
        <v>12.063700000000001</v>
      </c>
      <c r="N398" s="9">
        <v>4.9444999999999997</v>
      </c>
      <c r="O398" s="9">
        <v>0.37409999999999999</v>
      </c>
      <c r="P398" s="9">
        <v>1.2183999999999999</v>
      </c>
      <c r="Q398" s="9">
        <v>20.331700000000001</v>
      </c>
      <c r="R398" s="9"/>
      <c r="S398" s="11"/>
    </row>
    <row r="399" spans="1:19" ht="15.75">
      <c r="A399" s="13">
        <v>53661</v>
      </c>
      <c r="B399" s="8">
        <f>11.827 * CHOOSE(CONTROL!$C$15, $D$11, 100%, $F$11)</f>
        <v>11.827</v>
      </c>
      <c r="C399" s="8">
        <f>11.8377 * CHOOSE(CONTROL!$C$15, $D$11, 100%, $F$11)</f>
        <v>11.8377</v>
      </c>
      <c r="D399" s="8">
        <f>11.8205 * CHOOSE( CONTROL!$C$15, $D$11, 100%, $F$11)</f>
        <v>11.820499999999999</v>
      </c>
      <c r="E399" s="12">
        <f>11.8256 * CHOOSE( CONTROL!$C$15, $D$11, 100%, $F$11)</f>
        <v>11.8256</v>
      </c>
      <c r="F399" s="4">
        <f>12.4855 * CHOOSE(CONTROL!$C$15, $D$11, 100%, $F$11)</f>
        <v>12.4855</v>
      </c>
      <c r="G399" s="8">
        <f>11.5619 * CHOOSE( CONTROL!$C$15, $D$11, 100%, $F$11)</f>
        <v>11.5619</v>
      </c>
      <c r="H399" s="4">
        <f>12.4412 * CHOOSE(CONTROL!$C$15, $D$11, 100%, $F$11)</f>
        <v>12.4412</v>
      </c>
      <c r="I399" s="8">
        <f>11.4953 * CHOOSE(CONTROL!$C$15, $D$11, 100%, $F$11)</f>
        <v>11.4953</v>
      </c>
      <c r="J399" s="4">
        <f>11.3406 * CHOOSE(CONTROL!$C$15, $D$11, 100%, $F$11)</f>
        <v>11.3406</v>
      </c>
      <c r="K399" s="4"/>
      <c r="L399" s="9">
        <v>28.360600000000002</v>
      </c>
      <c r="M399" s="9">
        <v>11.6745</v>
      </c>
      <c r="N399" s="9">
        <v>4.7850000000000001</v>
      </c>
      <c r="O399" s="9">
        <v>0.36199999999999999</v>
      </c>
      <c r="P399" s="9">
        <v>1.2509999999999999</v>
      </c>
      <c r="Q399" s="9">
        <v>19.675799999999999</v>
      </c>
      <c r="R399" s="9"/>
      <c r="S399" s="11"/>
    </row>
    <row r="400" spans="1:19" ht="15.75">
      <c r="A400" s="13">
        <v>53692</v>
      </c>
      <c r="B400" s="8">
        <f>11.8055 * CHOOSE(CONTROL!$C$15, $D$11, 100%, $F$11)</f>
        <v>11.8055</v>
      </c>
      <c r="C400" s="8">
        <f>11.8162 * CHOOSE(CONTROL!$C$15, $D$11, 100%, $F$11)</f>
        <v>11.8162</v>
      </c>
      <c r="D400" s="8">
        <f>11.8007 * CHOOSE( CONTROL!$C$15, $D$11, 100%, $F$11)</f>
        <v>11.800700000000001</v>
      </c>
      <c r="E400" s="12">
        <f>11.8052 * CHOOSE( CONTROL!$C$15, $D$11, 100%, $F$11)</f>
        <v>11.805199999999999</v>
      </c>
      <c r="F400" s="4">
        <f>12.464 * CHOOSE(CONTROL!$C$15, $D$11, 100%, $F$11)</f>
        <v>12.464</v>
      </c>
      <c r="G400" s="8">
        <f>11.5421 * CHOOSE( CONTROL!$C$15, $D$11, 100%, $F$11)</f>
        <v>11.5421</v>
      </c>
      <c r="H400" s="4">
        <f>12.4202 * CHOOSE(CONTROL!$C$15, $D$11, 100%, $F$11)</f>
        <v>12.420199999999999</v>
      </c>
      <c r="I400" s="8">
        <f>11.4799 * CHOOSE(CONTROL!$C$15, $D$11, 100%, $F$11)</f>
        <v>11.479900000000001</v>
      </c>
      <c r="J400" s="4">
        <f>11.32 * CHOOSE(CONTROL!$C$15, $D$11, 100%, $F$11)</f>
        <v>11.32</v>
      </c>
      <c r="K400" s="4"/>
      <c r="L400" s="9">
        <v>29.306000000000001</v>
      </c>
      <c r="M400" s="9">
        <v>12.063700000000001</v>
      </c>
      <c r="N400" s="9">
        <v>4.9444999999999997</v>
      </c>
      <c r="O400" s="9">
        <v>0.37409999999999999</v>
      </c>
      <c r="P400" s="9">
        <v>1.2927</v>
      </c>
      <c r="Q400" s="9">
        <v>20.331700000000001</v>
      </c>
      <c r="R400" s="9"/>
      <c r="S400" s="11"/>
    </row>
    <row r="401" spans="1:19" ht="15.75">
      <c r="A401" s="13">
        <v>53723</v>
      </c>
      <c r="B401" s="8">
        <f>12.1533 * CHOOSE(CONTROL!$C$15, $D$11, 100%, $F$11)</f>
        <v>12.1533</v>
      </c>
      <c r="C401" s="8">
        <f>12.164 * CHOOSE(CONTROL!$C$15, $D$11, 100%, $F$11)</f>
        <v>12.164</v>
      </c>
      <c r="D401" s="8">
        <f>12.1454 * CHOOSE( CONTROL!$C$15, $D$11, 100%, $F$11)</f>
        <v>12.1454</v>
      </c>
      <c r="E401" s="12">
        <f>12.1511 * CHOOSE( CONTROL!$C$15, $D$11, 100%, $F$11)</f>
        <v>12.1511</v>
      </c>
      <c r="F401" s="4">
        <f>12.8118 * CHOOSE(CONTROL!$C$15, $D$11, 100%, $F$11)</f>
        <v>12.8118</v>
      </c>
      <c r="G401" s="8">
        <f>11.8746 * CHOOSE( CONTROL!$C$15, $D$11, 100%, $F$11)</f>
        <v>11.874599999999999</v>
      </c>
      <c r="H401" s="4">
        <f>12.7602 * CHOOSE(CONTROL!$C$15, $D$11, 100%, $F$11)</f>
        <v>12.760199999999999</v>
      </c>
      <c r="I401" s="8">
        <f>11.7788 * CHOOSE(CONTROL!$C$15, $D$11, 100%, $F$11)</f>
        <v>11.7788</v>
      </c>
      <c r="J401" s="4">
        <f>11.6539 * CHOOSE(CONTROL!$C$15, $D$11, 100%, $F$11)</f>
        <v>11.6539</v>
      </c>
      <c r="K401" s="4"/>
      <c r="L401" s="9">
        <v>29.306000000000001</v>
      </c>
      <c r="M401" s="9">
        <v>12.063700000000001</v>
      </c>
      <c r="N401" s="9">
        <v>4.9444999999999997</v>
      </c>
      <c r="O401" s="9">
        <v>0.37409999999999999</v>
      </c>
      <c r="P401" s="9">
        <v>1.2927</v>
      </c>
      <c r="Q401" s="9">
        <v>20.2666</v>
      </c>
      <c r="R401" s="9"/>
      <c r="S401" s="11"/>
    </row>
    <row r="402" spans="1:19" ht="15.75">
      <c r="A402" s="13">
        <v>53751</v>
      </c>
      <c r="B402" s="8">
        <f>11.3685 * CHOOSE(CONTROL!$C$15, $D$11, 100%, $F$11)</f>
        <v>11.368499999999999</v>
      </c>
      <c r="C402" s="8">
        <f>11.3793 * CHOOSE(CONTROL!$C$15, $D$11, 100%, $F$11)</f>
        <v>11.379300000000001</v>
      </c>
      <c r="D402" s="8">
        <f>11.3606 * CHOOSE( CONTROL!$C$15, $D$11, 100%, $F$11)</f>
        <v>11.3606</v>
      </c>
      <c r="E402" s="12">
        <f>11.3663 * CHOOSE( CONTROL!$C$15, $D$11, 100%, $F$11)</f>
        <v>11.366300000000001</v>
      </c>
      <c r="F402" s="4">
        <f>12.0271 * CHOOSE(CONTROL!$C$15, $D$11, 100%, $F$11)</f>
        <v>12.027100000000001</v>
      </c>
      <c r="G402" s="8">
        <f>11.1073 * CHOOSE( CONTROL!$C$15, $D$11, 100%, $F$11)</f>
        <v>11.1073</v>
      </c>
      <c r="H402" s="4">
        <f>11.993 * CHOOSE(CONTROL!$C$15, $D$11, 100%, $F$11)</f>
        <v>11.993</v>
      </c>
      <c r="I402" s="8">
        <f>11.0247 * CHOOSE(CONTROL!$C$15, $D$11, 100%, $F$11)</f>
        <v>11.024699999999999</v>
      </c>
      <c r="J402" s="4">
        <f>10.9005 * CHOOSE(CONTROL!$C$15, $D$11, 100%, $F$11)</f>
        <v>10.900499999999999</v>
      </c>
      <c r="K402" s="4"/>
      <c r="L402" s="9">
        <v>26.469899999999999</v>
      </c>
      <c r="M402" s="9">
        <v>10.8962</v>
      </c>
      <c r="N402" s="9">
        <v>4.4660000000000002</v>
      </c>
      <c r="O402" s="9">
        <v>0.33789999999999998</v>
      </c>
      <c r="P402" s="9">
        <v>1.1676</v>
      </c>
      <c r="Q402" s="9">
        <v>18.305299999999999</v>
      </c>
      <c r="R402" s="9"/>
      <c r="S402" s="11"/>
    </row>
    <row r="403" spans="1:19" ht="15.75">
      <c r="A403" s="13">
        <v>53782</v>
      </c>
      <c r="B403" s="8">
        <f>11.1269 * CHOOSE(CONTROL!$C$15, $D$11, 100%, $F$11)</f>
        <v>11.126899999999999</v>
      </c>
      <c r="C403" s="8">
        <f>11.1376 * CHOOSE(CONTROL!$C$15, $D$11, 100%, $F$11)</f>
        <v>11.137600000000001</v>
      </c>
      <c r="D403" s="8">
        <f>11.1184 * CHOOSE( CONTROL!$C$15, $D$11, 100%, $F$11)</f>
        <v>11.118399999999999</v>
      </c>
      <c r="E403" s="12">
        <f>11.1243 * CHOOSE( CONTROL!$C$15, $D$11, 100%, $F$11)</f>
        <v>11.1243</v>
      </c>
      <c r="F403" s="4">
        <f>11.7854 * CHOOSE(CONTROL!$C$15, $D$11, 100%, $F$11)</f>
        <v>11.785399999999999</v>
      </c>
      <c r="G403" s="8">
        <f>10.8707 * CHOOSE( CONTROL!$C$15, $D$11, 100%, $F$11)</f>
        <v>10.870699999999999</v>
      </c>
      <c r="H403" s="4">
        <f>11.7567 * CHOOSE(CONTROL!$C$15, $D$11, 100%, $F$11)</f>
        <v>11.7567</v>
      </c>
      <c r="I403" s="8">
        <f>10.7911 * CHOOSE(CONTROL!$C$15, $D$11, 100%, $F$11)</f>
        <v>10.7911</v>
      </c>
      <c r="J403" s="4">
        <f>10.6684 * CHOOSE(CONTROL!$C$15, $D$11, 100%, $F$11)</f>
        <v>10.6684</v>
      </c>
      <c r="K403" s="4"/>
      <c r="L403" s="9">
        <v>29.306000000000001</v>
      </c>
      <c r="M403" s="9">
        <v>12.063700000000001</v>
      </c>
      <c r="N403" s="9">
        <v>4.9444999999999997</v>
      </c>
      <c r="O403" s="9">
        <v>0.37409999999999999</v>
      </c>
      <c r="P403" s="9">
        <v>1.2927</v>
      </c>
      <c r="Q403" s="9">
        <v>20.2666</v>
      </c>
      <c r="R403" s="9"/>
      <c r="S403" s="11"/>
    </row>
    <row r="404" spans="1:19" ht="15.75">
      <c r="A404" s="13">
        <v>53812</v>
      </c>
      <c r="B404" s="8">
        <f>11.2957 * CHOOSE(CONTROL!$C$15, $D$11, 100%, $F$11)</f>
        <v>11.2957</v>
      </c>
      <c r="C404" s="8">
        <f>11.3065 * CHOOSE(CONTROL!$C$15, $D$11, 100%, $F$11)</f>
        <v>11.3065</v>
      </c>
      <c r="D404" s="8">
        <f>11.3434 * CHOOSE( CONTROL!$C$15, $D$11, 100%, $F$11)</f>
        <v>11.343400000000001</v>
      </c>
      <c r="E404" s="12">
        <f>11.33 * CHOOSE( CONTROL!$C$15, $D$11, 100%, $F$11)</f>
        <v>11.33</v>
      </c>
      <c r="F404" s="4">
        <f>12.035 * CHOOSE(CONTROL!$C$15, $D$11, 100%, $F$11)</f>
        <v>12.035</v>
      </c>
      <c r="G404" s="8">
        <f>11.035 * CHOOSE( CONTROL!$C$15, $D$11, 100%, $F$11)</f>
        <v>11.035</v>
      </c>
      <c r="H404" s="4">
        <f>12.0007 * CHOOSE(CONTROL!$C$15, $D$11, 100%, $F$11)</f>
        <v>12.0007</v>
      </c>
      <c r="I404" s="8">
        <f>10.9452 * CHOOSE(CONTROL!$C$15, $D$11, 100%, $F$11)</f>
        <v>10.9452</v>
      </c>
      <c r="J404" s="4">
        <f>10.8306 * CHOOSE(CONTROL!$C$15, $D$11, 100%, $F$11)</f>
        <v>10.8306</v>
      </c>
      <c r="K404" s="4"/>
      <c r="L404" s="9">
        <v>30.092199999999998</v>
      </c>
      <c r="M404" s="9">
        <v>11.6745</v>
      </c>
      <c r="N404" s="9">
        <v>4.7850000000000001</v>
      </c>
      <c r="O404" s="9">
        <v>0.36199999999999999</v>
      </c>
      <c r="P404" s="9">
        <v>1.1791</v>
      </c>
      <c r="Q404" s="9">
        <v>19.6128</v>
      </c>
      <c r="R404" s="9"/>
      <c r="S404" s="11"/>
    </row>
    <row r="405" spans="1:19" ht="15.75">
      <c r="A405" s="13">
        <v>53843</v>
      </c>
      <c r="B405" s="8">
        <f>CHOOSE( CONTROL!$C$32, 11.5986, 11.5962) * CHOOSE(CONTROL!$C$15, $D$11, 100%, $F$11)</f>
        <v>11.598599999999999</v>
      </c>
      <c r="C405" s="8">
        <f>CHOOSE( CONTROL!$C$32, 11.6092, 11.6068) * CHOOSE(CONTROL!$C$15, $D$11, 100%, $F$11)</f>
        <v>11.6092</v>
      </c>
      <c r="D405" s="8">
        <f>CHOOSE( CONTROL!$C$32, 11.645, 11.6426) * CHOOSE( CONTROL!$C$15, $D$11, 100%, $F$11)</f>
        <v>11.645</v>
      </c>
      <c r="E405" s="12">
        <f>CHOOSE( CONTROL!$C$32, 11.6304, 11.628) * CHOOSE( CONTROL!$C$15, $D$11, 100%, $F$11)</f>
        <v>11.6304</v>
      </c>
      <c r="F405" s="4">
        <f>CHOOSE( CONTROL!$C$32, 12.3379, 12.3355) * CHOOSE(CONTROL!$C$15, $D$11, 100%, $F$11)</f>
        <v>12.337899999999999</v>
      </c>
      <c r="G405" s="8">
        <f>CHOOSE( CONTROL!$C$32, 11.3317, 11.3294) * CHOOSE( CONTROL!$C$15, $D$11, 100%, $F$11)</f>
        <v>11.3317</v>
      </c>
      <c r="H405" s="4">
        <f>CHOOSE( CONTROL!$C$32, 12.2969, 12.2946) * CHOOSE(CONTROL!$C$15, $D$11, 100%, $F$11)</f>
        <v>12.296900000000001</v>
      </c>
      <c r="I405" s="8">
        <f>CHOOSE( CONTROL!$C$32, 11.2363, 11.234) * CHOOSE(CONTROL!$C$15, $D$11, 100%, $F$11)</f>
        <v>11.2363</v>
      </c>
      <c r="J405" s="4">
        <f>CHOOSE( CONTROL!$C$32, 11.1215, 11.1192) * CHOOSE(CONTROL!$C$15, $D$11, 100%, $F$11)</f>
        <v>11.121499999999999</v>
      </c>
      <c r="K405" s="4"/>
      <c r="L405" s="9">
        <v>30.7165</v>
      </c>
      <c r="M405" s="9">
        <v>12.063700000000001</v>
      </c>
      <c r="N405" s="9">
        <v>4.9444999999999997</v>
      </c>
      <c r="O405" s="9">
        <v>0.37409999999999999</v>
      </c>
      <c r="P405" s="9">
        <v>1.2183999999999999</v>
      </c>
      <c r="Q405" s="9">
        <v>20.2666</v>
      </c>
      <c r="R405" s="9"/>
      <c r="S405" s="11"/>
    </row>
    <row r="406" spans="1:19" ht="15.75">
      <c r="A406" s="13">
        <v>53873</v>
      </c>
      <c r="B406" s="8">
        <f>CHOOSE( CONTROL!$C$32, 11.4124, 11.41) * CHOOSE(CONTROL!$C$15, $D$11, 100%, $F$11)</f>
        <v>11.4124</v>
      </c>
      <c r="C406" s="8">
        <f>CHOOSE( CONTROL!$C$32, 11.423, 11.4206) * CHOOSE(CONTROL!$C$15, $D$11, 100%, $F$11)</f>
        <v>11.423</v>
      </c>
      <c r="D406" s="8">
        <f>CHOOSE( CONTROL!$C$32, 11.459, 11.4566) * CHOOSE( CONTROL!$C$15, $D$11, 100%, $F$11)</f>
        <v>11.459</v>
      </c>
      <c r="E406" s="12">
        <f>CHOOSE( CONTROL!$C$32, 11.4443, 11.4419) * CHOOSE( CONTROL!$C$15, $D$11, 100%, $F$11)</f>
        <v>11.4443</v>
      </c>
      <c r="F406" s="4">
        <f>CHOOSE( CONTROL!$C$32, 12.1517, 12.1494) * CHOOSE(CONTROL!$C$15, $D$11, 100%, $F$11)</f>
        <v>12.1517</v>
      </c>
      <c r="G406" s="8">
        <f>CHOOSE( CONTROL!$C$32, 11.15, 11.1476) * CHOOSE( CONTROL!$C$15, $D$11, 100%, $F$11)</f>
        <v>11.15</v>
      </c>
      <c r="H406" s="4">
        <f>CHOOSE( CONTROL!$C$32, 12.1149, 12.1125) * CHOOSE(CONTROL!$C$15, $D$11, 100%, $F$11)</f>
        <v>12.1149</v>
      </c>
      <c r="I406" s="8">
        <f>CHOOSE( CONTROL!$C$32, 11.0583, 11.056) * CHOOSE(CONTROL!$C$15, $D$11, 100%, $F$11)</f>
        <v>11.058299999999999</v>
      </c>
      <c r="J406" s="4">
        <f>CHOOSE( CONTROL!$C$32, 10.9427, 10.9404) * CHOOSE(CONTROL!$C$15, $D$11, 100%, $F$11)</f>
        <v>10.9427</v>
      </c>
      <c r="K406" s="4"/>
      <c r="L406" s="9">
        <v>29.7257</v>
      </c>
      <c r="M406" s="9">
        <v>11.6745</v>
      </c>
      <c r="N406" s="9">
        <v>4.7850000000000001</v>
      </c>
      <c r="O406" s="9">
        <v>0.36199999999999999</v>
      </c>
      <c r="P406" s="9">
        <v>1.1791</v>
      </c>
      <c r="Q406" s="9">
        <v>19.6128</v>
      </c>
      <c r="R406" s="9"/>
      <c r="S406" s="11"/>
    </row>
    <row r="407" spans="1:19" ht="15.75">
      <c r="A407" s="13">
        <v>53904</v>
      </c>
      <c r="B407" s="8">
        <f>CHOOSE( CONTROL!$C$32, 11.9027, 11.9003) * CHOOSE(CONTROL!$C$15, $D$11, 100%, $F$11)</f>
        <v>11.902699999999999</v>
      </c>
      <c r="C407" s="8">
        <f>CHOOSE( CONTROL!$C$32, 11.9133, 11.9109) * CHOOSE(CONTROL!$C$15, $D$11, 100%, $F$11)</f>
        <v>11.9133</v>
      </c>
      <c r="D407" s="8">
        <f>CHOOSE( CONTROL!$C$32, 11.9495, 11.9471) * CHOOSE( CONTROL!$C$15, $D$11, 100%, $F$11)</f>
        <v>11.9495</v>
      </c>
      <c r="E407" s="12">
        <f>CHOOSE( CONTROL!$C$32, 11.9348, 11.9324) * CHOOSE( CONTROL!$C$15, $D$11, 100%, $F$11)</f>
        <v>11.934799999999999</v>
      </c>
      <c r="F407" s="4">
        <f>CHOOSE( CONTROL!$C$32, 12.6421, 12.6397) * CHOOSE(CONTROL!$C$15, $D$11, 100%, $F$11)</f>
        <v>12.642099999999999</v>
      </c>
      <c r="G407" s="8">
        <f>CHOOSE( CONTROL!$C$32, 11.6297, 11.6274) * CHOOSE( CONTROL!$C$15, $D$11, 100%, $F$11)</f>
        <v>11.6297</v>
      </c>
      <c r="H407" s="4">
        <f>CHOOSE( CONTROL!$C$32, 12.5943, 12.5919) * CHOOSE(CONTROL!$C$15, $D$11, 100%, $F$11)</f>
        <v>12.5943</v>
      </c>
      <c r="I407" s="8">
        <f>CHOOSE( CONTROL!$C$32, 11.5304, 11.5281) * CHOOSE(CONTROL!$C$15, $D$11, 100%, $F$11)</f>
        <v>11.5304</v>
      </c>
      <c r="J407" s="4">
        <f>CHOOSE( CONTROL!$C$32, 11.4135, 11.4112) * CHOOSE(CONTROL!$C$15, $D$11, 100%, $F$11)</f>
        <v>11.413500000000001</v>
      </c>
      <c r="K407" s="4"/>
      <c r="L407" s="9">
        <v>30.7165</v>
      </c>
      <c r="M407" s="9">
        <v>12.063700000000001</v>
      </c>
      <c r="N407" s="9">
        <v>4.9444999999999997</v>
      </c>
      <c r="O407" s="9">
        <v>0.37409999999999999</v>
      </c>
      <c r="P407" s="9">
        <v>1.2183999999999999</v>
      </c>
      <c r="Q407" s="9">
        <v>20.2666</v>
      </c>
      <c r="R407" s="9"/>
      <c r="S407" s="11"/>
    </row>
    <row r="408" spans="1:19" ht="15.75">
      <c r="A408" s="13">
        <v>53935</v>
      </c>
      <c r="B408" s="8">
        <f>CHOOSE( CONTROL!$C$32, 10.9852, 10.9829) * CHOOSE(CONTROL!$C$15, $D$11, 100%, $F$11)</f>
        <v>10.985200000000001</v>
      </c>
      <c r="C408" s="8">
        <f>CHOOSE( CONTROL!$C$32, 10.9958, 10.9934) * CHOOSE(CONTROL!$C$15, $D$11, 100%, $F$11)</f>
        <v>10.995799999999999</v>
      </c>
      <c r="D408" s="8">
        <f>CHOOSE( CONTROL!$C$32, 11.0321, 11.0297) * CHOOSE( CONTROL!$C$15, $D$11, 100%, $F$11)</f>
        <v>11.0321</v>
      </c>
      <c r="E408" s="12">
        <f>CHOOSE( CONTROL!$C$32, 11.0173, 11.0149) * CHOOSE( CONTROL!$C$15, $D$11, 100%, $F$11)</f>
        <v>11.017300000000001</v>
      </c>
      <c r="F408" s="4">
        <f>CHOOSE( CONTROL!$C$32, 11.7246, 11.7222) * CHOOSE(CONTROL!$C$15, $D$11, 100%, $F$11)</f>
        <v>11.724600000000001</v>
      </c>
      <c r="G408" s="8">
        <f>CHOOSE( CONTROL!$C$32, 10.7328, 10.7304) * CHOOSE( CONTROL!$C$15, $D$11, 100%, $F$11)</f>
        <v>10.732799999999999</v>
      </c>
      <c r="H408" s="4">
        <f>CHOOSE( CONTROL!$C$32, 11.6973, 11.6949) * CHOOSE(CONTROL!$C$15, $D$11, 100%, $F$11)</f>
        <v>11.6973</v>
      </c>
      <c r="I408" s="8">
        <f>CHOOSE( CONTROL!$C$32, 10.6493, 10.647) * CHOOSE(CONTROL!$C$15, $D$11, 100%, $F$11)</f>
        <v>10.6493</v>
      </c>
      <c r="J408" s="4">
        <f>CHOOSE( CONTROL!$C$32, 10.5326, 10.5303) * CHOOSE(CONTROL!$C$15, $D$11, 100%, $F$11)</f>
        <v>10.5326</v>
      </c>
      <c r="K408" s="4"/>
      <c r="L408" s="9">
        <v>30.7165</v>
      </c>
      <c r="M408" s="9">
        <v>12.063700000000001</v>
      </c>
      <c r="N408" s="9">
        <v>4.9444999999999997</v>
      </c>
      <c r="O408" s="9">
        <v>0.37409999999999999</v>
      </c>
      <c r="P408" s="9">
        <v>1.2183999999999999</v>
      </c>
      <c r="Q408" s="9">
        <v>20.2666</v>
      </c>
      <c r="R408" s="9"/>
      <c r="S408" s="11"/>
    </row>
    <row r="409" spans="1:19" ht="15.75">
      <c r="A409" s="13">
        <v>53965</v>
      </c>
      <c r="B409" s="8">
        <f>CHOOSE( CONTROL!$C$32, 10.7555, 10.7531) * CHOOSE(CONTROL!$C$15, $D$11, 100%, $F$11)</f>
        <v>10.7555</v>
      </c>
      <c r="C409" s="8">
        <f>CHOOSE( CONTROL!$C$32, 10.7661, 10.7637) * CHOOSE(CONTROL!$C$15, $D$11, 100%, $F$11)</f>
        <v>10.7661</v>
      </c>
      <c r="D409" s="8">
        <f>CHOOSE( CONTROL!$C$32, 10.8023, 10.7999) * CHOOSE( CONTROL!$C$15, $D$11, 100%, $F$11)</f>
        <v>10.802300000000001</v>
      </c>
      <c r="E409" s="12">
        <f>CHOOSE( CONTROL!$C$32, 10.7876, 10.7852) * CHOOSE( CONTROL!$C$15, $D$11, 100%, $F$11)</f>
        <v>10.787599999999999</v>
      </c>
      <c r="F409" s="4">
        <f>CHOOSE( CONTROL!$C$32, 11.4949, 11.4925) * CHOOSE(CONTROL!$C$15, $D$11, 100%, $F$11)</f>
        <v>11.494899999999999</v>
      </c>
      <c r="G409" s="8">
        <f>CHOOSE( CONTROL!$C$32, 10.5081, 10.5057) * CHOOSE( CONTROL!$C$15, $D$11, 100%, $F$11)</f>
        <v>10.508100000000001</v>
      </c>
      <c r="H409" s="4">
        <f>CHOOSE( CONTROL!$C$32, 11.4726, 11.4703) * CHOOSE(CONTROL!$C$15, $D$11, 100%, $F$11)</f>
        <v>11.4726</v>
      </c>
      <c r="I409" s="8">
        <f>CHOOSE( CONTROL!$C$32, 10.4283, 10.426) * CHOOSE(CONTROL!$C$15, $D$11, 100%, $F$11)</f>
        <v>10.4283</v>
      </c>
      <c r="J409" s="4">
        <f>CHOOSE( CONTROL!$C$32, 10.312, 10.3097) * CHOOSE(CONTROL!$C$15, $D$11, 100%, $F$11)</f>
        <v>10.311999999999999</v>
      </c>
      <c r="K409" s="4"/>
      <c r="L409" s="9">
        <v>29.7257</v>
      </c>
      <c r="M409" s="9">
        <v>11.6745</v>
      </c>
      <c r="N409" s="9">
        <v>4.7850000000000001</v>
      </c>
      <c r="O409" s="9">
        <v>0.36199999999999999</v>
      </c>
      <c r="P409" s="9">
        <v>1.1791</v>
      </c>
      <c r="Q409" s="9">
        <v>19.6128</v>
      </c>
      <c r="R409" s="9"/>
      <c r="S409" s="11"/>
    </row>
    <row r="410" spans="1:19" ht="15.75">
      <c r="A410" s="13">
        <v>53996</v>
      </c>
      <c r="B410" s="8">
        <f>11.2303 * CHOOSE(CONTROL!$C$15, $D$11, 100%, $F$11)</f>
        <v>11.2303</v>
      </c>
      <c r="C410" s="8">
        <f>11.241 * CHOOSE(CONTROL!$C$15, $D$11, 100%, $F$11)</f>
        <v>11.241</v>
      </c>
      <c r="D410" s="8">
        <f>11.2786 * CHOOSE( CONTROL!$C$15, $D$11, 100%, $F$11)</f>
        <v>11.278600000000001</v>
      </c>
      <c r="E410" s="12">
        <f>11.265 * CHOOSE( CONTROL!$C$15, $D$11, 100%, $F$11)</f>
        <v>11.265000000000001</v>
      </c>
      <c r="F410" s="4">
        <f>11.9695 * CHOOSE(CONTROL!$C$15, $D$11, 100%, $F$11)</f>
        <v>11.9695</v>
      </c>
      <c r="G410" s="8">
        <f>10.9719 * CHOOSE( CONTROL!$C$15, $D$11, 100%, $F$11)</f>
        <v>10.9719</v>
      </c>
      <c r="H410" s="4">
        <f>11.9367 * CHOOSE(CONTROL!$C$15, $D$11, 100%, $F$11)</f>
        <v>11.9367</v>
      </c>
      <c r="I410" s="8">
        <f>10.885 * CHOOSE(CONTROL!$C$15, $D$11, 100%, $F$11)</f>
        <v>10.885</v>
      </c>
      <c r="J410" s="4">
        <f>10.7677 * CHOOSE(CONTROL!$C$15, $D$11, 100%, $F$11)</f>
        <v>10.7677</v>
      </c>
      <c r="K410" s="4"/>
      <c r="L410" s="9">
        <v>31.095300000000002</v>
      </c>
      <c r="M410" s="9">
        <v>12.063700000000001</v>
      </c>
      <c r="N410" s="9">
        <v>4.9444999999999997</v>
      </c>
      <c r="O410" s="9">
        <v>0.37409999999999999</v>
      </c>
      <c r="P410" s="9">
        <v>1.2183999999999999</v>
      </c>
      <c r="Q410" s="9">
        <v>20.2666</v>
      </c>
      <c r="R410" s="9"/>
      <c r="S410" s="11"/>
    </row>
    <row r="411" spans="1:19" ht="15.75">
      <c r="A411" s="13">
        <v>54026</v>
      </c>
      <c r="B411" s="8">
        <f>12.1108 * CHOOSE(CONTROL!$C$15, $D$11, 100%, $F$11)</f>
        <v>12.110799999999999</v>
      </c>
      <c r="C411" s="8">
        <f>12.1215 * CHOOSE(CONTROL!$C$15, $D$11, 100%, $F$11)</f>
        <v>12.121499999999999</v>
      </c>
      <c r="D411" s="8">
        <f>12.1043 * CHOOSE( CONTROL!$C$15, $D$11, 100%, $F$11)</f>
        <v>12.1043</v>
      </c>
      <c r="E411" s="12">
        <f>12.1094 * CHOOSE( CONTROL!$C$15, $D$11, 100%, $F$11)</f>
        <v>12.109400000000001</v>
      </c>
      <c r="F411" s="4">
        <f>12.7693 * CHOOSE(CONTROL!$C$15, $D$11, 100%, $F$11)</f>
        <v>12.769299999999999</v>
      </c>
      <c r="G411" s="8">
        <f>11.8394 * CHOOSE( CONTROL!$C$15, $D$11, 100%, $F$11)</f>
        <v>11.839399999999999</v>
      </c>
      <c r="H411" s="4">
        <f>12.7186 * CHOOSE(CONTROL!$C$15, $D$11, 100%, $F$11)</f>
        <v>12.7186</v>
      </c>
      <c r="I411" s="8">
        <f>11.7679 * CHOOSE(CONTROL!$C$15, $D$11, 100%, $F$11)</f>
        <v>11.767899999999999</v>
      </c>
      <c r="J411" s="4">
        <f>11.6131 * CHOOSE(CONTROL!$C$15, $D$11, 100%, $F$11)</f>
        <v>11.613099999999999</v>
      </c>
      <c r="K411" s="4"/>
      <c r="L411" s="9">
        <v>28.360600000000002</v>
      </c>
      <c r="M411" s="9">
        <v>11.6745</v>
      </c>
      <c r="N411" s="9">
        <v>4.7850000000000001</v>
      </c>
      <c r="O411" s="9">
        <v>0.36199999999999999</v>
      </c>
      <c r="P411" s="9">
        <v>1.2509999999999999</v>
      </c>
      <c r="Q411" s="9">
        <v>19.6128</v>
      </c>
      <c r="R411" s="9"/>
      <c r="S411" s="11"/>
    </row>
    <row r="412" spans="1:19" ht="15.75">
      <c r="A412" s="13">
        <v>54057</v>
      </c>
      <c r="B412" s="8">
        <f>12.0888 * CHOOSE(CONTROL!$C$15, $D$11, 100%, $F$11)</f>
        <v>12.088800000000001</v>
      </c>
      <c r="C412" s="8">
        <f>12.0995 * CHOOSE(CONTROL!$C$15, $D$11, 100%, $F$11)</f>
        <v>12.099500000000001</v>
      </c>
      <c r="D412" s="8">
        <f>12.084 * CHOOSE( CONTROL!$C$15, $D$11, 100%, $F$11)</f>
        <v>12.084</v>
      </c>
      <c r="E412" s="12">
        <f>12.0885 * CHOOSE( CONTROL!$C$15, $D$11, 100%, $F$11)</f>
        <v>12.0885</v>
      </c>
      <c r="F412" s="4">
        <f>12.7473 * CHOOSE(CONTROL!$C$15, $D$11, 100%, $F$11)</f>
        <v>12.747299999999999</v>
      </c>
      <c r="G412" s="8">
        <f>11.8191 * CHOOSE( CONTROL!$C$15, $D$11, 100%, $F$11)</f>
        <v>11.819100000000001</v>
      </c>
      <c r="H412" s="4">
        <f>12.6971 * CHOOSE(CONTROL!$C$15, $D$11, 100%, $F$11)</f>
        <v>12.697100000000001</v>
      </c>
      <c r="I412" s="8">
        <f>11.752 * CHOOSE(CONTROL!$C$15, $D$11, 100%, $F$11)</f>
        <v>11.752000000000001</v>
      </c>
      <c r="J412" s="4">
        <f>11.592 * CHOOSE(CONTROL!$C$15, $D$11, 100%, $F$11)</f>
        <v>11.592000000000001</v>
      </c>
      <c r="K412" s="4"/>
      <c r="L412" s="9">
        <v>29.306000000000001</v>
      </c>
      <c r="M412" s="9">
        <v>12.063700000000001</v>
      </c>
      <c r="N412" s="9">
        <v>4.9444999999999997</v>
      </c>
      <c r="O412" s="9">
        <v>0.37409999999999999</v>
      </c>
      <c r="P412" s="9">
        <v>1.2927</v>
      </c>
      <c r="Q412" s="9">
        <v>20.2666</v>
      </c>
      <c r="R412" s="9"/>
      <c r="S412" s="11"/>
    </row>
    <row r="413" spans="1:19" ht="15.75">
      <c r="A413" s="13">
        <v>54088</v>
      </c>
      <c r="B413" s="8">
        <f>12.4449 * CHOOSE(CONTROL!$C$15, $D$11, 100%, $F$11)</f>
        <v>12.444900000000001</v>
      </c>
      <c r="C413" s="8">
        <f>12.4557 * CHOOSE(CONTROL!$C$15, $D$11, 100%, $F$11)</f>
        <v>12.4557</v>
      </c>
      <c r="D413" s="8">
        <f>12.4371 * CHOOSE( CONTROL!$C$15, $D$11, 100%, $F$11)</f>
        <v>12.437099999999999</v>
      </c>
      <c r="E413" s="12">
        <f>12.4428 * CHOOSE( CONTROL!$C$15, $D$11, 100%, $F$11)</f>
        <v>12.4428</v>
      </c>
      <c r="F413" s="4">
        <f>13.1034 * CHOOSE(CONTROL!$C$15, $D$11, 100%, $F$11)</f>
        <v>13.103400000000001</v>
      </c>
      <c r="G413" s="8">
        <f>12.1597 * CHOOSE( CONTROL!$C$15, $D$11, 100%, $F$11)</f>
        <v>12.159700000000001</v>
      </c>
      <c r="H413" s="4">
        <f>13.0453 * CHOOSE(CONTROL!$C$15, $D$11, 100%, $F$11)</f>
        <v>13.045299999999999</v>
      </c>
      <c r="I413" s="8">
        <f>12.059 * CHOOSE(CONTROL!$C$15, $D$11, 100%, $F$11)</f>
        <v>12.058999999999999</v>
      </c>
      <c r="J413" s="4">
        <f>11.9339 * CHOOSE(CONTROL!$C$15, $D$11, 100%, $F$11)</f>
        <v>11.9339</v>
      </c>
      <c r="K413" s="4"/>
      <c r="L413" s="9">
        <v>29.306000000000001</v>
      </c>
      <c r="M413" s="9">
        <v>12.063700000000001</v>
      </c>
      <c r="N413" s="9">
        <v>4.9444999999999997</v>
      </c>
      <c r="O413" s="9">
        <v>0.37409999999999999</v>
      </c>
      <c r="P413" s="9">
        <v>1.2927</v>
      </c>
      <c r="Q413" s="9">
        <v>20.201499999999999</v>
      </c>
      <c r="R413" s="9"/>
      <c r="S413" s="11"/>
    </row>
    <row r="414" spans="1:19" ht="15.75">
      <c r="A414" s="13">
        <v>54116</v>
      </c>
      <c r="B414" s="8">
        <f>11.6413 * CHOOSE(CONTROL!$C$15, $D$11, 100%, $F$11)</f>
        <v>11.641299999999999</v>
      </c>
      <c r="C414" s="8">
        <f>11.6521 * CHOOSE(CONTROL!$C$15, $D$11, 100%, $F$11)</f>
        <v>11.652100000000001</v>
      </c>
      <c r="D414" s="8">
        <f>11.6334 * CHOOSE( CONTROL!$C$15, $D$11, 100%, $F$11)</f>
        <v>11.6334</v>
      </c>
      <c r="E414" s="12">
        <f>11.6391 * CHOOSE( CONTROL!$C$15, $D$11, 100%, $F$11)</f>
        <v>11.639099999999999</v>
      </c>
      <c r="F414" s="4">
        <f>12.2998 * CHOOSE(CONTROL!$C$15, $D$11, 100%, $F$11)</f>
        <v>12.299799999999999</v>
      </c>
      <c r="G414" s="8">
        <f>11.374 * CHOOSE( CONTROL!$C$15, $D$11, 100%, $F$11)</f>
        <v>11.374000000000001</v>
      </c>
      <c r="H414" s="4">
        <f>12.2597 * CHOOSE(CONTROL!$C$15, $D$11, 100%, $F$11)</f>
        <v>12.2597</v>
      </c>
      <c r="I414" s="8">
        <f>11.2868 * CHOOSE(CONTROL!$C$15, $D$11, 100%, $F$11)</f>
        <v>11.286799999999999</v>
      </c>
      <c r="J414" s="4">
        <f>11.1624 * CHOOSE(CONTROL!$C$15, $D$11, 100%, $F$11)</f>
        <v>11.1624</v>
      </c>
      <c r="K414" s="4"/>
      <c r="L414" s="9">
        <v>27.415299999999998</v>
      </c>
      <c r="M414" s="9">
        <v>11.285299999999999</v>
      </c>
      <c r="N414" s="9">
        <v>4.6254999999999997</v>
      </c>
      <c r="O414" s="9">
        <v>0.34989999999999999</v>
      </c>
      <c r="P414" s="9">
        <v>1.2093</v>
      </c>
      <c r="Q414" s="9">
        <v>18.898099999999999</v>
      </c>
      <c r="R414" s="9"/>
      <c r="S414" s="11"/>
    </row>
    <row r="415" spans="1:19" ht="15.75">
      <c r="A415" s="13">
        <v>54148</v>
      </c>
      <c r="B415" s="8">
        <f>11.3938 * CHOOSE(CONTROL!$C$15, $D$11, 100%, $F$11)</f>
        <v>11.393800000000001</v>
      </c>
      <c r="C415" s="8">
        <f>11.4046 * CHOOSE(CONTROL!$C$15, $D$11, 100%, $F$11)</f>
        <v>11.4046</v>
      </c>
      <c r="D415" s="8">
        <f>11.3854 * CHOOSE( CONTROL!$C$15, $D$11, 100%, $F$11)</f>
        <v>11.385400000000001</v>
      </c>
      <c r="E415" s="12">
        <f>11.3913 * CHOOSE( CONTROL!$C$15, $D$11, 100%, $F$11)</f>
        <v>11.391299999999999</v>
      </c>
      <c r="F415" s="4">
        <f>12.0523 * CHOOSE(CONTROL!$C$15, $D$11, 100%, $F$11)</f>
        <v>12.052300000000001</v>
      </c>
      <c r="G415" s="8">
        <f>11.1317 * CHOOSE( CONTROL!$C$15, $D$11, 100%, $F$11)</f>
        <v>11.1317</v>
      </c>
      <c r="H415" s="4">
        <f>12.0177 * CHOOSE(CONTROL!$C$15, $D$11, 100%, $F$11)</f>
        <v>12.0177</v>
      </c>
      <c r="I415" s="8">
        <f>11.0475 * CHOOSE(CONTROL!$C$15, $D$11, 100%, $F$11)</f>
        <v>11.047499999999999</v>
      </c>
      <c r="J415" s="4">
        <f>10.9248 * CHOOSE(CONTROL!$C$15, $D$11, 100%, $F$11)</f>
        <v>10.924799999999999</v>
      </c>
      <c r="K415" s="4"/>
      <c r="L415" s="9">
        <v>29.306000000000001</v>
      </c>
      <c r="M415" s="9">
        <v>12.063700000000001</v>
      </c>
      <c r="N415" s="9">
        <v>4.9444999999999997</v>
      </c>
      <c r="O415" s="9">
        <v>0.37409999999999999</v>
      </c>
      <c r="P415" s="9">
        <v>1.2927</v>
      </c>
      <c r="Q415" s="9">
        <v>20.201499999999999</v>
      </c>
      <c r="R415" s="9"/>
      <c r="S415" s="11"/>
    </row>
    <row r="416" spans="1:19" ht="15.75">
      <c r="A416" s="13">
        <v>54178</v>
      </c>
      <c r="B416" s="8">
        <f>11.5667 * CHOOSE(CONTROL!$C$15, $D$11, 100%, $F$11)</f>
        <v>11.566700000000001</v>
      </c>
      <c r="C416" s="8">
        <f>11.5775 * CHOOSE(CONTROL!$C$15, $D$11, 100%, $F$11)</f>
        <v>11.577500000000001</v>
      </c>
      <c r="D416" s="8">
        <f>11.6145 * CHOOSE( CONTROL!$C$15, $D$11, 100%, $F$11)</f>
        <v>11.6145</v>
      </c>
      <c r="E416" s="12">
        <f>11.601 * CHOOSE( CONTROL!$C$15, $D$11, 100%, $F$11)</f>
        <v>11.601000000000001</v>
      </c>
      <c r="F416" s="4">
        <f>12.306 * CHOOSE(CONTROL!$C$15, $D$11, 100%, $F$11)</f>
        <v>12.305999999999999</v>
      </c>
      <c r="G416" s="8">
        <f>11.3 * CHOOSE( CONTROL!$C$15, $D$11, 100%, $F$11)</f>
        <v>11.3</v>
      </c>
      <c r="H416" s="4">
        <f>12.2657 * CHOOSE(CONTROL!$C$15, $D$11, 100%, $F$11)</f>
        <v>12.265700000000001</v>
      </c>
      <c r="I416" s="8">
        <f>11.2055 * CHOOSE(CONTROL!$C$15, $D$11, 100%, $F$11)</f>
        <v>11.205500000000001</v>
      </c>
      <c r="J416" s="4">
        <f>11.0908 * CHOOSE(CONTROL!$C$15, $D$11, 100%, $F$11)</f>
        <v>11.0908</v>
      </c>
      <c r="K416" s="4"/>
      <c r="L416" s="9">
        <v>30.092199999999998</v>
      </c>
      <c r="M416" s="9">
        <v>11.6745</v>
      </c>
      <c r="N416" s="9">
        <v>4.7850000000000001</v>
      </c>
      <c r="O416" s="9">
        <v>0.36199999999999999</v>
      </c>
      <c r="P416" s="9">
        <v>1.1791</v>
      </c>
      <c r="Q416" s="9">
        <v>19.549800000000001</v>
      </c>
      <c r="R416" s="9"/>
      <c r="S416" s="11"/>
    </row>
    <row r="417" spans="1:19" ht="15.75">
      <c r="A417" s="13">
        <v>54209</v>
      </c>
      <c r="B417" s="8">
        <f>CHOOSE( CONTROL!$C$32, 11.8768, 11.8745) * CHOOSE(CONTROL!$C$15, $D$11, 100%, $F$11)</f>
        <v>11.876799999999999</v>
      </c>
      <c r="C417" s="8">
        <f>CHOOSE( CONTROL!$C$32, 11.8874, 11.885) * CHOOSE(CONTROL!$C$15, $D$11, 100%, $F$11)</f>
        <v>11.8874</v>
      </c>
      <c r="D417" s="8">
        <f>CHOOSE( CONTROL!$C$32, 11.9232, 11.9209) * CHOOSE( CONTROL!$C$15, $D$11, 100%, $F$11)</f>
        <v>11.9232</v>
      </c>
      <c r="E417" s="12">
        <f>CHOOSE( CONTROL!$C$32, 11.9086, 11.9063) * CHOOSE( CONTROL!$C$15, $D$11, 100%, $F$11)</f>
        <v>11.9086</v>
      </c>
      <c r="F417" s="4">
        <f>CHOOSE( CONTROL!$C$32, 12.6162, 12.6138) * CHOOSE(CONTROL!$C$15, $D$11, 100%, $F$11)</f>
        <v>12.616199999999999</v>
      </c>
      <c r="G417" s="8">
        <f>CHOOSE( CONTROL!$C$32, 11.6038, 11.6015) * CHOOSE( CONTROL!$C$15, $D$11, 100%, $F$11)</f>
        <v>11.6038</v>
      </c>
      <c r="H417" s="4">
        <f>CHOOSE( CONTROL!$C$32, 12.569, 12.5666) * CHOOSE(CONTROL!$C$15, $D$11, 100%, $F$11)</f>
        <v>12.569000000000001</v>
      </c>
      <c r="I417" s="8">
        <f>CHOOSE( CONTROL!$C$32, 11.5036, 11.5013) * CHOOSE(CONTROL!$C$15, $D$11, 100%, $F$11)</f>
        <v>11.5036</v>
      </c>
      <c r="J417" s="4">
        <f>CHOOSE( CONTROL!$C$32, 11.3886, 11.3863) * CHOOSE(CONTROL!$C$15, $D$11, 100%, $F$11)</f>
        <v>11.3886</v>
      </c>
      <c r="K417" s="4"/>
      <c r="L417" s="9">
        <v>30.7165</v>
      </c>
      <c r="M417" s="9">
        <v>12.063700000000001</v>
      </c>
      <c r="N417" s="9">
        <v>4.9444999999999997</v>
      </c>
      <c r="O417" s="9">
        <v>0.37409999999999999</v>
      </c>
      <c r="P417" s="9">
        <v>1.2183999999999999</v>
      </c>
      <c r="Q417" s="9">
        <v>20.201499999999999</v>
      </c>
      <c r="R417" s="9"/>
      <c r="S417" s="11"/>
    </row>
    <row r="418" spans="1:19" ht="15.75">
      <c r="A418" s="13">
        <v>54239</v>
      </c>
      <c r="B418" s="8">
        <f>CHOOSE( CONTROL!$C$32, 11.6862, 11.6838) * CHOOSE(CONTROL!$C$15, $D$11, 100%, $F$11)</f>
        <v>11.686199999999999</v>
      </c>
      <c r="C418" s="8">
        <f>CHOOSE( CONTROL!$C$32, 11.6967, 11.6944) * CHOOSE(CONTROL!$C$15, $D$11, 100%, $F$11)</f>
        <v>11.6967</v>
      </c>
      <c r="D418" s="8">
        <f>CHOOSE( CONTROL!$C$32, 11.7328, 11.7304) * CHOOSE( CONTROL!$C$15, $D$11, 100%, $F$11)</f>
        <v>11.732799999999999</v>
      </c>
      <c r="E418" s="12">
        <f>CHOOSE( CONTROL!$C$32, 11.7181, 11.7157) * CHOOSE( CONTROL!$C$15, $D$11, 100%, $F$11)</f>
        <v>11.7181</v>
      </c>
      <c r="F418" s="4">
        <f>CHOOSE( CONTROL!$C$32, 12.4255, 12.4231) * CHOOSE(CONTROL!$C$15, $D$11, 100%, $F$11)</f>
        <v>12.4255</v>
      </c>
      <c r="G418" s="8">
        <f>CHOOSE( CONTROL!$C$32, 11.4177, 11.4153) * CHOOSE( CONTROL!$C$15, $D$11, 100%, $F$11)</f>
        <v>11.4177</v>
      </c>
      <c r="H418" s="4">
        <f>CHOOSE( CONTROL!$C$32, 12.3826, 12.3802) * CHOOSE(CONTROL!$C$15, $D$11, 100%, $F$11)</f>
        <v>12.3826</v>
      </c>
      <c r="I418" s="8">
        <f>CHOOSE( CONTROL!$C$32, 11.3213, 11.319) * CHOOSE(CONTROL!$C$15, $D$11, 100%, $F$11)</f>
        <v>11.321300000000001</v>
      </c>
      <c r="J418" s="4">
        <f>CHOOSE( CONTROL!$C$32, 11.2056, 11.2033) * CHOOSE(CONTROL!$C$15, $D$11, 100%, $F$11)</f>
        <v>11.2056</v>
      </c>
      <c r="K418" s="4"/>
      <c r="L418" s="9">
        <v>29.7257</v>
      </c>
      <c r="M418" s="9">
        <v>11.6745</v>
      </c>
      <c r="N418" s="9">
        <v>4.7850000000000001</v>
      </c>
      <c r="O418" s="9">
        <v>0.36199999999999999</v>
      </c>
      <c r="P418" s="9">
        <v>1.1791</v>
      </c>
      <c r="Q418" s="9">
        <v>19.549800000000001</v>
      </c>
      <c r="R418" s="9"/>
      <c r="S418" s="11"/>
    </row>
    <row r="419" spans="1:19" ht="15.75">
      <c r="A419" s="13">
        <v>54270</v>
      </c>
      <c r="B419" s="8">
        <f>CHOOSE( CONTROL!$C$32, 12.1883, 12.1859) * CHOOSE(CONTROL!$C$15, $D$11, 100%, $F$11)</f>
        <v>12.1883</v>
      </c>
      <c r="C419" s="8">
        <f>CHOOSE( CONTROL!$C$32, 12.1989, 12.1965) * CHOOSE(CONTROL!$C$15, $D$11, 100%, $F$11)</f>
        <v>12.1989</v>
      </c>
      <c r="D419" s="8">
        <f>CHOOSE( CONTROL!$C$32, 12.2351, 12.2327) * CHOOSE( CONTROL!$C$15, $D$11, 100%, $F$11)</f>
        <v>12.235099999999999</v>
      </c>
      <c r="E419" s="12">
        <f>CHOOSE( CONTROL!$C$32, 12.2204, 12.218) * CHOOSE( CONTROL!$C$15, $D$11, 100%, $F$11)</f>
        <v>12.2204</v>
      </c>
      <c r="F419" s="4">
        <f>CHOOSE( CONTROL!$C$32, 12.9277, 12.9253) * CHOOSE(CONTROL!$C$15, $D$11, 100%, $F$11)</f>
        <v>12.9277</v>
      </c>
      <c r="G419" s="8">
        <f>CHOOSE( CONTROL!$C$32, 11.9089, 11.9066) * CHOOSE( CONTROL!$C$15, $D$11, 100%, $F$11)</f>
        <v>11.908899999999999</v>
      </c>
      <c r="H419" s="4">
        <f>CHOOSE( CONTROL!$C$32, 12.8735, 12.8711) * CHOOSE(CONTROL!$C$15, $D$11, 100%, $F$11)</f>
        <v>12.8735</v>
      </c>
      <c r="I419" s="8">
        <f>CHOOSE( CONTROL!$C$32, 11.8047, 11.8024) * CHOOSE(CONTROL!$C$15, $D$11, 100%, $F$11)</f>
        <v>11.8047</v>
      </c>
      <c r="J419" s="4">
        <f>CHOOSE( CONTROL!$C$32, 11.6876, 11.6854) * CHOOSE(CONTROL!$C$15, $D$11, 100%, $F$11)</f>
        <v>11.6876</v>
      </c>
      <c r="K419" s="4"/>
      <c r="L419" s="9">
        <v>30.7165</v>
      </c>
      <c r="M419" s="9">
        <v>12.063700000000001</v>
      </c>
      <c r="N419" s="9">
        <v>4.9444999999999997</v>
      </c>
      <c r="O419" s="9">
        <v>0.37409999999999999</v>
      </c>
      <c r="P419" s="9">
        <v>1.2183999999999999</v>
      </c>
      <c r="Q419" s="9">
        <v>20.201499999999999</v>
      </c>
      <c r="R419" s="9"/>
      <c r="S419" s="11"/>
    </row>
    <row r="420" spans="1:19" ht="15.75">
      <c r="A420" s="13">
        <v>54301</v>
      </c>
      <c r="B420" s="8">
        <f>CHOOSE( CONTROL!$C$32, 11.2488, 11.2464) * CHOOSE(CONTROL!$C$15, $D$11, 100%, $F$11)</f>
        <v>11.248799999999999</v>
      </c>
      <c r="C420" s="8">
        <f>CHOOSE( CONTROL!$C$32, 11.2593, 11.257) * CHOOSE(CONTROL!$C$15, $D$11, 100%, $F$11)</f>
        <v>11.2593</v>
      </c>
      <c r="D420" s="8">
        <f>CHOOSE( CONTROL!$C$32, 11.2956, 11.2933) * CHOOSE( CONTROL!$C$15, $D$11, 100%, $F$11)</f>
        <v>11.2956</v>
      </c>
      <c r="E420" s="12">
        <f>CHOOSE( CONTROL!$C$32, 11.2808, 11.2785) * CHOOSE( CONTROL!$C$15, $D$11, 100%, $F$11)</f>
        <v>11.280799999999999</v>
      </c>
      <c r="F420" s="4">
        <f>CHOOSE( CONTROL!$C$32, 11.9881, 11.9857) * CHOOSE(CONTROL!$C$15, $D$11, 100%, $F$11)</f>
        <v>11.988099999999999</v>
      </c>
      <c r="G420" s="8">
        <f>CHOOSE( CONTROL!$C$32, 10.9904, 10.9881) * CHOOSE( CONTROL!$C$15, $D$11, 100%, $F$11)</f>
        <v>10.990399999999999</v>
      </c>
      <c r="H420" s="4">
        <f>CHOOSE( CONTROL!$C$32, 11.9549, 11.9526) * CHOOSE(CONTROL!$C$15, $D$11, 100%, $F$11)</f>
        <v>11.9549</v>
      </c>
      <c r="I420" s="8">
        <f>CHOOSE( CONTROL!$C$32, 10.9024, 10.9001) * CHOOSE(CONTROL!$C$15, $D$11, 100%, $F$11)</f>
        <v>10.9024</v>
      </c>
      <c r="J420" s="4">
        <f>CHOOSE( CONTROL!$C$32, 10.7856, 10.7833) * CHOOSE(CONTROL!$C$15, $D$11, 100%, $F$11)</f>
        <v>10.785600000000001</v>
      </c>
      <c r="K420" s="4"/>
      <c r="L420" s="9">
        <v>30.7165</v>
      </c>
      <c r="M420" s="9">
        <v>12.063700000000001</v>
      </c>
      <c r="N420" s="9">
        <v>4.9444999999999997</v>
      </c>
      <c r="O420" s="9">
        <v>0.37409999999999999</v>
      </c>
      <c r="P420" s="9">
        <v>1.2183999999999999</v>
      </c>
      <c r="Q420" s="9">
        <v>20.201499999999999</v>
      </c>
      <c r="R420" s="9"/>
      <c r="S420" s="11"/>
    </row>
    <row r="421" spans="1:19" ht="15.75">
      <c r="A421" s="13">
        <v>54331</v>
      </c>
      <c r="B421" s="8">
        <f>CHOOSE( CONTROL!$C$32, 11.0135, 11.0111) * CHOOSE(CONTROL!$C$15, $D$11, 100%, $F$11)</f>
        <v>11.013500000000001</v>
      </c>
      <c r="C421" s="8">
        <f>CHOOSE( CONTROL!$C$32, 11.0241, 11.0217) * CHOOSE(CONTROL!$C$15, $D$11, 100%, $F$11)</f>
        <v>11.024100000000001</v>
      </c>
      <c r="D421" s="8">
        <f>CHOOSE( CONTROL!$C$32, 11.0603, 11.0579) * CHOOSE( CONTROL!$C$15, $D$11, 100%, $F$11)</f>
        <v>11.0603</v>
      </c>
      <c r="E421" s="12">
        <f>CHOOSE( CONTROL!$C$32, 11.0456, 11.0432) * CHOOSE( CONTROL!$C$15, $D$11, 100%, $F$11)</f>
        <v>11.0456</v>
      </c>
      <c r="F421" s="4">
        <f>CHOOSE( CONTROL!$C$32, 11.7529, 11.7505) * CHOOSE(CONTROL!$C$15, $D$11, 100%, $F$11)</f>
        <v>11.7529</v>
      </c>
      <c r="G421" s="8">
        <f>CHOOSE( CONTROL!$C$32, 10.7603, 10.758) * CHOOSE( CONTROL!$C$15, $D$11, 100%, $F$11)</f>
        <v>10.760300000000001</v>
      </c>
      <c r="H421" s="4">
        <f>CHOOSE( CONTROL!$C$32, 11.7249, 11.7226) * CHOOSE(CONTROL!$C$15, $D$11, 100%, $F$11)</f>
        <v>11.7249</v>
      </c>
      <c r="I421" s="8">
        <f>CHOOSE( CONTROL!$C$32, 10.6761, 10.6738) * CHOOSE(CONTROL!$C$15, $D$11, 100%, $F$11)</f>
        <v>10.6761</v>
      </c>
      <c r="J421" s="4">
        <f>CHOOSE( CONTROL!$C$32, 10.5597, 10.5574) * CHOOSE(CONTROL!$C$15, $D$11, 100%, $F$11)</f>
        <v>10.559699999999999</v>
      </c>
      <c r="K421" s="4"/>
      <c r="L421" s="9">
        <v>29.7257</v>
      </c>
      <c r="M421" s="9">
        <v>11.6745</v>
      </c>
      <c r="N421" s="9">
        <v>4.7850000000000001</v>
      </c>
      <c r="O421" s="9">
        <v>0.36199999999999999</v>
      </c>
      <c r="P421" s="9">
        <v>1.1791</v>
      </c>
      <c r="Q421" s="9">
        <v>19.549800000000001</v>
      </c>
      <c r="R421" s="9"/>
      <c r="S421" s="11"/>
    </row>
    <row r="422" spans="1:19" ht="15.75">
      <c r="A422" s="13">
        <v>54362</v>
      </c>
      <c r="B422" s="8">
        <f>11.4997 * CHOOSE(CONTROL!$C$15, $D$11, 100%, $F$11)</f>
        <v>11.499700000000001</v>
      </c>
      <c r="C422" s="8">
        <f>11.5105 * CHOOSE(CONTROL!$C$15, $D$11, 100%, $F$11)</f>
        <v>11.5105</v>
      </c>
      <c r="D422" s="8">
        <f>11.548 * CHOOSE( CONTROL!$C$15, $D$11, 100%, $F$11)</f>
        <v>11.548</v>
      </c>
      <c r="E422" s="12">
        <f>11.5345 * CHOOSE( CONTROL!$C$15, $D$11, 100%, $F$11)</f>
        <v>11.5345</v>
      </c>
      <c r="F422" s="4">
        <f>12.239 * CHOOSE(CONTROL!$C$15, $D$11, 100%, $F$11)</f>
        <v>12.239000000000001</v>
      </c>
      <c r="G422" s="8">
        <f>11.2353 * CHOOSE( CONTROL!$C$15, $D$11, 100%, $F$11)</f>
        <v>11.235300000000001</v>
      </c>
      <c r="H422" s="4">
        <f>12.2002 * CHOOSE(CONTROL!$C$15, $D$11, 100%, $F$11)</f>
        <v>12.200200000000001</v>
      </c>
      <c r="I422" s="8">
        <f>11.1438 * CHOOSE(CONTROL!$C$15, $D$11, 100%, $F$11)</f>
        <v>11.143800000000001</v>
      </c>
      <c r="J422" s="4">
        <f>11.0264 * CHOOSE(CONTROL!$C$15, $D$11, 100%, $F$11)</f>
        <v>11.026400000000001</v>
      </c>
      <c r="K422" s="4"/>
      <c r="L422" s="9">
        <v>31.095300000000002</v>
      </c>
      <c r="M422" s="9">
        <v>12.063700000000001</v>
      </c>
      <c r="N422" s="9">
        <v>4.9444999999999997</v>
      </c>
      <c r="O422" s="9">
        <v>0.37409999999999999</v>
      </c>
      <c r="P422" s="9">
        <v>1.2183999999999999</v>
      </c>
      <c r="Q422" s="9">
        <v>20.201499999999999</v>
      </c>
      <c r="R422" s="9"/>
      <c r="S422" s="11"/>
    </row>
    <row r="423" spans="1:19" ht="15.75">
      <c r="A423" s="13">
        <v>54392</v>
      </c>
      <c r="B423" s="8">
        <f>12.4014 * CHOOSE(CONTROL!$C$15, $D$11, 100%, $F$11)</f>
        <v>12.401400000000001</v>
      </c>
      <c r="C423" s="8">
        <f>12.4122 * CHOOSE(CONTROL!$C$15, $D$11, 100%, $F$11)</f>
        <v>12.4122</v>
      </c>
      <c r="D423" s="8">
        <f>12.3949 * CHOOSE( CONTROL!$C$15, $D$11, 100%, $F$11)</f>
        <v>12.3949</v>
      </c>
      <c r="E423" s="12">
        <f>12.4001 * CHOOSE( CONTROL!$C$15, $D$11, 100%, $F$11)</f>
        <v>12.4001</v>
      </c>
      <c r="F423" s="4">
        <f>13.0599 * CHOOSE(CONTROL!$C$15, $D$11, 100%, $F$11)</f>
        <v>13.059900000000001</v>
      </c>
      <c r="G423" s="8">
        <f>12.1235 * CHOOSE( CONTROL!$C$15, $D$11, 100%, $F$11)</f>
        <v>12.1235</v>
      </c>
      <c r="H423" s="4">
        <f>13.0028 * CHOOSE(CONTROL!$C$15, $D$11, 100%, $F$11)</f>
        <v>13.002800000000001</v>
      </c>
      <c r="I423" s="8">
        <f>12.0471 * CHOOSE(CONTROL!$C$15, $D$11, 100%, $F$11)</f>
        <v>12.0471</v>
      </c>
      <c r="J423" s="4">
        <f>11.8921 * CHOOSE(CONTROL!$C$15, $D$11, 100%, $F$11)</f>
        <v>11.892099999999999</v>
      </c>
      <c r="K423" s="4"/>
      <c r="L423" s="9">
        <v>28.360600000000002</v>
      </c>
      <c r="M423" s="9">
        <v>11.6745</v>
      </c>
      <c r="N423" s="9">
        <v>4.7850000000000001</v>
      </c>
      <c r="O423" s="9">
        <v>0.36199999999999999</v>
      </c>
      <c r="P423" s="9">
        <v>1.2509999999999999</v>
      </c>
      <c r="Q423" s="9">
        <v>19.549800000000001</v>
      </c>
      <c r="R423" s="9"/>
      <c r="S423" s="11"/>
    </row>
    <row r="424" spans="1:19" ht="15.75">
      <c r="A424" s="13">
        <v>54423</v>
      </c>
      <c r="B424" s="8">
        <f>12.3789 * CHOOSE(CONTROL!$C$15, $D$11, 100%, $F$11)</f>
        <v>12.3789</v>
      </c>
      <c r="C424" s="8">
        <f>12.3896 * CHOOSE(CONTROL!$C$15, $D$11, 100%, $F$11)</f>
        <v>12.3896</v>
      </c>
      <c r="D424" s="8">
        <f>12.3741 * CHOOSE( CONTROL!$C$15, $D$11, 100%, $F$11)</f>
        <v>12.3741</v>
      </c>
      <c r="E424" s="12">
        <f>12.3786 * CHOOSE( CONTROL!$C$15, $D$11, 100%, $F$11)</f>
        <v>12.3786</v>
      </c>
      <c r="F424" s="4">
        <f>13.0374 * CHOOSE(CONTROL!$C$15, $D$11, 100%, $F$11)</f>
        <v>13.0374</v>
      </c>
      <c r="G424" s="8">
        <f>12.1027 * CHOOSE( CONTROL!$C$15, $D$11, 100%, $F$11)</f>
        <v>12.1027</v>
      </c>
      <c r="H424" s="4">
        <f>12.9808 * CHOOSE(CONTROL!$C$15, $D$11, 100%, $F$11)</f>
        <v>12.9808</v>
      </c>
      <c r="I424" s="8">
        <f>12.0306 * CHOOSE(CONTROL!$C$15, $D$11, 100%, $F$11)</f>
        <v>12.0306</v>
      </c>
      <c r="J424" s="4">
        <f>11.8705 * CHOOSE(CONTROL!$C$15, $D$11, 100%, $F$11)</f>
        <v>11.8705</v>
      </c>
      <c r="K424" s="4"/>
      <c r="L424" s="9">
        <v>29.306000000000001</v>
      </c>
      <c r="M424" s="9">
        <v>12.063700000000001</v>
      </c>
      <c r="N424" s="9">
        <v>4.9444999999999997</v>
      </c>
      <c r="O424" s="9">
        <v>0.37409999999999999</v>
      </c>
      <c r="P424" s="9">
        <v>1.2927</v>
      </c>
      <c r="Q424" s="9">
        <v>20.201499999999999</v>
      </c>
      <c r="R424" s="9"/>
      <c r="S424" s="11"/>
    </row>
    <row r="425" spans="1:19" ht="15.75">
      <c r="A425" s="13">
        <v>54454</v>
      </c>
      <c r="B425" s="8">
        <f>12.7436 * CHOOSE(CONTROL!$C$15, $D$11, 100%, $F$11)</f>
        <v>12.743600000000001</v>
      </c>
      <c r="C425" s="8">
        <f>12.7543 * CHOOSE(CONTROL!$C$15, $D$11, 100%, $F$11)</f>
        <v>12.754300000000001</v>
      </c>
      <c r="D425" s="8">
        <f>12.7357 * CHOOSE( CONTROL!$C$15, $D$11, 100%, $F$11)</f>
        <v>12.7357</v>
      </c>
      <c r="E425" s="12">
        <f>12.7414 * CHOOSE( CONTROL!$C$15, $D$11, 100%, $F$11)</f>
        <v>12.741400000000001</v>
      </c>
      <c r="F425" s="4">
        <f>13.4021 * CHOOSE(CONTROL!$C$15, $D$11, 100%, $F$11)</f>
        <v>13.402100000000001</v>
      </c>
      <c r="G425" s="8">
        <f>12.4517 * CHOOSE( CONTROL!$C$15, $D$11, 100%, $F$11)</f>
        <v>12.451700000000001</v>
      </c>
      <c r="H425" s="4">
        <f>13.3373 * CHOOSE(CONTROL!$C$15, $D$11, 100%, $F$11)</f>
        <v>13.337300000000001</v>
      </c>
      <c r="I425" s="8">
        <f>12.3458 * CHOOSE(CONTROL!$C$15, $D$11, 100%, $F$11)</f>
        <v>12.345800000000001</v>
      </c>
      <c r="J425" s="4">
        <f>12.2206 * CHOOSE(CONTROL!$C$15, $D$11, 100%, $F$11)</f>
        <v>12.220599999999999</v>
      </c>
      <c r="K425" s="4"/>
      <c r="L425" s="9">
        <v>29.306000000000001</v>
      </c>
      <c r="M425" s="9">
        <v>12.063700000000001</v>
      </c>
      <c r="N425" s="9">
        <v>4.9444999999999997</v>
      </c>
      <c r="O425" s="9">
        <v>0.37409999999999999</v>
      </c>
      <c r="P425" s="9">
        <v>1.2927</v>
      </c>
      <c r="Q425" s="9">
        <v>20.136399999999998</v>
      </c>
      <c r="R425" s="9"/>
      <c r="S425" s="11"/>
    </row>
    <row r="426" spans="1:19" ht="15.75">
      <c r="A426" s="13">
        <v>54482</v>
      </c>
      <c r="B426" s="8">
        <f>11.9207 * CHOOSE(CONTROL!$C$15, $D$11, 100%, $F$11)</f>
        <v>11.9207</v>
      </c>
      <c r="C426" s="8">
        <f>11.9315 * CHOOSE(CONTROL!$C$15, $D$11, 100%, $F$11)</f>
        <v>11.9315</v>
      </c>
      <c r="D426" s="8">
        <f>11.9128 * CHOOSE( CONTROL!$C$15, $D$11, 100%, $F$11)</f>
        <v>11.912800000000001</v>
      </c>
      <c r="E426" s="12">
        <f>11.9185 * CHOOSE( CONTROL!$C$15, $D$11, 100%, $F$11)</f>
        <v>11.9185</v>
      </c>
      <c r="F426" s="4">
        <f>12.5792 * CHOOSE(CONTROL!$C$15, $D$11, 100%, $F$11)</f>
        <v>12.5792</v>
      </c>
      <c r="G426" s="8">
        <f>11.6472 * CHOOSE( CONTROL!$C$15, $D$11, 100%, $F$11)</f>
        <v>11.6472</v>
      </c>
      <c r="H426" s="4">
        <f>12.5328 * CHOOSE(CONTROL!$C$15, $D$11, 100%, $F$11)</f>
        <v>12.5328</v>
      </c>
      <c r="I426" s="8">
        <f>11.5551 * CHOOSE(CONTROL!$C$15, $D$11, 100%, $F$11)</f>
        <v>11.555099999999999</v>
      </c>
      <c r="J426" s="4">
        <f>11.4306 * CHOOSE(CONTROL!$C$15, $D$11, 100%, $F$11)</f>
        <v>11.4306</v>
      </c>
      <c r="K426" s="4"/>
      <c r="L426" s="9">
        <v>26.469899999999999</v>
      </c>
      <c r="M426" s="9">
        <v>10.8962</v>
      </c>
      <c r="N426" s="9">
        <v>4.4660000000000002</v>
      </c>
      <c r="O426" s="9">
        <v>0.33789999999999998</v>
      </c>
      <c r="P426" s="9">
        <v>1.1676</v>
      </c>
      <c r="Q426" s="9">
        <v>18.1877</v>
      </c>
      <c r="R426" s="9"/>
      <c r="S426" s="11"/>
    </row>
    <row r="427" spans="1:19" ht="15.75">
      <c r="A427" s="13">
        <v>54513</v>
      </c>
      <c r="B427" s="8">
        <f>11.6673 * CHOOSE(CONTROL!$C$15, $D$11, 100%, $F$11)</f>
        <v>11.667299999999999</v>
      </c>
      <c r="C427" s="8">
        <f>11.678 * CHOOSE(CONTROL!$C$15, $D$11, 100%, $F$11)</f>
        <v>11.678000000000001</v>
      </c>
      <c r="D427" s="8">
        <f>11.6588 * CHOOSE( CONTROL!$C$15, $D$11, 100%, $F$11)</f>
        <v>11.658799999999999</v>
      </c>
      <c r="E427" s="12">
        <f>11.6647 * CHOOSE( CONTROL!$C$15, $D$11, 100%, $F$11)</f>
        <v>11.6647</v>
      </c>
      <c r="F427" s="4">
        <f>12.3258 * CHOOSE(CONTROL!$C$15, $D$11, 100%, $F$11)</f>
        <v>12.325799999999999</v>
      </c>
      <c r="G427" s="8">
        <f>11.399 * CHOOSE( CONTROL!$C$15, $D$11, 100%, $F$11)</f>
        <v>11.398999999999999</v>
      </c>
      <c r="H427" s="4">
        <f>12.285 * CHOOSE(CONTROL!$C$15, $D$11, 100%, $F$11)</f>
        <v>12.285</v>
      </c>
      <c r="I427" s="8">
        <f>11.3102 * CHOOSE(CONTROL!$C$15, $D$11, 100%, $F$11)</f>
        <v>11.3102</v>
      </c>
      <c r="J427" s="4">
        <f>11.1873 * CHOOSE(CONTROL!$C$15, $D$11, 100%, $F$11)</f>
        <v>11.1873</v>
      </c>
      <c r="K427" s="4"/>
      <c r="L427" s="9">
        <v>29.306000000000001</v>
      </c>
      <c r="M427" s="9">
        <v>12.063700000000001</v>
      </c>
      <c r="N427" s="9">
        <v>4.9444999999999997</v>
      </c>
      <c r="O427" s="9">
        <v>0.37409999999999999</v>
      </c>
      <c r="P427" s="9">
        <v>1.2927</v>
      </c>
      <c r="Q427" s="9">
        <v>20.136399999999998</v>
      </c>
      <c r="R427" s="9"/>
      <c r="S427" s="11"/>
    </row>
    <row r="428" spans="1:19" ht="15.75">
      <c r="A428" s="13">
        <v>54543</v>
      </c>
      <c r="B428" s="8">
        <f>11.8443 * CHOOSE(CONTROL!$C$15, $D$11, 100%, $F$11)</f>
        <v>11.8443</v>
      </c>
      <c r="C428" s="8">
        <f>11.8551 * CHOOSE(CONTROL!$C$15, $D$11, 100%, $F$11)</f>
        <v>11.8551</v>
      </c>
      <c r="D428" s="8">
        <f>11.892 * CHOOSE( CONTROL!$C$15, $D$11, 100%, $F$11)</f>
        <v>11.891999999999999</v>
      </c>
      <c r="E428" s="12">
        <f>11.8786 * CHOOSE( CONTROL!$C$15, $D$11, 100%, $F$11)</f>
        <v>11.8786</v>
      </c>
      <c r="F428" s="4">
        <f>12.5836 * CHOOSE(CONTROL!$C$15, $D$11, 100%, $F$11)</f>
        <v>12.583600000000001</v>
      </c>
      <c r="G428" s="8">
        <f>11.5714 * CHOOSE( CONTROL!$C$15, $D$11, 100%, $F$11)</f>
        <v>11.571400000000001</v>
      </c>
      <c r="H428" s="4">
        <f>12.5371 * CHOOSE(CONTROL!$C$15, $D$11, 100%, $F$11)</f>
        <v>12.537100000000001</v>
      </c>
      <c r="I428" s="8">
        <f>11.4721 * CHOOSE(CONTROL!$C$15, $D$11, 100%, $F$11)</f>
        <v>11.472099999999999</v>
      </c>
      <c r="J428" s="4">
        <f>11.3573 * CHOOSE(CONTROL!$C$15, $D$11, 100%, $F$11)</f>
        <v>11.3573</v>
      </c>
      <c r="K428" s="4"/>
      <c r="L428" s="9">
        <v>30.092199999999998</v>
      </c>
      <c r="M428" s="9">
        <v>11.6745</v>
      </c>
      <c r="N428" s="9">
        <v>4.7850000000000001</v>
      </c>
      <c r="O428" s="9">
        <v>0.36199999999999999</v>
      </c>
      <c r="P428" s="9">
        <v>1.1791</v>
      </c>
      <c r="Q428" s="9">
        <v>19.486799999999999</v>
      </c>
      <c r="R428" s="9"/>
      <c r="S428" s="11"/>
    </row>
    <row r="429" spans="1:19" ht="15.75">
      <c r="A429" s="13">
        <v>54574</v>
      </c>
      <c r="B429" s="8">
        <f>CHOOSE( CONTROL!$C$32, 12.1618, 12.1594) * CHOOSE(CONTROL!$C$15, $D$11, 100%, $F$11)</f>
        <v>12.161799999999999</v>
      </c>
      <c r="C429" s="8">
        <f>CHOOSE( CONTROL!$C$32, 12.1724, 12.17) * CHOOSE(CONTROL!$C$15, $D$11, 100%, $F$11)</f>
        <v>12.1724</v>
      </c>
      <c r="D429" s="8">
        <f>CHOOSE( CONTROL!$C$32, 12.2082, 12.2058) * CHOOSE( CONTROL!$C$15, $D$11, 100%, $F$11)</f>
        <v>12.2082</v>
      </c>
      <c r="E429" s="12">
        <f>CHOOSE( CONTROL!$C$32, 12.1936, 12.1912) * CHOOSE( CONTROL!$C$15, $D$11, 100%, $F$11)</f>
        <v>12.1936</v>
      </c>
      <c r="F429" s="4">
        <f>CHOOSE( CONTROL!$C$32, 12.9012, 12.8988) * CHOOSE(CONTROL!$C$15, $D$11, 100%, $F$11)</f>
        <v>12.901199999999999</v>
      </c>
      <c r="G429" s="8">
        <f>CHOOSE( CONTROL!$C$32, 11.8824, 11.8801) * CHOOSE( CONTROL!$C$15, $D$11, 100%, $F$11)</f>
        <v>11.882400000000001</v>
      </c>
      <c r="H429" s="4">
        <f>CHOOSE( CONTROL!$C$32, 12.8476, 12.8452) * CHOOSE(CONTROL!$C$15, $D$11, 100%, $F$11)</f>
        <v>12.8476</v>
      </c>
      <c r="I429" s="8">
        <f>CHOOSE( CONTROL!$C$32, 11.7773, 11.775) * CHOOSE(CONTROL!$C$15, $D$11, 100%, $F$11)</f>
        <v>11.7773</v>
      </c>
      <c r="J429" s="4">
        <f>CHOOSE( CONTROL!$C$32, 11.6622, 11.6599) * CHOOSE(CONTROL!$C$15, $D$11, 100%, $F$11)</f>
        <v>11.6622</v>
      </c>
      <c r="K429" s="4"/>
      <c r="L429" s="9">
        <v>30.7165</v>
      </c>
      <c r="M429" s="9">
        <v>12.063700000000001</v>
      </c>
      <c r="N429" s="9">
        <v>4.9444999999999997</v>
      </c>
      <c r="O429" s="9">
        <v>0.37409999999999999</v>
      </c>
      <c r="P429" s="9">
        <v>1.2183999999999999</v>
      </c>
      <c r="Q429" s="9">
        <v>20.136399999999998</v>
      </c>
      <c r="R429" s="9"/>
      <c r="S429" s="11"/>
    </row>
    <row r="430" spans="1:19" ht="15.75">
      <c r="A430" s="13">
        <v>54604</v>
      </c>
      <c r="B430" s="8">
        <f>CHOOSE( CONTROL!$C$32, 11.9665, 11.9642) * CHOOSE(CONTROL!$C$15, $D$11, 100%, $F$11)</f>
        <v>11.9665</v>
      </c>
      <c r="C430" s="8">
        <f>CHOOSE( CONTROL!$C$32, 11.9771, 11.9747) * CHOOSE(CONTROL!$C$15, $D$11, 100%, $F$11)</f>
        <v>11.9771</v>
      </c>
      <c r="D430" s="8">
        <f>CHOOSE( CONTROL!$C$32, 12.0131, 12.0108) * CHOOSE( CONTROL!$C$15, $D$11, 100%, $F$11)</f>
        <v>12.0131</v>
      </c>
      <c r="E430" s="12">
        <f>CHOOSE( CONTROL!$C$32, 11.9984, 11.9961) * CHOOSE( CONTROL!$C$15, $D$11, 100%, $F$11)</f>
        <v>11.9984</v>
      </c>
      <c r="F430" s="4">
        <f>CHOOSE( CONTROL!$C$32, 12.7059, 12.7035) * CHOOSE(CONTROL!$C$15, $D$11, 100%, $F$11)</f>
        <v>12.7059</v>
      </c>
      <c r="G430" s="8">
        <f>CHOOSE( CONTROL!$C$32, 11.6918, 11.6895) * CHOOSE( CONTROL!$C$15, $D$11, 100%, $F$11)</f>
        <v>11.691800000000001</v>
      </c>
      <c r="H430" s="4">
        <f>CHOOSE( CONTROL!$C$32, 12.6567, 12.6543) * CHOOSE(CONTROL!$C$15, $D$11, 100%, $F$11)</f>
        <v>12.656700000000001</v>
      </c>
      <c r="I430" s="8">
        <f>CHOOSE( CONTROL!$C$32, 11.5907, 11.5884) * CHOOSE(CONTROL!$C$15, $D$11, 100%, $F$11)</f>
        <v>11.5907</v>
      </c>
      <c r="J430" s="4">
        <f>CHOOSE( CONTROL!$C$32, 11.4748, 11.4725) * CHOOSE(CONTROL!$C$15, $D$11, 100%, $F$11)</f>
        <v>11.4748</v>
      </c>
      <c r="K430" s="4"/>
      <c r="L430" s="9">
        <v>29.7257</v>
      </c>
      <c r="M430" s="9">
        <v>11.6745</v>
      </c>
      <c r="N430" s="9">
        <v>4.7850000000000001</v>
      </c>
      <c r="O430" s="9">
        <v>0.36199999999999999</v>
      </c>
      <c r="P430" s="9">
        <v>1.1791</v>
      </c>
      <c r="Q430" s="9">
        <v>19.486799999999999</v>
      </c>
      <c r="R430" s="9"/>
      <c r="S430" s="11"/>
    </row>
    <row r="431" spans="1:19" ht="15.75">
      <c r="A431" s="13">
        <v>54635</v>
      </c>
      <c r="B431" s="8">
        <f>CHOOSE( CONTROL!$C$32, 12.4807, 12.4783) * CHOOSE(CONTROL!$C$15, $D$11, 100%, $F$11)</f>
        <v>12.480700000000001</v>
      </c>
      <c r="C431" s="8">
        <f>CHOOSE( CONTROL!$C$32, 12.4913, 12.4889) * CHOOSE(CONTROL!$C$15, $D$11, 100%, $F$11)</f>
        <v>12.491300000000001</v>
      </c>
      <c r="D431" s="8">
        <f>CHOOSE( CONTROL!$C$32, 12.5275, 12.5252) * CHOOSE( CONTROL!$C$15, $D$11, 100%, $F$11)</f>
        <v>12.5275</v>
      </c>
      <c r="E431" s="12">
        <f>CHOOSE( CONTROL!$C$32, 12.5128, 12.5104) * CHOOSE( CONTROL!$C$15, $D$11, 100%, $F$11)</f>
        <v>12.5128</v>
      </c>
      <c r="F431" s="4">
        <f>CHOOSE( CONTROL!$C$32, 13.2201, 13.2177) * CHOOSE(CONTROL!$C$15, $D$11, 100%, $F$11)</f>
        <v>13.2201</v>
      </c>
      <c r="G431" s="8">
        <f>CHOOSE( CONTROL!$C$32, 12.1948, 12.1925) * CHOOSE( CONTROL!$C$15, $D$11, 100%, $F$11)</f>
        <v>12.194800000000001</v>
      </c>
      <c r="H431" s="4">
        <f>CHOOSE( CONTROL!$C$32, 13.1594, 13.1571) * CHOOSE(CONTROL!$C$15, $D$11, 100%, $F$11)</f>
        <v>13.1594</v>
      </c>
      <c r="I431" s="8">
        <f>CHOOSE( CONTROL!$C$32, 12.0856, 12.0833) * CHOOSE(CONTROL!$C$15, $D$11, 100%, $F$11)</f>
        <v>12.085599999999999</v>
      </c>
      <c r="J431" s="4">
        <f>CHOOSE( CONTROL!$C$32, 11.9684, 11.9661) * CHOOSE(CONTROL!$C$15, $D$11, 100%, $F$11)</f>
        <v>11.968400000000001</v>
      </c>
      <c r="K431" s="4"/>
      <c r="L431" s="9">
        <v>30.7165</v>
      </c>
      <c r="M431" s="9">
        <v>12.063700000000001</v>
      </c>
      <c r="N431" s="9">
        <v>4.9444999999999997</v>
      </c>
      <c r="O431" s="9">
        <v>0.37409999999999999</v>
      </c>
      <c r="P431" s="9">
        <v>1.2183999999999999</v>
      </c>
      <c r="Q431" s="9">
        <v>20.136399999999998</v>
      </c>
      <c r="R431" s="9"/>
      <c r="S431" s="11"/>
    </row>
    <row r="432" spans="1:19" ht="15.75">
      <c r="A432" s="13">
        <v>54666</v>
      </c>
      <c r="B432" s="8">
        <f>CHOOSE( CONTROL!$C$32, 11.5186, 11.5163) * CHOOSE(CONTROL!$C$15, $D$11, 100%, $F$11)</f>
        <v>11.518599999999999</v>
      </c>
      <c r="C432" s="8">
        <f>CHOOSE( CONTROL!$C$32, 11.5292, 11.5268) * CHOOSE(CONTROL!$C$15, $D$11, 100%, $F$11)</f>
        <v>11.529199999999999</v>
      </c>
      <c r="D432" s="8">
        <f>CHOOSE( CONTROL!$C$32, 11.5655, 11.5631) * CHOOSE( CONTROL!$C$15, $D$11, 100%, $F$11)</f>
        <v>11.5655</v>
      </c>
      <c r="E432" s="12">
        <f>CHOOSE( CONTROL!$C$32, 11.5507, 11.5483) * CHOOSE( CONTROL!$C$15, $D$11, 100%, $F$11)</f>
        <v>11.550700000000001</v>
      </c>
      <c r="F432" s="4">
        <f>CHOOSE( CONTROL!$C$32, 12.258, 12.2556) * CHOOSE(CONTROL!$C$15, $D$11, 100%, $F$11)</f>
        <v>12.257999999999999</v>
      </c>
      <c r="G432" s="8">
        <f>CHOOSE( CONTROL!$C$32, 11.2543, 11.2519) * CHOOSE( CONTROL!$C$15, $D$11, 100%, $F$11)</f>
        <v>11.254300000000001</v>
      </c>
      <c r="H432" s="4">
        <f>CHOOSE( CONTROL!$C$32, 12.2188, 12.2164) * CHOOSE(CONTROL!$C$15, $D$11, 100%, $F$11)</f>
        <v>12.2188</v>
      </c>
      <c r="I432" s="8">
        <f>CHOOSE( CONTROL!$C$32, 11.1617, 11.1594) * CHOOSE(CONTROL!$C$15, $D$11, 100%, $F$11)</f>
        <v>11.1617</v>
      </c>
      <c r="J432" s="4">
        <f>CHOOSE( CONTROL!$C$32, 11.0447, 11.0424) * CHOOSE(CONTROL!$C$15, $D$11, 100%, $F$11)</f>
        <v>11.044700000000001</v>
      </c>
      <c r="K432" s="4"/>
      <c r="L432" s="9">
        <v>30.7165</v>
      </c>
      <c r="M432" s="9">
        <v>12.063700000000001</v>
      </c>
      <c r="N432" s="9">
        <v>4.9444999999999997</v>
      </c>
      <c r="O432" s="9">
        <v>0.37409999999999999</v>
      </c>
      <c r="P432" s="9">
        <v>1.2183999999999999</v>
      </c>
      <c r="Q432" s="9">
        <v>20.136399999999998</v>
      </c>
      <c r="R432" s="9"/>
      <c r="S432" s="11"/>
    </row>
    <row r="433" spans="1:19" ht="15.75">
      <c r="A433" s="13">
        <v>54696</v>
      </c>
      <c r="B433" s="8">
        <f>CHOOSE( CONTROL!$C$32, 11.2777, 11.2753) * CHOOSE(CONTROL!$C$15, $D$11, 100%, $F$11)</f>
        <v>11.277699999999999</v>
      </c>
      <c r="C433" s="8">
        <f>CHOOSE( CONTROL!$C$32, 11.2883, 11.2859) * CHOOSE(CONTROL!$C$15, $D$11, 100%, $F$11)</f>
        <v>11.2883</v>
      </c>
      <c r="D433" s="8">
        <f>CHOOSE( CONTROL!$C$32, 11.3245, 11.3221) * CHOOSE( CONTROL!$C$15, $D$11, 100%, $F$11)</f>
        <v>11.3245</v>
      </c>
      <c r="E433" s="12">
        <f>CHOOSE( CONTROL!$C$32, 11.3098, 11.3074) * CHOOSE( CONTROL!$C$15, $D$11, 100%, $F$11)</f>
        <v>11.309799999999999</v>
      </c>
      <c r="F433" s="4">
        <f>CHOOSE( CONTROL!$C$32, 12.0171, 12.0147) * CHOOSE(CONTROL!$C$15, $D$11, 100%, $F$11)</f>
        <v>12.017099999999999</v>
      </c>
      <c r="G433" s="8">
        <f>CHOOSE( CONTROL!$C$32, 11.0186, 11.0163) * CHOOSE( CONTROL!$C$15, $D$11, 100%, $F$11)</f>
        <v>11.018599999999999</v>
      </c>
      <c r="H433" s="4">
        <f>CHOOSE( CONTROL!$C$32, 11.9832, 11.9809) * CHOOSE(CONTROL!$C$15, $D$11, 100%, $F$11)</f>
        <v>11.9832</v>
      </c>
      <c r="I433" s="8">
        <f>CHOOSE( CONTROL!$C$32, 10.9299, 10.9276) * CHOOSE(CONTROL!$C$15, $D$11, 100%, $F$11)</f>
        <v>10.9299</v>
      </c>
      <c r="J433" s="4">
        <f>CHOOSE( CONTROL!$C$32, 10.8134, 10.8111) * CHOOSE(CONTROL!$C$15, $D$11, 100%, $F$11)</f>
        <v>10.8134</v>
      </c>
      <c r="K433" s="4"/>
      <c r="L433" s="9">
        <v>29.7257</v>
      </c>
      <c r="M433" s="9">
        <v>11.6745</v>
      </c>
      <c r="N433" s="9">
        <v>4.7850000000000001</v>
      </c>
      <c r="O433" s="9">
        <v>0.36199999999999999</v>
      </c>
      <c r="P433" s="9">
        <v>1.1791</v>
      </c>
      <c r="Q433" s="9">
        <v>19.486799999999999</v>
      </c>
      <c r="R433" s="9"/>
      <c r="S433" s="11"/>
    </row>
    <row r="434" spans="1:19" ht="15.75">
      <c r="A434" s="13">
        <v>54727</v>
      </c>
      <c r="B434" s="8">
        <f>11.7757 * CHOOSE(CONTROL!$C$15, $D$11, 100%, $F$11)</f>
        <v>11.775700000000001</v>
      </c>
      <c r="C434" s="8">
        <f>11.7864 * CHOOSE(CONTROL!$C$15, $D$11, 100%, $F$11)</f>
        <v>11.7864</v>
      </c>
      <c r="D434" s="8">
        <f>11.824 * CHOOSE( CONTROL!$C$15, $D$11, 100%, $F$11)</f>
        <v>11.824</v>
      </c>
      <c r="E434" s="12">
        <f>11.8104 * CHOOSE( CONTROL!$C$15, $D$11, 100%, $F$11)</f>
        <v>11.8104</v>
      </c>
      <c r="F434" s="4">
        <f>12.5149 * CHOOSE(CONTROL!$C$15, $D$11, 100%, $F$11)</f>
        <v>12.514900000000001</v>
      </c>
      <c r="G434" s="8">
        <f>11.5051 * CHOOSE( CONTROL!$C$15, $D$11, 100%, $F$11)</f>
        <v>11.505100000000001</v>
      </c>
      <c r="H434" s="4">
        <f>12.47 * CHOOSE(CONTROL!$C$15, $D$11, 100%, $F$11)</f>
        <v>12.47</v>
      </c>
      <c r="I434" s="8">
        <f>11.4089 * CHOOSE(CONTROL!$C$15, $D$11, 100%, $F$11)</f>
        <v>11.408899999999999</v>
      </c>
      <c r="J434" s="4">
        <f>11.2914 * CHOOSE(CONTROL!$C$15, $D$11, 100%, $F$11)</f>
        <v>11.291399999999999</v>
      </c>
      <c r="K434" s="4"/>
      <c r="L434" s="9">
        <v>31.095300000000002</v>
      </c>
      <c r="M434" s="9">
        <v>12.063700000000001</v>
      </c>
      <c r="N434" s="9">
        <v>4.9444999999999997</v>
      </c>
      <c r="O434" s="9">
        <v>0.37409999999999999</v>
      </c>
      <c r="P434" s="9">
        <v>1.2183999999999999</v>
      </c>
      <c r="Q434" s="9">
        <v>20.136399999999998</v>
      </c>
      <c r="R434" s="9"/>
      <c r="S434" s="11"/>
    </row>
    <row r="435" spans="1:19" ht="15.75">
      <c r="A435" s="13">
        <v>54757</v>
      </c>
      <c r="B435" s="8">
        <f>12.699 * CHOOSE(CONTROL!$C$15, $D$11, 100%, $F$11)</f>
        <v>12.699</v>
      </c>
      <c r="C435" s="8">
        <f>12.7098 * CHOOSE(CONTROL!$C$15, $D$11, 100%, $F$11)</f>
        <v>12.7098</v>
      </c>
      <c r="D435" s="8">
        <f>12.6925 * CHOOSE( CONTROL!$C$15, $D$11, 100%, $F$11)</f>
        <v>12.692500000000001</v>
      </c>
      <c r="E435" s="12">
        <f>12.6977 * CHOOSE( CONTROL!$C$15, $D$11, 100%, $F$11)</f>
        <v>12.697699999999999</v>
      </c>
      <c r="F435" s="4">
        <f>13.3575 * CHOOSE(CONTROL!$C$15, $D$11, 100%, $F$11)</f>
        <v>13.3575</v>
      </c>
      <c r="G435" s="8">
        <f>12.4145 * CHOOSE( CONTROL!$C$15, $D$11, 100%, $F$11)</f>
        <v>12.4145</v>
      </c>
      <c r="H435" s="4">
        <f>13.2938 * CHOOSE(CONTROL!$C$15, $D$11, 100%, $F$11)</f>
        <v>13.293799999999999</v>
      </c>
      <c r="I435" s="8">
        <f>12.333 * CHOOSE(CONTROL!$C$15, $D$11, 100%, $F$11)</f>
        <v>12.333</v>
      </c>
      <c r="J435" s="4">
        <f>12.1779 * CHOOSE(CONTROL!$C$15, $D$11, 100%, $F$11)</f>
        <v>12.177899999999999</v>
      </c>
      <c r="K435" s="4"/>
      <c r="L435" s="9">
        <v>28.360600000000002</v>
      </c>
      <c r="M435" s="9">
        <v>11.6745</v>
      </c>
      <c r="N435" s="9">
        <v>4.7850000000000001</v>
      </c>
      <c r="O435" s="9">
        <v>0.36199999999999999</v>
      </c>
      <c r="P435" s="9">
        <v>1.2509999999999999</v>
      </c>
      <c r="Q435" s="9">
        <v>19.486799999999999</v>
      </c>
      <c r="R435" s="9"/>
      <c r="S435" s="11"/>
    </row>
    <row r="436" spans="1:19" ht="15.75">
      <c r="A436" s="13">
        <v>54788</v>
      </c>
      <c r="B436" s="8">
        <f>12.6759 * CHOOSE(CONTROL!$C$15, $D$11, 100%, $F$11)</f>
        <v>12.6759</v>
      </c>
      <c r="C436" s="8">
        <f>12.6867 * CHOOSE(CONTROL!$C$15, $D$11, 100%, $F$11)</f>
        <v>12.6867</v>
      </c>
      <c r="D436" s="8">
        <f>12.6711 * CHOOSE( CONTROL!$C$15, $D$11, 100%, $F$11)</f>
        <v>12.671099999999999</v>
      </c>
      <c r="E436" s="12">
        <f>12.6757 * CHOOSE( CONTROL!$C$15, $D$11, 100%, $F$11)</f>
        <v>12.675700000000001</v>
      </c>
      <c r="F436" s="4">
        <f>13.3345 * CHOOSE(CONTROL!$C$15, $D$11, 100%, $F$11)</f>
        <v>13.3345</v>
      </c>
      <c r="G436" s="8">
        <f>12.3932 * CHOOSE( CONTROL!$C$15, $D$11, 100%, $F$11)</f>
        <v>12.3932</v>
      </c>
      <c r="H436" s="4">
        <f>13.2712 * CHOOSE(CONTROL!$C$15, $D$11, 100%, $F$11)</f>
        <v>13.2712</v>
      </c>
      <c r="I436" s="8">
        <f>12.316 * CHOOSE(CONTROL!$C$15, $D$11, 100%, $F$11)</f>
        <v>12.316000000000001</v>
      </c>
      <c r="J436" s="4">
        <f>12.1557 * CHOOSE(CONTROL!$C$15, $D$11, 100%, $F$11)</f>
        <v>12.1557</v>
      </c>
      <c r="K436" s="4"/>
      <c r="L436" s="9">
        <v>29.306000000000001</v>
      </c>
      <c r="M436" s="9">
        <v>12.063700000000001</v>
      </c>
      <c r="N436" s="9">
        <v>4.9444999999999997</v>
      </c>
      <c r="O436" s="9">
        <v>0.37409999999999999</v>
      </c>
      <c r="P436" s="9">
        <v>1.2927</v>
      </c>
      <c r="Q436" s="9">
        <v>20.136399999999998</v>
      </c>
      <c r="R436" s="9"/>
      <c r="S436" s="11"/>
    </row>
    <row r="437" spans="1:19" ht="15.75">
      <c r="A437" s="13">
        <v>54819</v>
      </c>
      <c r="B437" s="8">
        <f>13.0494 * CHOOSE(CONTROL!$C$15, $D$11, 100%, $F$11)</f>
        <v>13.0494</v>
      </c>
      <c r="C437" s="8">
        <f>13.0602 * CHOOSE(CONTROL!$C$15, $D$11, 100%, $F$11)</f>
        <v>13.0602</v>
      </c>
      <c r="D437" s="8">
        <f>13.0416 * CHOOSE( CONTROL!$C$15, $D$11, 100%, $F$11)</f>
        <v>13.041600000000001</v>
      </c>
      <c r="E437" s="12">
        <f>13.0473 * CHOOSE( CONTROL!$C$15, $D$11, 100%, $F$11)</f>
        <v>13.0473</v>
      </c>
      <c r="F437" s="4">
        <f>13.7079 * CHOOSE(CONTROL!$C$15, $D$11, 100%, $F$11)</f>
        <v>13.7079</v>
      </c>
      <c r="G437" s="8">
        <f>12.7508 * CHOOSE( CONTROL!$C$15, $D$11, 100%, $F$11)</f>
        <v>12.7508</v>
      </c>
      <c r="H437" s="4">
        <f>13.6363 * CHOOSE(CONTROL!$C$15, $D$11, 100%, $F$11)</f>
        <v>13.6363</v>
      </c>
      <c r="I437" s="8">
        <f>12.6396 * CHOOSE(CONTROL!$C$15, $D$11, 100%, $F$11)</f>
        <v>12.6396</v>
      </c>
      <c r="J437" s="4">
        <f>12.5143 * CHOOSE(CONTROL!$C$15, $D$11, 100%, $F$11)</f>
        <v>12.5143</v>
      </c>
      <c r="K437" s="4"/>
      <c r="L437" s="9">
        <v>29.306000000000001</v>
      </c>
      <c r="M437" s="9">
        <v>12.063700000000001</v>
      </c>
      <c r="N437" s="9">
        <v>4.9444999999999997</v>
      </c>
      <c r="O437" s="9">
        <v>0.37409999999999999</v>
      </c>
      <c r="P437" s="9">
        <v>1.2927</v>
      </c>
      <c r="Q437" s="9">
        <v>20.071300000000001</v>
      </c>
      <c r="R437" s="9"/>
      <c r="S437" s="11"/>
    </row>
    <row r="438" spans="1:19" ht="15.75">
      <c r="A438" s="13">
        <v>54847</v>
      </c>
      <c r="B438" s="8">
        <f>12.2068 * CHOOSE(CONTROL!$C$15, $D$11, 100%, $F$11)</f>
        <v>12.206799999999999</v>
      </c>
      <c r="C438" s="8">
        <f>12.2175 * CHOOSE(CONTROL!$C$15, $D$11, 100%, $F$11)</f>
        <v>12.217499999999999</v>
      </c>
      <c r="D438" s="8">
        <f>12.1988 * CHOOSE( CONTROL!$C$15, $D$11, 100%, $F$11)</f>
        <v>12.1988</v>
      </c>
      <c r="E438" s="12">
        <f>12.2045 * CHOOSE( CONTROL!$C$15, $D$11, 100%, $F$11)</f>
        <v>12.204499999999999</v>
      </c>
      <c r="F438" s="4">
        <f>12.8653 * CHOOSE(CONTROL!$C$15, $D$11, 100%, $F$11)</f>
        <v>12.8653</v>
      </c>
      <c r="G438" s="8">
        <f>11.9268 * CHOOSE( CONTROL!$C$15, $D$11, 100%, $F$11)</f>
        <v>11.9268</v>
      </c>
      <c r="H438" s="4">
        <f>12.8125 * CHOOSE(CONTROL!$C$15, $D$11, 100%, $F$11)</f>
        <v>12.8125</v>
      </c>
      <c r="I438" s="8">
        <f>11.8299 * CHOOSE(CONTROL!$C$15, $D$11, 100%, $F$11)</f>
        <v>11.8299</v>
      </c>
      <c r="J438" s="4">
        <f>11.7052 * CHOOSE(CONTROL!$C$15, $D$11, 100%, $F$11)</f>
        <v>11.7052</v>
      </c>
      <c r="K438" s="4"/>
      <c r="L438" s="9">
        <v>26.469899999999999</v>
      </c>
      <c r="M438" s="9">
        <v>10.8962</v>
      </c>
      <c r="N438" s="9">
        <v>4.4660000000000002</v>
      </c>
      <c r="O438" s="9">
        <v>0.33789999999999998</v>
      </c>
      <c r="P438" s="9">
        <v>1.1676</v>
      </c>
      <c r="Q438" s="9">
        <v>18.128900000000002</v>
      </c>
      <c r="R438" s="9"/>
      <c r="S438" s="11"/>
    </row>
    <row r="439" spans="1:19" ht="15.75">
      <c r="A439" s="13">
        <v>54878</v>
      </c>
      <c r="B439" s="8">
        <f>11.9472 * CHOOSE(CONTROL!$C$15, $D$11, 100%, $F$11)</f>
        <v>11.9472</v>
      </c>
      <c r="C439" s="8">
        <f>11.958 * CHOOSE(CONTROL!$C$15, $D$11, 100%, $F$11)</f>
        <v>11.958</v>
      </c>
      <c r="D439" s="8">
        <f>11.9388 * CHOOSE( CONTROL!$C$15, $D$11, 100%, $F$11)</f>
        <v>11.938800000000001</v>
      </c>
      <c r="E439" s="12">
        <f>11.9447 * CHOOSE( CONTROL!$C$15, $D$11, 100%, $F$11)</f>
        <v>11.944699999999999</v>
      </c>
      <c r="F439" s="4">
        <f>12.6057 * CHOOSE(CONTROL!$C$15, $D$11, 100%, $F$11)</f>
        <v>12.605700000000001</v>
      </c>
      <c r="G439" s="8">
        <f>11.6727 * CHOOSE( CONTROL!$C$15, $D$11, 100%, $F$11)</f>
        <v>11.672700000000001</v>
      </c>
      <c r="H439" s="4">
        <f>12.5587 * CHOOSE(CONTROL!$C$15, $D$11, 100%, $F$11)</f>
        <v>12.5587</v>
      </c>
      <c r="I439" s="8">
        <f>11.5791 * CHOOSE(CONTROL!$C$15, $D$11, 100%, $F$11)</f>
        <v>11.5791</v>
      </c>
      <c r="J439" s="4">
        <f>11.4561 * CHOOSE(CONTROL!$C$15, $D$11, 100%, $F$11)</f>
        <v>11.456099999999999</v>
      </c>
      <c r="K439" s="4"/>
      <c r="L439" s="9">
        <v>29.306000000000001</v>
      </c>
      <c r="M439" s="9">
        <v>12.063700000000001</v>
      </c>
      <c r="N439" s="9">
        <v>4.9444999999999997</v>
      </c>
      <c r="O439" s="9">
        <v>0.37409999999999999</v>
      </c>
      <c r="P439" s="9">
        <v>1.2927</v>
      </c>
      <c r="Q439" s="9">
        <v>20.071300000000001</v>
      </c>
      <c r="R439" s="9"/>
      <c r="S439" s="11"/>
    </row>
    <row r="440" spans="1:19" ht="15.75">
      <c r="A440" s="13">
        <v>54908</v>
      </c>
      <c r="B440" s="8">
        <f>12.1285 * CHOOSE(CONTROL!$C$15, $D$11, 100%, $F$11)</f>
        <v>12.128500000000001</v>
      </c>
      <c r="C440" s="8">
        <f>12.1393 * CHOOSE(CONTROL!$C$15, $D$11, 100%, $F$11)</f>
        <v>12.1393</v>
      </c>
      <c r="D440" s="8">
        <f>12.1763 * CHOOSE( CONTROL!$C$15, $D$11, 100%, $F$11)</f>
        <v>12.176299999999999</v>
      </c>
      <c r="E440" s="12">
        <f>12.1628 * CHOOSE( CONTROL!$C$15, $D$11, 100%, $F$11)</f>
        <v>12.162800000000001</v>
      </c>
      <c r="F440" s="4">
        <f>12.8678 * CHOOSE(CONTROL!$C$15, $D$11, 100%, $F$11)</f>
        <v>12.867800000000001</v>
      </c>
      <c r="G440" s="8">
        <f>11.8493 * CHOOSE( CONTROL!$C$15, $D$11, 100%, $F$11)</f>
        <v>11.849299999999999</v>
      </c>
      <c r="H440" s="4">
        <f>12.815 * CHOOSE(CONTROL!$C$15, $D$11, 100%, $F$11)</f>
        <v>12.815</v>
      </c>
      <c r="I440" s="8">
        <f>11.7452 * CHOOSE(CONTROL!$C$15, $D$11, 100%, $F$11)</f>
        <v>11.745200000000001</v>
      </c>
      <c r="J440" s="4">
        <f>11.6302 * CHOOSE(CONTROL!$C$15, $D$11, 100%, $F$11)</f>
        <v>11.6302</v>
      </c>
      <c r="K440" s="4"/>
      <c r="L440" s="9">
        <v>30.092199999999998</v>
      </c>
      <c r="M440" s="9">
        <v>11.6745</v>
      </c>
      <c r="N440" s="9">
        <v>4.7850000000000001</v>
      </c>
      <c r="O440" s="9">
        <v>0.36199999999999999</v>
      </c>
      <c r="P440" s="9">
        <v>1.1791</v>
      </c>
      <c r="Q440" s="9">
        <v>19.4238</v>
      </c>
      <c r="R440" s="9"/>
      <c r="S440" s="11"/>
    </row>
    <row r="441" spans="1:19" ht="15.75">
      <c r="A441" s="13">
        <v>54939</v>
      </c>
      <c r="B441" s="8">
        <f>CHOOSE( CONTROL!$C$32, 12.4536, 12.4512) * CHOOSE(CONTROL!$C$15, $D$11, 100%, $F$11)</f>
        <v>12.4536</v>
      </c>
      <c r="C441" s="8">
        <f>CHOOSE( CONTROL!$C$32, 12.4642, 12.4618) * CHOOSE(CONTROL!$C$15, $D$11, 100%, $F$11)</f>
        <v>12.4642</v>
      </c>
      <c r="D441" s="8">
        <f>CHOOSE( CONTROL!$C$32, 12.5, 12.4976) * CHOOSE( CONTROL!$C$15, $D$11, 100%, $F$11)</f>
        <v>12.5</v>
      </c>
      <c r="E441" s="12">
        <f>CHOOSE( CONTROL!$C$32, 12.4854, 12.483) * CHOOSE( CONTROL!$C$15, $D$11, 100%, $F$11)</f>
        <v>12.4854</v>
      </c>
      <c r="F441" s="4">
        <f>CHOOSE( CONTROL!$C$32, 13.193, 13.1906) * CHOOSE(CONTROL!$C$15, $D$11, 100%, $F$11)</f>
        <v>13.193</v>
      </c>
      <c r="G441" s="8">
        <f>CHOOSE( CONTROL!$C$32, 12.1677, 12.1654) * CHOOSE( CONTROL!$C$15, $D$11, 100%, $F$11)</f>
        <v>12.1677</v>
      </c>
      <c r="H441" s="4">
        <f>CHOOSE( CONTROL!$C$32, 13.1329, 13.1305) * CHOOSE(CONTROL!$C$15, $D$11, 100%, $F$11)</f>
        <v>13.132899999999999</v>
      </c>
      <c r="I441" s="8">
        <f>CHOOSE( CONTROL!$C$32, 12.0576, 12.0553) * CHOOSE(CONTROL!$C$15, $D$11, 100%, $F$11)</f>
        <v>12.057600000000001</v>
      </c>
      <c r="J441" s="4">
        <f>CHOOSE( CONTROL!$C$32, 11.9424, 11.9401) * CHOOSE(CONTROL!$C$15, $D$11, 100%, $F$11)</f>
        <v>11.942399999999999</v>
      </c>
      <c r="K441" s="4"/>
      <c r="L441" s="9">
        <v>30.7165</v>
      </c>
      <c r="M441" s="9">
        <v>12.063700000000001</v>
      </c>
      <c r="N441" s="9">
        <v>4.9444999999999997</v>
      </c>
      <c r="O441" s="9">
        <v>0.37409999999999999</v>
      </c>
      <c r="P441" s="9">
        <v>1.2183999999999999</v>
      </c>
      <c r="Q441" s="9">
        <v>20.071300000000001</v>
      </c>
      <c r="R441" s="9"/>
      <c r="S441" s="11"/>
    </row>
    <row r="442" spans="1:19" ht="15.75">
      <c r="A442" s="13">
        <v>54969</v>
      </c>
      <c r="B442" s="8">
        <f>CHOOSE( CONTROL!$C$32, 12.2537, 12.2513) * CHOOSE(CONTROL!$C$15, $D$11, 100%, $F$11)</f>
        <v>12.2537</v>
      </c>
      <c r="C442" s="8">
        <f>CHOOSE( CONTROL!$C$32, 12.2642, 12.2618) * CHOOSE(CONTROL!$C$15, $D$11, 100%, $F$11)</f>
        <v>12.264200000000001</v>
      </c>
      <c r="D442" s="8">
        <f>CHOOSE( CONTROL!$C$32, 12.3003, 12.2979) * CHOOSE( CONTROL!$C$15, $D$11, 100%, $F$11)</f>
        <v>12.3003</v>
      </c>
      <c r="E442" s="12">
        <f>CHOOSE( CONTROL!$C$32, 12.2856, 12.2832) * CHOOSE( CONTROL!$C$15, $D$11, 100%, $F$11)</f>
        <v>12.285600000000001</v>
      </c>
      <c r="F442" s="4">
        <f>CHOOSE( CONTROL!$C$32, 12.993, 12.9906) * CHOOSE(CONTROL!$C$15, $D$11, 100%, $F$11)</f>
        <v>12.993</v>
      </c>
      <c r="G442" s="8">
        <f>CHOOSE( CONTROL!$C$32, 11.9725, 11.9702) * CHOOSE( CONTROL!$C$15, $D$11, 100%, $F$11)</f>
        <v>11.9725</v>
      </c>
      <c r="H442" s="4">
        <f>CHOOSE( CONTROL!$C$32, 12.9374, 12.9351) * CHOOSE(CONTROL!$C$15, $D$11, 100%, $F$11)</f>
        <v>12.9374</v>
      </c>
      <c r="I442" s="8">
        <f>CHOOSE( CONTROL!$C$32, 11.8665, 11.8642) * CHOOSE(CONTROL!$C$15, $D$11, 100%, $F$11)</f>
        <v>11.8665</v>
      </c>
      <c r="J442" s="4">
        <f>CHOOSE( CONTROL!$C$32, 11.7504, 11.7481) * CHOOSE(CONTROL!$C$15, $D$11, 100%, $F$11)</f>
        <v>11.750400000000001</v>
      </c>
      <c r="K442" s="4"/>
      <c r="L442" s="9">
        <v>29.7257</v>
      </c>
      <c r="M442" s="9">
        <v>11.6745</v>
      </c>
      <c r="N442" s="9">
        <v>4.7850000000000001</v>
      </c>
      <c r="O442" s="9">
        <v>0.36199999999999999</v>
      </c>
      <c r="P442" s="9">
        <v>1.1791</v>
      </c>
      <c r="Q442" s="9">
        <v>19.4238</v>
      </c>
      <c r="R442" s="9"/>
      <c r="S442" s="11"/>
    </row>
    <row r="443" spans="1:19" ht="15.75">
      <c r="A443" s="13">
        <v>55000</v>
      </c>
      <c r="B443" s="8">
        <f>CHOOSE( CONTROL!$C$32, 12.7802, 12.7778) * CHOOSE(CONTROL!$C$15, $D$11, 100%, $F$11)</f>
        <v>12.780200000000001</v>
      </c>
      <c r="C443" s="8">
        <f>CHOOSE( CONTROL!$C$32, 12.7908, 12.7884) * CHOOSE(CONTROL!$C$15, $D$11, 100%, $F$11)</f>
        <v>12.790800000000001</v>
      </c>
      <c r="D443" s="8">
        <f>CHOOSE( CONTROL!$C$32, 12.827, 12.8246) * CHOOSE( CONTROL!$C$15, $D$11, 100%, $F$11)</f>
        <v>12.827</v>
      </c>
      <c r="E443" s="12">
        <f>CHOOSE( CONTROL!$C$32, 12.8123, 12.8099) * CHOOSE( CONTROL!$C$15, $D$11, 100%, $F$11)</f>
        <v>12.8123</v>
      </c>
      <c r="F443" s="4">
        <f>CHOOSE( CONTROL!$C$32, 13.5196, 13.5172) * CHOOSE(CONTROL!$C$15, $D$11, 100%, $F$11)</f>
        <v>13.519600000000001</v>
      </c>
      <c r="G443" s="8">
        <f>CHOOSE( CONTROL!$C$32, 12.4876, 12.4853) * CHOOSE( CONTROL!$C$15, $D$11, 100%, $F$11)</f>
        <v>12.4876</v>
      </c>
      <c r="H443" s="4">
        <f>CHOOSE( CONTROL!$C$32, 13.4522, 13.4498) * CHOOSE(CONTROL!$C$15, $D$11, 100%, $F$11)</f>
        <v>13.452199999999999</v>
      </c>
      <c r="I443" s="8">
        <f>CHOOSE( CONTROL!$C$32, 12.3732, 12.3709) * CHOOSE(CONTROL!$C$15, $D$11, 100%, $F$11)</f>
        <v>12.373200000000001</v>
      </c>
      <c r="J443" s="4">
        <f>CHOOSE( CONTROL!$C$32, 12.2559, 12.2536) * CHOOSE(CONTROL!$C$15, $D$11, 100%, $F$11)</f>
        <v>12.2559</v>
      </c>
      <c r="K443" s="4"/>
      <c r="L443" s="9">
        <v>30.7165</v>
      </c>
      <c r="M443" s="9">
        <v>12.063700000000001</v>
      </c>
      <c r="N443" s="9">
        <v>4.9444999999999997</v>
      </c>
      <c r="O443" s="9">
        <v>0.37409999999999999</v>
      </c>
      <c r="P443" s="9">
        <v>1.2183999999999999</v>
      </c>
      <c r="Q443" s="9">
        <v>20.071300000000001</v>
      </c>
      <c r="R443" s="9"/>
      <c r="S443" s="11"/>
    </row>
    <row r="444" spans="1:19" ht="15.75">
      <c r="A444" s="13">
        <v>55031</v>
      </c>
      <c r="B444" s="8">
        <f>CHOOSE( CONTROL!$C$32, 11.795, 11.7926) * CHOOSE(CONTROL!$C$15, $D$11, 100%, $F$11)</f>
        <v>11.795</v>
      </c>
      <c r="C444" s="8">
        <f>CHOOSE( CONTROL!$C$32, 11.8056, 11.8032) * CHOOSE(CONTROL!$C$15, $D$11, 100%, $F$11)</f>
        <v>11.8056</v>
      </c>
      <c r="D444" s="8">
        <f>CHOOSE( CONTROL!$C$32, 11.8419, 11.8395) * CHOOSE( CONTROL!$C$15, $D$11, 100%, $F$11)</f>
        <v>11.841900000000001</v>
      </c>
      <c r="E444" s="12">
        <f>CHOOSE( CONTROL!$C$32, 11.8271, 11.8247) * CHOOSE( CONTROL!$C$15, $D$11, 100%, $F$11)</f>
        <v>11.8271</v>
      </c>
      <c r="F444" s="4">
        <f>CHOOSE( CONTROL!$C$32, 12.5344, 12.532) * CHOOSE(CONTROL!$C$15, $D$11, 100%, $F$11)</f>
        <v>12.5344</v>
      </c>
      <c r="G444" s="8">
        <f>CHOOSE( CONTROL!$C$32, 11.5245, 11.5221) * CHOOSE( CONTROL!$C$15, $D$11, 100%, $F$11)</f>
        <v>11.5245</v>
      </c>
      <c r="H444" s="4">
        <f>CHOOSE( CONTROL!$C$32, 12.489, 12.4866) * CHOOSE(CONTROL!$C$15, $D$11, 100%, $F$11)</f>
        <v>12.489000000000001</v>
      </c>
      <c r="I444" s="8">
        <f>CHOOSE( CONTROL!$C$32, 11.4271, 11.4248) * CHOOSE(CONTROL!$C$15, $D$11, 100%, $F$11)</f>
        <v>11.427099999999999</v>
      </c>
      <c r="J444" s="4">
        <f>CHOOSE( CONTROL!$C$32, 11.31, 11.3077) * CHOOSE(CONTROL!$C$15, $D$11, 100%, $F$11)</f>
        <v>11.31</v>
      </c>
      <c r="K444" s="4"/>
      <c r="L444" s="9">
        <v>30.7165</v>
      </c>
      <c r="M444" s="9">
        <v>12.063700000000001</v>
      </c>
      <c r="N444" s="9">
        <v>4.9444999999999997</v>
      </c>
      <c r="O444" s="9">
        <v>0.37409999999999999</v>
      </c>
      <c r="P444" s="9">
        <v>1.2183999999999999</v>
      </c>
      <c r="Q444" s="9">
        <v>20.071300000000001</v>
      </c>
      <c r="R444" s="9"/>
      <c r="S444" s="11"/>
    </row>
    <row r="445" spans="1:19" ht="15.75">
      <c r="A445" s="13">
        <v>55061</v>
      </c>
      <c r="B445" s="8">
        <f>CHOOSE( CONTROL!$C$32, 11.5483, 11.5459) * CHOOSE(CONTROL!$C$15, $D$11, 100%, $F$11)</f>
        <v>11.548299999999999</v>
      </c>
      <c r="C445" s="8">
        <f>CHOOSE( CONTROL!$C$32, 11.5589, 11.5565) * CHOOSE(CONTROL!$C$15, $D$11, 100%, $F$11)</f>
        <v>11.5589</v>
      </c>
      <c r="D445" s="8">
        <f>CHOOSE( CONTROL!$C$32, 11.5951, 11.5927) * CHOOSE( CONTROL!$C$15, $D$11, 100%, $F$11)</f>
        <v>11.5951</v>
      </c>
      <c r="E445" s="12">
        <f>CHOOSE( CONTROL!$C$32, 11.5804, 11.578) * CHOOSE( CONTROL!$C$15, $D$11, 100%, $F$11)</f>
        <v>11.580399999999999</v>
      </c>
      <c r="F445" s="4">
        <f>CHOOSE( CONTROL!$C$32, 12.2876, 12.2853) * CHOOSE(CONTROL!$C$15, $D$11, 100%, $F$11)</f>
        <v>12.287599999999999</v>
      </c>
      <c r="G445" s="8">
        <f>CHOOSE( CONTROL!$C$32, 11.2832, 11.2808) * CHOOSE( CONTROL!$C$15, $D$11, 100%, $F$11)</f>
        <v>11.283200000000001</v>
      </c>
      <c r="H445" s="4">
        <f>CHOOSE( CONTROL!$C$32, 12.2477, 12.2454) * CHOOSE(CONTROL!$C$15, $D$11, 100%, $F$11)</f>
        <v>12.2477</v>
      </c>
      <c r="I445" s="8">
        <f>CHOOSE( CONTROL!$C$32, 11.1898, 11.1875) * CHOOSE(CONTROL!$C$15, $D$11, 100%, $F$11)</f>
        <v>11.1898</v>
      </c>
      <c r="J445" s="4">
        <f>CHOOSE( CONTROL!$C$32, 11.0732, 11.0709) * CHOOSE(CONTROL!$C$15, $D$11, 100%, $F$11)</f>
        <v>11.0732</v>
      </c>
      <c r="K445" s="4"/>
      <c r="L445" s="9">
        <v>29.7257</v>
      </c>
      <c r="M445" s="9">
        <v>11.6745</v>
      </c>
      <c r="N445" s="9">
        <v>4.7850000000000001</v>
      </c>
      <c r="O445" s="9">
        <v>0.36199999999999999</v>
      </c>
      <c r="P445" s="9">
        <v>1.1791</v>
      </c>
      <c r="Q445" s="9">
        <v>19.4238</v>
      </c>
      <c r="R445" s="9"/>
      <c r="S445" s="11"/>
    </row>
    <row r="446" spans="1:19" ht="15.75">
      <c r="A446" s="13">
        <v>55092</v>
      </c>
      <c r="B446" s="8">
        <f>12.0583 * CHOOSE(CONTROL!$C$15, $D$11, 100%, $F$11)</f>
        <v>12.058299999999999</v>
      </c>
      <c r="C446" s="8">
        <f>12.069 * CHOOSE(CONTROL!$C$15, $D$11, 100%, $F$11)</f>
        <v>12.069000000000001</v>
      </c>
      <c r="D446" s="8">
        <f>12.1066 * CHOOSE( CONTROL!$C$15, $D$11, 100%, $F$11)</f>
        <v>12.1066</v>
      </c>
      <c r="E446" s="12">
        <f>12.093 * CHOOSE( CONTROL!$C$15, $D$11, 100%, $F$11)</f>
        <v>12.093</v>
      </c>
      <c r="F446" s="4">
        <f>12.7975 * CHOOSE(CONTROL!$C$15, $D$11, 100%, $F$11)</f>
        <v>12.797499999999999</v>
      </c>
      <c r="G446" s="8">
        <f>11.7814 * CHOOSE( CONTROL!$C$15, $D$11, 100%, $F$11)</f>
        <v>11.7814</v>
      </c>
      <c r="H446" s="4">
        <f>12.7462 * CHOOSE(CONTROL!$C$15, $D$11, 100%, $F$11)</f>
        <v>12.7462</v>
      </c>
      <c r="I446" s="8">
        <f>11.6803 * CHOOSE(CONTROL!$C$15, $D$11, 100%, $F$11)</f>
        <v>11.680300000000001</v>
      </c>
      <c r="J446" s="4">
        <f>11.5627 * CHOOSE(CONTROL!$C$15, $D$11, 100%, $F$11)</f>
        <v>11.5627</v>
      </c>
      <c r="K446" s="4"/>
      <c r="L446" s="9">
        <v>31.095300000000002</v>
      </c>
      <c r="M446" s="9">
        <v>12.063700000000001</v>
      </c>
      <c r="N446" s="9">
        <v>4.9444999999999997</v>
      </c>
      <c r="O446" s="9">
        <v>0.37409999999999999</v>
      </c>
      <c r="P446" s="9">
        <v>1.2183999999999999</v>
      </c>
      <c r="Q446" s="9">
        <v>20.071300000000001</v>
      </c>
      <c r="R446" s="9"/>
      <c r="S446" s="11"/>
    </row>
    <row r="447" spans="1:19" ht="15.75">
      <c r="A447" s="13">
        <v>55122</v>
      </c>
      <c r="B447" s="8">
        <f>13.0038 * CHOOSE(CONTROL!$C$15, $D$11, 100%, $F$11)</f>
        <v>13.0038</v>
      </c>
      <c r="C447" s="8">
        <f>13.0145 * CHOOSE(CONTROL!$C$15, $D$11, 100%, $F$11)</f>
        <v>13.0145</v>
      </c>
      <c r="D447" s="8">
        <f>12.9973 * CHOOSE( CONTROL!$C$15, $D$11, 100%, $F$11)</f>
        <v>12.997299999999999</v>
      </c>
      <c r="E447" s="12">
        <f>13.0024 * CHOOSE( CONTROL!$C$15, $D$11, 100%, $F$11)</f>
        <v>13.0024</v>
      </c>
      <c r="F447" s="4">
        <f>13.6623 * CHOOSE(CONTROL!$C$15, $D$11, 100%, $F$11)</f>
        <v>13.6623</v>
      </c>
      <c r="G447" s="8">
        <f>12.7125 * CHOOSE( CONTROL!$C$15, $D$11, 100%, $F$11)</f>
        <v>12.7125</v>
      </c>
      <c r="H447" s="4">
        <f>13.5917 * CHOOSE(CONTROL!$C$15, $D$11, 100%, $F$11)</f>
        <v>13.591699999999999</v>
      </c>
      <c r="I447" s="8">
        <f>12.6257 * CHOOSE(CONTROL!$C$15, $D$11, 100%, $F$11)</f>
        <v>12.6257</v>
      </c>
      <c r="J447" s="4">
        <f>12.4705 * CHOOSE(CONTROL!$C$15, $D$11, 100%, $F$11)</f>
        <v>12.470499999999999</v>
      </c>
      <c r="K447" s="4"/>
      <c r="L447" s="9">
        <v>28.360600000000002</v>
      </c>
      <c r="M447" s="9">
        <v>11.6745</v>
      </c>
      <c r="N447" s="9">
        <v>4.7850000000000001</v>
      </c>
      <c r="O447" s="9">
        <v>0.36199999999999999</v>
      </c>
      <c r="P447" s="9">
        <v>1.2509999999999999</v>
      </c>
      <c r="Q447" s="9">
        <v>19.4238</v>
      </c>
      <c r="R447" s="9"/>
      <c r="S447" s="11"/>
    </row>
    <row r="448" spans="1:19" ht="15.75">
      <c r="A448" s="13">
        <v>55153</v>
      </c>
      <c r="B448" s="8">
        <f>12.9802 * CHOOSE(CONTROL!$C$15, $D$11, 100%, $F$11)</f>
        <v>12.9802</v>
      </c>
      <c r="C448" s="8">
        <f>12.9909 * CHOOSE(CONTROL!$C$15, $D$11, 100%, $F$11)</f>
        <v>12.9909</v>
      </c>
      <c r="D448" s="8">
        <f>12.9753 * CHOOSE( CONTROL!$C$15, $D$11, 100%, $F$11)</f>
        <v>12.975300000000001</v>
      </c>
      <c r="E448" s="12">
        <f>12.9799 * CHOOSE( CONTROL!$C$15, $D$11, 100%, $F$11)</f>
        <v>12.979900000000001</v>
      </c>
      <c r="F448" s="4">
        <f>13.6387 * CHOOSE(CONTROL!$C$15, $D$11, 100%, $F$11)</f>
        <v>13.6387</v>
      </c>
      <c r="G448" s="8">
        <f>12.6906 * CHOOSE( CONTROL!$C$15, $D$11, 100%, $F$11)</f>
        <v>12.6906</v>
      </c>
      <c r="H448" s="4">
        <f>13.5686 * CHOOSE(CONTROL!$C$15, $D$11, 100%, $F$11)</f>
        <v>13.5686</v>
      </c>
      <c r="I448" s="8">
        <f>12.6082 * CHOOSE(CONTROL!$C$15, $D$11, 100%, $F$11)</f>
        <v>12.6082</v>
      </c>
      <c r="J448" s="4">
        <f>12.4478 * CHOOSE(CONTROL!$C$15, $D$11, 100%, $F$11)</f>
        <v>12.447800000000001</v>
      </c>
      <c r="K448" s="4"/>
      <c r="L448" s="9">
        <v>29.306000000000001</v>
      </c>
      <c r="M448" s="9">
        <v>12.063700000000001</v>
      </c>
      <c r="N448" s="9">
        <v>4.9444999999999997</v>
      </c>
      <c r="O448" s="9">
        <v>0.37409999999999999</v>
      </c>
      <c r="P448" s="9">
        <v>1.2927</v>
      </c>
      <c r="Q448" s="9">
        <v>20.071300000000001</v>
      </c>
      <c r="R448" s="9"/>
      <c r="S448" s="11"/>
    </row>
    <row r="449" spans="1:19" ht="15.75">
      <c r="A449" s="13">
        <v>55184</v>
      </c>
      <c r="B449" s="8">
        <f>13.3626 * CHOOSE(CONTROL!$C$15, $D$11, 100%, $F$11)</f>
        <v>13.3626</v>
      </c>
      <c r="C449" s="8">
        <f>13.3733 * CHOOSE(CONTROL!$C$15, $D$11, 100%, $F$11)</f>
        <v>13.3733</v>
      </c>
      <c r="D449" s="8">
        <f>13.3547 * CHOOSE( CONTROL!$C$15, $D$11, 100%, $F$11)</f>
        <v>13.354699999999999</v>
      </c>
      <c r="E449" s="12">
        <f>13.3604 * CHOOSE( CONTROL!$C$15, $D$11, 100%, $F$11)</f>
        <v>13.3604</v>
      </c>
      <c r="F449" s="4">
        <f>14.0211 * CHOOSE(CONTROL!$C$15, $D$11, 100%, $F$11)</f>
        <v>14.021100000000001</v>
      </c>
      <c r="G449" s="8">
        <f>13.057 * CHOOSE( CONTROL!$C$15, $D$11, 100%, $F$11)</f>
        <v>13.057</v>
      </c>
      <c r="H449" s="4">
        <f>13.9425 * CHOOSE(CONTROL!$C$15, $D$11, 100%, $F$11)</f>
        <v>13.942500000000001</v>
      </c>
      <c r="I449" s="8">
        <f>12.9405 * CHOOSE(CONTROL!$C$15, $D$11, 100%, $F$11)</f>
        <v>12.9405</v>
      </c>
      <c r="J449" s="4">
        <f>12.815 * CHOOSE(CONTROL!$C$15, $D$11, 100%, $F$11)</f>
        <v>12.815</v>
      </c>
      <c r="K449" s="4"/>
      <c r="L449" s="9">
        <v>29.306000000000001</v>
      </c>
      <c r="M449" s="9">
        <v>12.063700000000001</v>
      </c>
      <c r="N449" s="9">
        <v>4.9444999999999997</v>
      </c>
      <c r="O449" s="9">
        <v>0.37409999999999999</v>
      </c>
      <c r="P449" s="9">
        <v>1.2927</v>
      </c>
      <c r="Q449" s="9">
        <v>20.007999999999999</v>
      </c>
      <c r="R449" s="9"/>
      <c r="S449" s="11"/>
    </row>
    <row r="450" spans="1:19" ht="15.75">
      <c r="A450" s="13">
        <v>55212</v>
      </c>
      <c r="B450" s="8">
        <f>12.4997 * CHOOSE(CONTROL!$C$15, $D$11, 100%, $F$11)</f>
        <v>12.499700000000001</v>
      </c>
      <c r="C450" s="8">
        <f>12.5105 * CHOOSE(CONTROL!$C$15, $D$11, 100%, $F$11)</f>
        <v>12.5105</v>
      </c>
      <c r="D450" s="8">
        <f>12.4917 * CHOOSE( CONTROL!$C$15, $D$11, 100%, $F$11)</f>
        <v>12.4917</v>
      </c>
      <c r="E450" s="12">
        <f>12.4974 * CHOOSE( CONTROL!$C$15, $D$11, 100%, $F$11)</f>
        <v>12.497400000000001</v>
      </c>
      <c r="F450" s="4">
        <f>13.1582 * CHOOSE(CONTROL!$C$15, $D$11, 100%, $F$11)</f>
        <v>13.158200000000001</v>
      </c>
      <c r="G450" s="8">
        <f>12.2132 * CHOOSE( CONTROL!$C$15, $D$11, 100%, $F$11)</f>
        <v>12.213200000000001</v>
      </c>
      <c r="H450" s="4">
        <f>13.0989 * CHOOSE(CONTROL!$C$15, $D$11, 100%, $F$11)</f>
        <v>13.0989</v>
      </c>
      <c r="I450" s="8">
        <f>12.1113 * CHOOSE(CONTROL!$C$15, $D$11, 100%, $F$11)</f>
        <v>12.1113</v>
      </c>
      <c r="J450" s="4">
        <f>11.9865 * CHOOSE(CONTROL!$C$15, $D$11, 100%, $F$11)</f>
        <v>11.986499999999999</v>
      </c>
      <c r="K450" s="4"/>
      <c r="L450" s="9">
        <v>26.469899999999999</v>
      </c>
      <c r="M450" s="9">
        <v>10.8962</v>
      </c>
      <c r="N450" s="9">
        <v>4.4660000000000002</v>
      </c>
      <c r="O450" s="9">
        <v>0.33789999999999998</v>
      </c>
      <c r="P450" s="9">
        <v>1.1676</v>
      </c>
      <c r="Q450" s="9">
        <v>18.0718</v>
      </c>
      <c r="R450" s="9"/>
      <c r="S450" s="11"/>
    </row>
    <row r="451" spans="1:19" ht="15.75">
      <c r="A451" s="13">
        <v>55243</v>
      </c>
      <c r="B451" s="8">
        <f>12.2339 * CHOOSE(CONTROL!$C$15, $D$11, 100%, $F$11)</f>
        <v>12.2339</v>
      </c>
      <c r="C451" s="8">
        <f>12.2447 * CHOOSE(CONTROL!$C$15, $D$11, 100%, $F$11)</f>
        <v>12.2447</v>
      </c>
      <c r="D451" s="8">
        <f>12.2255 * CHOOSE( CONTROL!$C$15, $D$11, 100%, $F$11)</f>
        <v>12.2255</v>
      </c>
      <c r="E451" s="12">
        <f>12.2314 * CHOOSE( CONTROL!$C$15, $D$11, 100%, $F$11)</f>
        <v>12.231400000000001</v>
      </c>
      <c r="F451" s="4">
        <f>12.8924 * CHOOSE(CONTROL!$C$15, $D$11, 100%, $F$11)</f>
        <v>12.8924</v>
      </c>
      <c r="G451" s="8">
        <f>11.953 * CHOOSE( CONTROL!$C$15, $D$11, 100%, $F$11)</f>
        <v>11.952999999999999</v>
      </c>
      <c r="H451" s="4">
        <f>12.839 * CHOOSE(CONTROL!$C$15, $D$11, 100%, $F$11)</f>
        <v>12.839</v>
      </c>
      <c r="I451" s="8">
        <f>11.8545 * CHOOSE(CONTROL!$C$15, $D$11, 100%, $F$11)</f>
        <v>11.8545</v>
      </c>
      <c r="J451" s="4">
        <f>11.7313 * CHOOSE(CONTROL!$C$15, $D$11, 100%, $F$11)</f>
        <v>11.731299999999999</v>
      </c>
      <c r="K451" s="4"/>
      <c r="L451" s="9">
        <v>29.306000000000001</v>
      </c>
      <c r="M451" s="9">
        <v>12.063700000000001</v>
      </c>
      <c r="N451" s="9">
        <v>4.9444999999999997</v>
      </c>
      <c r="O451" s="9">
        <v>0.37409999999999999</v>
      </c>
      <c r="P451" s="9">
        <v>1.2927</v>
      </c>
      <c r="Q451" s="9">
        <v>20.007999999999999</v>
      </c>
      <c r="R451" s="9"/>
      <c r="S451" s="11"/>
    </row>
    <row r="452" spans="1:19" ht="15.75">
      <c r="A452" s="13">
        <v>55273</v>
      </c>
      <c r="B452" s="8">
        <f>12.4196 * CHOOSE(CONTROL!$C$15, $D$11, 100%, $F$11)</f>
        <v>12.419600000000001</v>
      </c>
      <c r="C452" s="8">
        <f>12.4304 * CHOOSE(CONTROL!$C$15, $D$11, 100%, $F$11)</f>
        <v>12.430400000000001</v>
      </c>
      <c r="D452" s="8">
        <f>12.4673 * CHOOSE( CONTROL!$C$15, $D$11, 100%, $F$11)</f>
        <v>12.4673</v>
      </c>
      <c r="E452" s="12">
        <f>12.4539 * CHOOSE( CONTROL!$C$15, $D$11, 100%, $F$11)</f>
        <v>12.453900000000001</v>
      </c>
      <c r="F452" s="4">
        <f>13.1589 * CHOOSE(CONTROL!$C$15, $D$11, 100%, $F$11)</f>
        <v>13.158899999999999</v>
      </c>
      <c r="G452" s="8">
        <f>12.1338 * CHOOSE( CONTROL!$C$15, $D$11, 100%, $F$11)</f>
        <v>12.133800000000001</v>
      </c>
      <c r="H452" s="4">
        <f>13.0995 * CHOOSE(CONTROL!$C$15, $D$11, 100%, $F$11)</f>
        <v>13.099500000000001</v>
      </c>
      <c r="I452" s="8">
        <f>12.0247 * CHOOSE(CONTROL!$C$15, $D$11, 100%, $F$11)</f>
        <v>12.024699999999999</v>
      </c>
      <c r="J452" s="4">
        <f>11.9096 * CHOOSE(CONTROL!$C$15, $D$11, 100%, $F$11)</f>
        <v>11.909599999999999</v>
      </c>
      <c r="K452" s="4"/>
      <c r="L452" s="9">
        <v>30.092199999999998</v>
      </c>
      <c r="M452" s="9">
        <v>11.6745</v>
      </c>
      <c r="N452" s="9">
        <v>4.7850000000000001</v>
      </c>
      <c r="O452" s="9">
        <v>0.36199999999999999</v>
      </c>
      <c r="P452" s="9">
        <v>1.1791</v>
      </c>
      <c r="Q452" s="9">
        <v>19.3626</v>
      </c>
      <c r="R452" s="9"/>
      <c r="S452" s="11"/>
    </row>
    <row r="453" spans="1:19" ht="15.75">
      <c r="A453" s="13">
        <v>55304</v>
      </c>
      <c r="B453" s="8">
        <f>CHOOSE( CONTROL!$C$32, 12.7524, 12.75) * CHOOSE(CONTROL!$C$15, $D$11, 100%, $F$11)</f>
        <v>12.7524</v>
      </c>
      <c r="C453" s="8">
        <f>CHOOSE( CONTROL!$C$32, 12.763, 12.7606) * CHOOSE(CONTROL!$C$15, $D$11, 100%, $F$11)</f>
        <v>12.763</v>
      </c>
      <c r="D453" s="8">
        <f>CHOOSE( CONTROL!$C$32, 12.7988, 12.7964) * CHOOSE( CONTROL!$C$15, $D$11, 100%, $F$11)</f>
        <v>12.7988</v>
      </c>
      <c r="E453" s="12">
        <f>CHOOSE( CONTROL!$C$32, 12.7842, 12.7818) * CHOOSE( CONTROL!$C$15, $D$11, 100%, $F$11)</f>
        <v>12.7842</v>
      </c>
      <c r="F453" s="4">
        <f>CHOOSE( CONTROL!$C$32, 13.4918, 13.4894) * CHOOSE(CONTROL!$C$15, $D$11, 100%, $F$11)</f>
        <v>13.4918</v>
      </c>
      <c r="G453" s="8">
        <f>CHOOSE( CONTROL!$C$32, 12.4598, 12.4575) * CHOOSE( CONTROL!$C$15, $D$11, 100%, $F$11)</f>
        <v>12.4598</v>
      </c>
      <c r="H453" s="4">
        <f>CHOOSE( CONTROL!$C$32, 13.425, 13.4227) * CHOOSE(CONTROL!$C$15, $D$11, 100%, $F$11)</f>
        <v>13.425000000000001</v>
      </c>
      <c r="I453" s="8">
        <f>CHOOSE( CONTROL!$C$32, 12.3446, 12.3423) * CHOOSE(CONTROL!$C$15, $D$11, 100%, $F$11)</f>
        <v>12.3446</v>
      </c>
      <c r="J453" s="4">
        <f>CHOOSE( CONTROL!$C$32, 12.2293, 12.227) * CHOOSE(CONTROL!$C$15, $D$11, 100%, $F$11)</f>
        <v>12.2293</v>
      </c>
      <c r="K453" s="4"/>
      <c r="L453" s="9">
        <v>30.7165</v>
      </c>
      <c r="M453" s="9">
        <v>12.063700000000001</v>
      </c>
      <c r="N453" s="9">
        <v>4.9444999999999997</v>
      </c>
      <c r="O453" s="9">
        <v>0.37409999999999999</v>
      </c>
      <c r="P453" s="9">
        <v>1.2183999999999999</v>
      </c>
      <c r="Q453" s="9">
        <v>20.007999999999999</v>
      </c>
      <c r="R453" s="9"/>
      <c r="S453" s="11"/>
    </row>
    <row r="454" spans="1:19" ht="15.75">
      <c r="A454" s="13">
        <v>55334</v>
      </c>
      <c r="B454" s="8">
        <f>CHOOSE( CONTROL!$C$32, 12.5477, 12.5453) * CHOOSE(CONTROL!$C$15, $D$11, 100%, $F$11)</f>
        <v>12.547700000000001</v>
      </c>
      <c r="C454" s="8">
        <f>CHOOSE( CONTROL!$C$32, 12.5582, 12.5558) * CHOOSE(CONTROL!$C$15, $D$11, 100%, $F$11)</f>
        <v>12.558199999999999</v>
      </c>
      <c r="D454" s="8">
        <f>CHOOSE( CONTROL!$C$32, 12.5943, 12.5919) * CHOOSE( CONTROL!$C$15, $D$11, 100%, $F$11)</f>
        <v>12.5943</v>
      </c>
      <c r="E454" s="12">
        <f>CHOOSE( CONTROL!$C$32, 12.5796, 12.5772) * CHOOSE( CONTROL!$C$15, $D$11, 100%, $F$11)</f>
        <v>12.579599999999999</v>
      </c>
      <c r="F454" s="4">
        <f>CHOOSE( CONTROL!$C$32, 13.287, 13.2846) * CHOOSE(CONTROL!$C$15, $D$11, 100%, $F$11)</f>
        <v>13.287000000000001</v>
      </c>
      <c r="G454" s="8">
        <f>CHOOSE( CONTROL!$C$32, 12.26, 12.2576) * CHOOSE( CONTROL!$C$15, $D$11, 100%, $F$11)</f>
        <v>12.26</v>
      </c>
      <c r="H454" s="4">
        <f>CHOOSE( CONTROL!$C$32, 13.2248, 13.2225) * CHOOSE(CONTROL!$C$15, $D$11, 100%, $F$11)</f>
        <v>13.2248</v>
      </c>
      <c r="I454" s="8">
        <f>CHOOSE( CONTROL!$C$32, 12.1489, 12.1466) * CHOOSE(CONTROL!$C$15, $D$11, 100%, $F$11)</f>
        <v>12.148899999999999</v>
      </c>
      <c r="J454" s="4">
        <f>CHOOSE( CONTROL!$C$32, 12.0327, 12.0304) * CHOOSE(CONTROL!$C$15, $D$11, 100%, $F$11)</f>
        <v>12.0327</v>
      </c>
      <c r="K454" s="4"/>
      <c r="L454" s="9">
        <v>29.7257</v>
      </c>
      <c r="M454" s="9">
        <v>11.6745</v>
      </c>
      <c r="N454" s="9">
        <v>4.7850000000000001</v>
      </c>
      <c r="O454" s="9">
        <v>0.36199999999999999</v>
      </c>
      <c r="P454" s="9">
        <v>1.1791</v>
      </c>
      <c r="Q454" s="9">
        <v>19.3626</v>
      </c>
      <c r="R454" s="9"/>
      <c r="S454" s="11"/>
    </row>
    <row r="455" spans="1:19" ht="15.75">
      <c r="A455" s="13">
        <v>55365</v>
      </c>
      <c r="B455" s="8">
        <f>CHOOSE( CONTROL!$C$32, 13.0869, 13.0845) * CHOOSE(CONTROL!$C$15, $D$11, 100%, $F$11)</f>
        <v>13.0869</v>
      </c>
      <c r="C455" s="8">
        <f>CHOOSE( CONTROL!$C$32, 13.0974, 13.095) * CHOOSE(CONTROL!$C$15, $D$11, 100%, $F$11)</f>
        <v>13.0974</v>
      </c>
      <c r="D455" s="8">
        <f>CHOOSE( CONTROL!$C$32, 13.1337, 13.1313) * CHOOSE( CONTROL!$C$15, $D$11, 100%, $F$11)</f>
        <v>13.133699999999999</v>
      </c>
      <c r="E455" s="12">
        <f>CHOOSE( CONTROL!$C$32, 13.1189, 13.1165) * CHOOSE( CONTROL!$C$15, $D$11, 100%, $F$11)</f>
        <v>13.1189</v>
      </c>
      <c r="F455" s="4">
        <f>CHOOSE( CONTROL!$C$32, 13.8262, 13.8238) * CHOOSE(CONTROL!$C$15, $D$11, 100%, $F$11)</f>
        <v>13.8262</v>
      </c>
      <c r="G455" s="8">
        <f>CHOOSE( CONTROL!$C$32, 12.7874, 12.7851) * CHOOSE( CONTROL!$C$15, $D$11, 100%, $F$11)</f>
        <v>12.7874</v>
      </c>
      <c r="H455" s="4">
        <f>CHOOSE( CONTROL!$C$32, 13.752, 13.7497) * CHOOSE(CONTROL!$C$15, $D$11, 100%, $F$11)</f>
        <v>13.752000000000001</v>
      </c>
      <c r="I455" s="8">
        <f>CHOOSE( CONTROL!$C$32, 12.6678, 12.6655) * CHOOSE(CONTROL!$C$15, $D$11, 100%, $F$11)</f>
        <v>12.6678</v>
      </c>
      <c r="J455" s="4">
        <f>CHOOSE( CONTROL!$C$32, 12.5504, 12.5481) * CHOOSE(CONTROL!$C$15, $D$11, 100%, $F$11)</f>
        <v>12.5504</v>
      </c>
      <c r="K455" s="4"/>
      <c r="L455" s="9">
        <v>30.7165</v>
      </c>
      <c r="M455" s="9">
        <v>12.063700000000001</v>
      </c>
      <c r="N455" s="9">
        <v>4.9444999999999997</v>
      </c>
      <c r="O455" s="9">
        <v>0.37409999999999999</v>
      </c>
      <c r="P455" s="9">
        <v>1.2183999999999999</v>
      </c>
      <c r="Q455" s="9">
        <v>20.007999999999999</v>
      </c>
      <c r="R455" s="9"/>
      <c r="S455" s="11"/>
    </row>
    <row r="456" spans="1:19" ht="15.75">
      <c r="A456" s="13">
        <v>55396</v>
      </c>
      <c r="B456" s="8">
        <f>CHOOSE( CONTROL!$C$32, 12.078, 12.0756) * CHOOSE(CONTROL!$C$15, $D$11, 100%, $F$11)</f>
        <v>12.077999999999999</v>
      </c>
      <c r="C456" s="8">
        <f>CHOOSE( CONTROL!$C$32, 12.0885, 12.0862) * CHOOSE(CONTROL!$C$15, $D$11, 100%, $F$11)</f>
        <v>12.0885</v>
      </c>
      <c r="D456" s="8">
        <f>CHOOSE( CONTROL!$C$32, 12.1248, 12.1225) * CHOOSE( CONTROL!$C$15, $D$11, 100%, $F$11)</f>
        <v>12.1248</v>
      </c>
      <c r="E456" s="12">
        <f>CHOOSE( CONTROL!$C$32, 12.11, 12.1077) * CHOOSE( CONTROL!$C$15, $D$11, 100%, $F$11)</f>
        <v>12.11</v>
      </c>
      <c r="F456" s="4">
        <f>CHOOSE( CONTROL!$C$32, 12.8173, 12.8149) * CHOOSE(CONTROL!$C$15, $D$11, 100%, $F$11)</f>
        <v>12.817299999999999</v>
      </c>
      <c r="G456" s="8">
        <f>CHOOSE( CONTROL!$C$32, 11.8011, 11.7988) * CHOOSE( CONTROL!$C$15, $D$11, 100%, $F$11)</f>
        <v>11.8011</v>
      </c>
      <c r="H456" s="4">
        <f>CHOOSE( CONTROL!$C$32, 12.7656, 12.7633) * CHOOSE(CONTROL!$C$15, $D$11, 100%, $F$11)</f>
        <v>12.765599999999999</v>
      </c>
      <c r="I456" s="8">
        <f>CHOOSE( CONTROL!$C$32, 11.6989, 11.6966) * CHOOSE(CONTROL!$C$15, $D$11, 100%, $F$11)</f>
        <v>11.6989</v>
      </c>
      <c r="J456" s="4">
        <f>CHOOSE( CONTROL!$C$32, 11.5817, 11.5794) * CHOOSE(CONTROL!$C$15, $D$11, 100%, $F$11)</f>
        <v>11.5817</v>
      </c>
      <c r="K456" s="4"/>
      <c r="L456" s="9">
        <v>30.7165</v>
      </c>
      <c r="M456" s="9">
        <v>12.063700000000001</v>
      </c>
      <c r="N456" s="9">
        <v>4.9444999999999997</v>
      </c>
      <c r="O456" s="9">
        <v>0.37409999999999999</v>
      </c>
      <c r="P456" s="9">
        <v>1.2183999999999999</v>
      </c>
      <c r="Q456" s="9">
        <v>20.007999999999999</v>
      </c>
      <c r="R456" s="9"/>
      <c r="S456" s="11"/>
    </row>
    <row r="457" spans="1:19" ht="15.75">
      <c r="A457" s="13">
        <v>55426</v>
      </c>
      <c r="B457" s="8">
        <f>CHOOSE( CONTROL!$C$32, 11.8253, 11.823) * CHOOSE(CONTROL!$C$15, $D$11, 100%, $F$11)</f>
        <v>11.8253</v>
      </c>
      <c r="C457" s="8">
        <f>CHOOSE( CONTROL!$C$32, 11.8359, 11.8335) * CHOOSE(CONTROL!$C$15, $D$11, 100%, $F$11)</f>
        <v>11.835900000000001</v>
      </c>
      <c r="D457" s="8">
        <f>CHOOSE( CONTROL!$C$32, 11.8721, 11.8698) * CHOOSE( CONTROL!$C$15, $D$11, 100%, $F$11)</f>
        <v>11.8721</v>
      </c>
      <c r="E457" s="12">
        <f>CHOOSE( CONTROL!$C$32, 11.8574, 11.855) * CHOOSE( CONTROL!$C$15, $D$11, 100%, $F$11)</f>
        <v>11.8574</v>
      </c>
      <c r="F457" s="4">
        <f>CHOOSE( CONTROL!$C$32, 12.5647, 12.5623) * CHOOSE(CONTROL!$C$15, $D$11, 100%, $F$11)</f>
        <v>12.5647</v>
      </c>
      <c r="G457" s="8">
        <f>CHOOSE( CONTROL!$C$32, 11.554, 11.5517) * CHOOSE( CONTROL!$C$15, $D$11, 100%, $F$11)</f>
        <v>11.554</v>
      </c>
      <c r="H457" s="4">
        <f>CHOOSE( CONTROL!$C$32, 12.5186, 12.5163) * CHOOSE(CONTROL!$C$15, $D$11, 100%, $F$11)</f>
        <v>12.518599999999999</v>
      </c>
      <c r="I457" s="8">
        <f>CHOOSE( CONTROL!$C$32, 11.456, 11.4537) * CHOOSE(CONTROL!$C$15, $D$11, 100%, $F$11)</f>
        <v>11.456</v>
      </c>
      <c r="J457" s="4">
        <f>CHOOSE( CONTROL!$C$32, 11.3392, 11.3369) * CHOOSE(CONTROL!$C$15, $D$11, 100%, $F$11)</f>
        <v>11.3392</v>
      </c>
      <c r="K457" s="4"/>
      <c r="L457" s="9">
        <v>29.7257</v>
      </c>
      <c r="M457" s="9">
        <v>11.6745</v>
      </c>
      <c r="N457" s="9">
        <v>4.7850000000000001</v>
      </c>
      <c r="O457" s="9">
        <v>0.36199999999999999</v>
      </c>
      <c r="P457" s="9">
        <v>1.1791</v>
      </c>
      <c r="Q457" s="9">
        <v>19.3626</v>
      </c>
      <c r="R457" s="9"/>
      <c r="S457" s="11"/>
    </row>
    <row r="458" spans="1:19" ht="15.75">
      <c r="A458" s="13">
        <v>55457</v>
      </c>
      <c r="B458" s="8">
        <f>12.3476 * CHOOSE(CONTROL!$C$15, $D$11, 100%, $F$11)</f>
        <v>12.3476</v>
      </c>
      <c r="C458" s="8">
        <f>12.3584 * CHOOSE(CONTROL!$C$15, $D$11, 100%, $F$11)</f>
        <v>12.3584</v>
      </c>
      <c r="D458" s="8">
        <f>12.3959 * CHOOSE( CONTROL!$C$15, $D$11, 100%, $F$11)</f>
        <v>12.395899999999999</v>
      </c>
      <c r="E458" s="12">
        <f>12.3824 * CHOOSE( CONTROL!$C$15, $D$11, 100%, $F$11)</f>
        <v>12.382400000000001</v>
      </c>
      <c r="F458" s="4">
        <f>13.0869 * CHOOSE(CONTROL!$C$15, $D$11, 100%, $F$11)</f>
        <v>13.0869</v>
      </c>
      <c r="G458" s="8">
        <f>12.0643 * CHOOSE( CONTROL!$C$15, $D$11, 100%, $F$11)</f>
        <v>12.064299999999999</v>
      </c>
      <c r="H458" s="4">
        <f>13.0291 * CHOOSE(CONTROL!$C$15, $D$11, 100%, $F$11)</f>
        <v>13.0291</v>
      </c>
      <c r="I458" s="8">
        <f>11.9583 * CHOOSE(CONTROL!$C$15, $D$11, 100%, $F$11)</f>
        <v>11.958299999999999</v>
      </c>
      <c r="J458" s="4">
        <f>11.8405 * CHOOSE(CONTROL!$C$15, $D$11, 100%, $F$11)</f>
        <v>11.8405</v>
      </c>
      <c r="K458" s="4"/>
      <c r="L458" s="9">
        <v>31.095300000000002</v>
      </c>
      <c r="M458" s="9">
        <v>12.063700000000001</v>
      </c>
      <c r="N458" s="9">
        <v>4.9444999999999997</v>
      </c>
      <c r="O458" s="9">
        <v>0.37409999999999999</v>
      </c>
      <c r="P458" s="9">
        <v>1.2183999999999999</v>
      </c>
      <c r="Q458" s="9">
        <v>20.007999999999999</v>
      </c>
      <c r="R458" s="9"/>
      <c r="S458" s="11"/>
    </row>
    <row r="459" spans="1:19" ht="15.75">
      <c r="A459" s="13">
        <v>55487</v>
      </c>
      <c r="B459" s="8">
        <f>13.3159 * CHOOSE(CONTROL!$C$15, $D$11, 100%, $F$11)</f>
        <v>13.315899999999999</v>
      </c>
      <c r="C459" s="8">
        <f>13.3266 * CHOOSE(CONTROL!$C$15, $D$11, 100%, $F$11)</f>
        <v>13.326599999999999</v>
      </c>
      <c r="D459" s="8">
        <f>13.3094 * CHOOSE( CONTROL!$C$15, $D$11, 100%, $F$11)</f>
        <v>13.3094</v>
      </c>
      <c r="E459" s="12">
        <f>13.3145 * CHOOSE( CONTROL!$C$15, $D$11, 100%, $F$11)</f>
        <v>13.314500000000001</v>
      </c>
      <c r="F459" s="4">
        <f>13.9744 * CHOOSE(CONTROL!$C$15, $D$11, 100%, $F$11)</f>
        <v>13.974399999999999</v>
      </c>
      <c r="G459" s="8">
        <f>13.0176 * CHOOSE( CONTROL!$C$15, $D$11, 100%, $F$11)</f>
        <v>13.0176</v>
      </c>
      <c r="H459" s="4">
        <f>13.8969 * CHOOSE(CONTROL!$C$15, $D$11, 100%, $F$11)</f>
        <v>13.8969</v>
      </c>
      <c r="I459" s="8">
        <f>12.9255 * CHOOSE(CONTROL!$C$15, $D$11, 100%, $F$11)</f>
        <v>12.9255</v>
      </c>
      <c r="J459" s="4">
        <f>12.7701 * CHOOSE(CONTROL!$C$15, $D$11, 100%, $F$11)</f>
        <v>12.770099999999999</v>
      </c>
      <c r="K459" s="4"/>
      <c r="L459" s="9">
        <v>28.360600000000002</v>
      </c>
      <c r="M459" s="9">
        <v>11.6745</v>
      </c>
      <c r="N459" s="9">
        <v>4.7850000000000001</v>
      </c>
      <c r="O459" s="9">
        <v>0.36199999999999999</v>
      </c>
      <c r="P459" s="9">
        <v>1.2509999999999999</v>
      </c>
      <c r="Q459" s="9">
        <v>19.3626</v>
      </c>
      <c r="R459" s="9"/>
      <c r="S459" s="11"/>
    </row>
    <row r="460" spans="1:19" ht="15.75">
      <c r="A460" s="13">
        <v>55518</v>
      </c>
      <c r="B460" s="8">
        <f>13.2917 * CHOOSE(CONTROL!$C$15, $D$11, 100%, $F$11)</f>
        <v>13.291700000000001</v>
      </c>
      <c r="C460" s="8">
        <f>13.3024 * CHOOSE(CONTROL!$C$15, $D$11, 100%, $F$11)</f>
        <v>13.3024</v>
      </c>
      <c r="D460" s="8">
        <f>13.2869 * CHOOSE( CONTROL!$C$15, $D$11, 100%, $F$11)</f>
        <v>13.286899999999999</v>
      </c>
      <c r="E460" s="12">
        <f>13.2914 * CHOOSE( CONTROL!$C$15, $D$11, 100%, $F$11)</f>
        <v>13.291399999999999</v>
      </c>
      <c r="F460" s="4">
        <f>13.9502 * CHOOSE(CONTROL!$C$15, $D$11, 100%, $F$11)</f>
        <v>13.950200000000001</v>
      </c>
      <c r="G460" s="8">
        <f>12.9952 * CHOOSE( CONTROL!$C$15, $D$11, 100%, $F$11)</f>
        <v>12.995200000000001</v>
      </c>
      <c r="H460" s="4">
        <f>13.8732 * CHOOSE(CONTROL!$C$15, $D$11, 100%, $F$11)</f>
        <v>13.873200000000001</v>
      </c>
      <c r="I460" s="8">
        <f>12.9075 * CHOOSE(CONTROL!$C$15, $D$11, 100%, $F$11)</f>
        <v>12.907500000000001</v>
      </c>
      <c r="J460" s="4">
        <f>12.7469 * CHOOSE(CONTROL!$C$15, $D$11, 100%, $F$11)</f>
        <v>12.7469</v>
      </c>
      <c r="K460" s="4"/>
      <c r="L460" s="9">
        <v>29.306000000000001</v>
      </c>
      <c r="M460" s="9">
        <v>12.063700000000001</v>
      </c>
      <c r="N460" s="9">
        <v>4.9444999999999997</v>
      </c>
      <c r="O460" s="9">
        <v>0.37409999999999999</v>
      </c>
      <c r="P460" s="9">
        <v>1.2927</v>
      </c>
      <c r="Q460" s="9">
        <v>20.007999999999999</v>
      </c>
      <c r="R460" s="9"/>
      <c r="S460" s="11"/>
    </row>
    <row r="461" spans="1:19" ht="15.75">
      <c r="A461" s="13">
        <v>55549</v>
      </c>
      <c r="B461" s="8">
        <f>13.6833 * CHOOSE(CONTROL!$C$15, $D$11, 100%, $F$11)</f>
        <v>13.683299999999999</v>
      </c>
      <c r="C461" s="8">
        <f>13.6941 * CHOOSE(CONTROL!$C$15, $D$11, 100%, $F$11)</f>
        <v>13.694100000000001</v>
      </c>
      <c r="D461" s="8">
        <f>13.6754 * CHOOSE( CONTROL!$C$15, $D$11, 100%, $F$11)</f>
        <v>13.6754</v>
      </c>
      <c r="E461" s="12">
        <f>13.6811 * CHOOSE( CONTROL!$C$15, $D$11, 100%, $F$11)</f>
        <v>13.681100000000001</v>
      </c>
      <c r="F461" s="4">
        <f>14.3418 * CHOOSE(CONTROL!$C$15, $D$11, 100%, $F$11)</f>
        <v>14.341799999999999</v>
      </c>
      <c r="G461" s="8">
        <f>13.3705 * CHOOSE( CONTROL!$C$15, $D$11, 100%, $F$11)</f>
        <v>13.3705</v>
      </c>
      <c r="H461" s="4">
        <f>14.2561 * CHOOSE(CONTROL!$C$15, $D$11, 100%, $F$11)</f>
        <v>14.2561</v>
      </c>
      <c r="I461" s="8">
        <f>13.2485 * CHOOSE(CONTROL!$C$15, $D$11, 100%, $F$11)</f>
        <v>13.2485</v>
      </c>
      <c r="J461" s="4">
        <f>13.1229 * CHOOSE(CONTROL!$C$15, $D$11, 100%, $F$11)</f>
        <v>13.1229</v>
      </c>
      <c r="K461" s="4"/>
      <c r="L461" s="9">
        <v>29.306000000000001</v>
      </c>
      <c r="M461" s="9">
        <v>12.063700000000001</v>
      </c>
      <c r="N461" s="9">
        <v>4.9444999999999997</v>
      </c>
      <c r="O461" s="9">
        <v>0.37409999999999999</v>
      </c>
      <c r="P461" s="9">
        <v>1.2927</v>
      </c>
      <c r="Q461" s="9">
        <v>19.942900000000002</v>
      </c>
      <c r="R461" s="9"/>
      <c r="S461" s="11"/>
    </row>
    <row r="462" spans="1:19" ht="15.75">
      <c r="A462" s="13">
        <v>55577</v>
      </c>
      <c r="B462" s="8">
        <f>12.7997 * CHOOSE(CONTROL!$C$15, $D$11, 100%, $F$11)</f>
        <v>12.7997</v>
      </c>
      <c r="C462" s="8">
        <f>12.8104 * CHOOSE(CONTROL!$C$15, $D$11, 100%, $F$11)</f>
        <v>12.8104</v>
      </c>
      <c r="D462" s="8">
        <f>12.7917 * CHOOSE( CONTROL!$C$15, $D$11, 100%, $F$11)</f>
        <v>12.791700000000001</v>
      </c>
      <c r="E462" s="12">
        <f>12.7974 * CHOOSE( CONTROL!$C$15, $D$11, 100%, $F$11)</f>
        <v>12.7974</v>
      </c>
      <c r="F462" s="4">
        <f>13.4582 * CHOOSE(CONTROL!$C$15, $D$11, 100%, $F$11)</f>
        <v>13.4582</v>
      </c>
      <c r="G462" s="8">
        <f>12.5065 * CHOOSE( CONTROL!$C$15, $D$11, 100%, $F$11)</f>
        <v>12.506500000000001</v>
      </c>
      <c r="H462" s="4">
        <f>13.3922 * CHOOSE(CONTROL!$C$15, $D$11, 100%, $F$11)</f>
        <v>13.392200000000001</v>
      </c>
      <c r="I462" s="8">
        <f>12.3994 * CHOOSE(CONTROL!$C$15, $D$11, 100%, $F$11)</f>
        <v>12.3994</v>
      </c>
      <c r="J462" s="4">
        <f>12.2745 * CHOOSE(CONTROL!$C$15, $D$11, 100%, $F$11)</f>
        <v>12.2745</v>
      </c>
      <c r="K462" s="4"/>
      <c r="L462" s="9">
        <v>27.415299999999998</v>
      </c>
      <c r="M462" s="9">
        <v>11.285299999999999</v>
      </c>
      <c r="N462" s="9">
        <v>4.6254999999999997</v>
      </c>
      <c r="O462" s="9">
        <v>0.34989999999999999</v>
      </c>
      <c r="P462" s="9">
        <v>1.2093</v>
      </c>
      <c r="Q462" s="9">
        <v>18.656300000000002</v>
      </c>
      <c r="R462" s="9"/>
      <c r="S462" s="11"/>
    </row>
    <row r="463" spans="1:19" ht="15.75">
      <c r="A463" s="13">
        <v>55609</v>
      </c>
      <c r="B463" s="8">
        <f>12.5275 * CHOOSE(CONTROL!$C$15, $D$11, 100%, $F$11)</f>
        <v>12.5275</v>
      </c>
      <c r="C463" s="8">
        <f>12.5383 * CHOOSE(CONTROL!$C$15, $D$11, 100%, $F$11)</f>
        <v>12.5383</v>
      </c>
      <c r="D463" s="8">
        <f>12.5191 * CHOOSE( CONTROL!$C$15, $D$11, 100%, $F$11)</f>
        <v>12.5191</v>
      </c>
      <c r="E463" s="12">
        <f>12.525 * CHOOSE( CONTROL!$C$15, $D$11, 100%, $F$11)</f>
        <v>12.525</v>
      </c>
      <c r="F463" s="4">
        <f>13.186 * CHOOSE(CONTROL!$C$15, $D$11, 100%, $F$11)</f>
        <v>13.186</v>
      </c>
      <c r="G463" s="8">
        <f>12.2401 * CHOOSE( CONTROL!$C$15, $D$11, 100%, $F$11)</f>
        <v>12.2401</v>
      </c>
      <c r="H463" s="4">
        <f>13.1261 * CHOOSE(CONTROL!$C$15, $D$11, 100%, $F$11)</f>
        <v>13.126099999999999</v>
      </c>
      <c r="I463" s="8">
        <f>12.1365 * CHOOSE(CONTROL!$C$15, $D$11, 100%, $F$11)</f>
        <v>12.1365</v>
      </c>
      <c r="J463" s="4">
        <f>12.0132 * CHOOSE(CONTROL!$C$15, $D$11, 100%, $F$11)</f>
        <v>12.013199999999999</v>
      </c>
      <c r="K463" s="4"/>
      <c r="L463" s="9">
        <v>29.306000000000001</v>
      </c>
      <c r="M463" s="9">
        <v>12.063700000000001</v>
      </c>
      <c r="N463" s="9">
        <v>4.9444999999999997</v>
      </c>
      <c r="O463" s="9">
        <v>0.37409999999999999</v>
      </c>
      <c r="P463" s="9">
        <v>1.2927</v>
      </c>
      <c r="Q463" s="9">
        <v>19.942900000000002</v>
      </c>
      <c r="R463" s="9"/>
      <c r="S463" s="11"/>
    </row>
    <row r="464" spans="1:19" ht="15.75">
      <c r="A464" s="13">
        <v>55639</v>
      </c>
      <c r="B464" s="8">
        <f>12.7176 * CHOOSE(CONTROL!$C$15, $D$11, 100%, $F$11)</f>
        <v>12.717599999999999</v>
      </c>
      <c r="C464" s="8">
        <f>12.7284 * CHOOSE(CONTROL!$C$15, $D$11, 100%, $F$11)</f>
        <v>12.728400000000001</v>
      </c>
      <c r="D464" s="8">
        <f>12.7654 * CHOOSE( CONTROL!$C$15, $D$11, 100%, $F$11)</f>
        <v>12.7654</v>
      </c>
      <c r="E464" s="12">
        <f>12.7519 * CHOOSE( CONTROL!$C$15, $D$11, 100%, $F$11)</f>
        <v>12.751899999999999</v>
      </c>
      <c r="F464" s="4">
        <f>13.4569 * CHOOSE(CONTROL!$C$15, $D$11, 100%, $F$11)</f>
        <v>13.456899999999999</v>
      </c>
      <c r="G464" s="8">
        <f>12.4252 * CHOOSE( CONTROL!$C$15, $D$11, 100%, $F$11)</f>
        <v>12.4252</v>
      </c>
      <c r="H464" s="4">
        <f>13.3909 * CHOOSE(CONTROL!$C$15, $D$11, 100%, $F$11)</f>
        <v>13.3909</v>
      </c>
      <c r="I464" s="8">
        <f>12.311 * CHOOSE(CONTROL!$C$15, $D$11, 100%, $F$11)</f>
        <v>12.311</v>
      </c>
      <c r="J464" s="4">
        <f>12.1958 * CHOOSE(CONTROL!$C$15, $D$11, 100%, $F$11)</f>
        <v>12.1958</v>
      </c>
      <c r="K464" s="4"/>
      <c r="L464" s="9">
        <v>30.092199999999998</v>
      </c>
      <c r="M464" s="9">
        <v>11.6745</v>
      </c>
      <c r="N464" s="9">
        <v>4.7850000000000001</v>
      </c>
      <c r="O464" s="9">
        <v>0.36199999999999999</v>
      </c>
      <c r="P464" s="9">
        <v>1.1791</v>
      </c>
      <c r="Q464" s="9">
        <v>19.299600000000002</v>
      </c>
      <c r="R464" s="9"/>
      <c r="S464" s="11"/>
    </row>
    <row r="465" spans="1:19" ht="15.75">
      <c r="A465" s="13">
        <v>55670</v>
      </c>
      <c r="B465" s="8">
        <f>CHOOSE( CONTROL!$C$32, 13.0584, 13.056) * CHOOSE(CONTROL!$C$15, $D$11, 100%, $F$11)</f>
        <v>13.058400000000001</v>
      </c>
      <c r="C465" s="8">
        <f>CHOOSE( CONTROL!$C$32, 13.069, 13.0666) * CHOOSE(CONTROL!$C$15, $D$11, 100%, $F$11)</f>
        <v>13.069000000000001</v>
      </c>
      <c r="D465" s="8">
        <f>CHOOSE( CONTROL!$C$32, 13.1048, 13.1024) * CHOOSE( CONTROL!$C$15, $D$11, 100%, $F$11)</f>
        <v>13.104799999999999</v>
      </c>
      <c r="E465" s="12">
        <f>CHOOSE( CONTROL!$C$32, 13.0902, 13.0878) * CHOOSE( CONTROL!$C$15, $D$11, 100%, $F$11)</f>
        <v>13.090199999999999</v>
      </c>
      <c r="F465" s="4">
        <f>CHOOSE( CONTROL!$C$32, 13.7978, 13.7954) * CHOOSE(CONTROL!$C$15, $D$11, 100%, $F$11)</f>
        <v>13.797800000000001</v>
      </c>
      <c r="G465" s="8">
        <f>CHOOSE( CONTROL!$C$32, 12.759, 12.7567) * CHOOSE( CONTROL!$C$15, $D$11, 100%, $F$11)</f>
        <v>12.759</v>
      </c>
      <c r="H465" s="4">
        <f>CHOOSE( CONTROL!$C$32, 13.7242, 13.7219) * CHOOSE(CONTROL!$C$15, $D$11, 100%, $F$11)</f>
        <v>13.7242</v>
      </c>
      <c r="I465" s="8">
        <f>CHOOSE( CONTROL!$C$32, 12.6386, 12.6363) * CHOOSE(CONTROL!$C$15, $D$11, 100%, $F$11)</f>
        <v>12.6386</v>
      </c>
      <c r="J465" s="4">
        <f>CHOOSE( CONTROL!$C$32, 12.523, 12.5208) * CHOOSE(CONTROL!$C$15, $D$11, 100%, $F$11)</f>
        <v>12.523</v>
      </c>
      <c r="K465" s="4"/>
      <c r="L465" s="9">
        <v>30.7165</v>
      </c>
      <c r="M465" s="9">
        <v>12.063700000000001</v>
      </c>
      <c r="N465" s="9">
        <v>4.9444999999999997</v>
      </c>
      <c r="O465" s="9">
        <v>0.37409999999999999</v>
      </c>
      <c r="P465" s="9">
        <v>1.2183999999999999</v>
      </c>
      <c r="Q465" s="9">
        <v>19.942900000000002</v>
      </c>
      <c r="R465" s="9"/>
      <c r="S465" s="11"/>
    </row>
    <row r="466" spans="1:19" ht="15.75">
      <c r="A466" s="13">
        <v>55700</v>
      </c>
      <c r="B466" s="8">
        <f>CHOOSE( CONTROL!$C$32, 12.8487, 12.8463) * CHOOSE(CONTROL!$C$15, $D$11, 100%, $F$11)</f>
        <v>12.848699999999999</v>
      </c>
      <c r="C466" s="8">
        <f>CHOOSE( CONTROL!$C$32, 12.8593, 12.8569) * CHOOSE(CONTROL!$C$15, $D$11, 100%, $F$11)</f>
        <v>12.859299999999999</v>
      </c>
      <c r="D466" s="8">
        <f>CHOOSE( CONTROL!$C$32, 12.8953, 12.8929) * CHOOSE( CONTROL!$C$15, $D$11, 100%, $F$11)</f>
        <v>12.895300000000001</v>
      </c>
      <c r="E466" s="12">
        <f>CHOOSE( CONTROL!$C$32, 12.8806, 12.8782) * CHOOSE( CONTROL!$C$15, $D$11, 100%, $F$11)</f>
        <v>12.880599999999999</v>
      </c>
      <c r="F466" s="4">
        <f>CHOOSE( CONTROL!$C$32, 13.5881, 13.5857) * CHOOSE(CONTROL!$C$15, $D$11, 100%, $F$11)</f>
        <v>13.588100000000001</v>
      </c>
      <c r="G466" s="8">
        <f>CHOOSE( CONTROL!$C$32, 12.5543, 12.552) * CHOOSE( CONTROL!$C$15, $D$11, 100%, $F$11)</f>
        <v>12.5543</v>
      </c>
      <c r="H466" s="4">
        <f>CHOOSE( CONTROL!$C$32, 13.5192, 13.5169) * CHOOSE(CONTROL!$C$15, $D$11, 100%, $F$11)</f>
        <v>13.5192</v>
      </c>
      <c r="I466" s="8">
        <f>CHOOSE( CONTROL!$C$32, 12.4381, 12.4358) * CHOOSE(CONTROL!$C$15, $D$11, 100%, $F$11)</f>
        <v>12.4381</v>
      </c>
      <c r="J466" s="4">
        <f>CHOOSE( CONTROL!$C$32, 12.3217, 12.3194) * CHOOSE(CONTROL!$C$15, $D$11, 100%, $F$11)</f>
        <v>12.3217</v>
      </c>
      <c r="K466" s="4"/>
      <c r="L466" s="9">
        <v>29.7257</v>
      </c>
      <c r="M466" s="9">
        <v>11.6745</v>
      </c>
      <c r="N466" s="9">
        <v>4.7850000000000001</v>
      </c>
      <c r="O466" s="9">
        <v>0.36199999999999999</v>
      </c>
      <c r="P466" s="9">
        <v>1.1791</v>
      </c>
      <c r="Q466" s="9">
        <v>19.299600000000002</v>
      </c>
      <c r="R466" s="9"/>
      <c r="S466" s="11"/>
    </row>
    <row r="467" spans="1:19" ht="15.75">
      <c r="A467" s="13">
        <v>55731</v>
      </c>
      <c r="B467" s="8">
        <f>CHOOSE( CONTROL!$C$32, 13.4009, 13.3985) * CHOOSE(CONTROL!$C$15, $D$11, 100%, $F$11)</f>
        <v>13.4009</v>
      </c>
      <c r="C467" s="8">
        <f>CHOOSE( CONTROL!$C$32, 13.4114, 13.4091) * CHOOSE(CONTROL!$C$15, $D$11, 100%, $F$11)</f>
        <v>13.4114</v>
      </c>
      <c r="D467" s="8">
        <f>CHOOSE( CONTROL!$C$32, 13.4477, 13.4453) * CHOOSE( CONTROL!$C$15, $D$11, 100%, $F$11)</f>
        <v>13.447699999999999</v>
      </c>
      <c r="E467" s="12">
        <f>CHOOSE( CONTROL!$C$32, 13.4329, 13.4306) * CHOOSE( CONTROL!$C$15, $D$11, 100%, $F$11)</f>
        <v>13.4329</v>
      </c>
      <c r="F467" s="4">
        <f>CHOOSE( CONTROL!$C$32, 14.1402, 14.1378) * CHOOSE(CONTROL!$C$15, $D$11, 100%, $F$11)</f>
        <v>14.1402</v>
      </c>
      <c r="G467" s="8">
        <f>CHOOSE( CONTROL!$C$32, 13.0945, 13.0921) * CHOOSE( CONTROL!$C$15, $D$11, 100%, $F$11)</f>
        <v>13.0945</v>
      </c>
      <c r="H467" s="4">
        <f>CHOOSE( CONTROL!$C$32, 14.059, 14.0567) * CHOOSE(CONTROL!$C$15, $D$11, 100%, $F$11)</f>
        <v>14.058999999999999</v>
      </c>
      <c r="I467" s="8">
        <f>CHOOSE( CONTROL!$C$32, 12.9695, 12.9672) * CHOOSE(CONTROL!$C$15, $D$11, 100%, $F$11)</f>
        <v>12.9695</v>
      </c>
      <c r="J467" s="4">
        <f>CHOOSE( CONTROL!$C$32, 12.8519, 12.8496) * CHOOSE(CONTROL!$C$15, $D$11, 100%, $F$11)</f>
        <v>12.851900000000001</v>
      </c>
      <c r="K467" s="4"/>
      <c r="L467" s="9">
        <v>30.7165</v>
      </c>
      <c r="M467" s="9">
        <v>12.063700000000001</v>
      </c>
      <c r="N467" s="9">
        <v>4.9444999999999997</v>
      </c>
      <c r="O467" s="9">
        <v>0.37409999999999999</v>
      </c>
      <c r="P467" s="9">
        <v>1.2183999999999999</v>
      </c>
      <c r="Q467" s="9">
        <v>19.942900000000002</v>
      </c>
      <c r="R467" s="9"/>
      <c r="S467" s="11"/>
    </row>
    <row r="468" spans="1:19" ht="15.75">
      <c r="A468" s="13">
        <v>55762</v>
      </c>
      <c r="B468" s="8">
        <f>CHOOSE( CONTROL!$C$32, 12.3678, 12.3654) * CHOOSE(CONTROL!$C$15, $D$11, 100%, $F$11)</f>
        <v>12.367800000000001</v>
      </c>
      <c r="C468" s="8">
        <f>CHOOSE( CONTROL!$C$32, 12.3783, 12.3759) * CHOOSE(CONTROL!$C$15, $D$11, 100%, $F$11)</f>
        <v>12.378299999999999</v>
      </c>
      <c r="D468" s="8">
        <f>CHOOSE( CONTROL!$C$32, 12.4146, 12.4122) * CHOOSE( CONTROL!$C$15, $D$11, 100%, $F$11)</f>
        <v>12.4146</v>
      </c>
      <c r="E468" s="12">
        <f>CHOOSE( CONTROL!$C$32, 12.3998, 12.3974) * CHOOSE( CONTROL!$C$15, $D$11, 100%, $F$11)</f>
        <v>12.399800000000001</v>
      </c>
      <c r="F468" s="4">
        <f>CHOOSE( CONTROL!$C$32, 13.1071, 13.1047) * CHOOSE(CONTROL!$C$15, $D$11, 100%, $F$11)</f>
        <v>13.107100000000001</v>
      </c>
      <c r="G468" s="8">
        <f>CHOOSE( CONTROL!$C$32, 12.0845, 12.0821) * CHOOSE( CONTROL!$C$15, $D$11, 100%, $F$11)</f>
        <v>12.0845</v>
      </c>
      <c r="H468" s="4">
        <f>CHOOSE( CONTROL!$C$32, 13.049, 13.0466) * CHOOSE(CONTROL!$C$15, $D$11, 100%, $F$11)</f>
        <v>13.048999999999999</v>
      </c>
      <c r="I468" s="8">
        <f>CHOOSE( CONTROL!$C$32, 11.9773, 11.975) * CHOOSE(CONTROL!$C$15, $D$11, 100%, $F$11)</f>
        <v>11.9773</v>
      </c>
      <c r="J468" s="4">
        <f>CHOOSE( CONTROL!$C$32, 11.86, 11.8577) * CHOOSE(CONTROL!$C$15, $D$11, 100%, $F$11)</f>
        <v>11.86</v>
      </c>
      <c r="K468" s="4"/>
      <c r="L468" s="9">
        <v>30.7165</v>
      </c>
      <c r="M468" s="9">
        <v>12.063700000000001</v>
      </c>
      <c r="N468" s="9">
        <v>4.9444999999999997</v>
      </c>
      <c r="O468" s="9">
        <v>0.37409999999999999</v>
      </c>
      <c r="P468" s="9">
        <v>1.2183999999999999</v>
      </c>
      <c r="Q468" s="9">
        <v>19.942900000000002</v>
      </c>
      <c r="R468" s="9"/>
      <c r="S468" s="11"/>
    </row>
    <row r="469" spans="1:19" ht="15.75">
      <c r="A469" s="13">
        <v>55792</v>
      </c>
      <c r="B469" s="8">
        <f>CHOOSE( CONTROL!$C$32, 12.1091, 12.1067) * CHOOSE(CONTROL!$C$15, $D$11, 100%, $F$11)</f>
        <v>12.1091</v>
      </c>
      <c r="C469" s="8">
        <f>CHOOSE( CONTROL!$C$32, 12.1196, 12.1172) * CHOOSE(CONTROL!$C$15, $D$11, 100%, $F$11)</f>
        <v>12.1196</v>
      </c>
      <c r="D469" s="8">
        <f>CHOOSE( CONTROL!$C$32, 12.1559, 12.1535) * CHOOSE( CONTROL!$C$15, $D$11, 100%, $F$11)</f>
        <v>12.155900000000001</v>
      </c>
      <c r="E469" s="12">
        <f>CHOOSE( CONTROL!$C$32, 12.1411, 12.1387) * CHOOSE( CONTROL!$C$15, $D$11, 100%, $F$11)</f>
        <v>12.1411</v>
      </c>
      <c r="F469" s="4">
        <f>CHOOSE( CONTROL!$C$32, 12.8484, 12.846) * CHOOSE(CONTROL!$C$15, $D$11, 100%, $F$11)</f>
        <v>12.8484</v>
      </c>
      <c r="G469" s="8">
        <f>CHOOSE( CONTROL!$C$32, 11.8314, 11.8291) * CHOOSE( CONTROL!$C$15, $D$11, 100%, $F$11)</f>
        <v>11.8314</v>
      </c>
      <c r="H469" s="4">
        <f>CHOOSE( CONTROL!$C$32, 12.796, 12.7937) * CHOOSE(CONTROL!$C$15, $D$11, 100%, $F$11)</f>
        <v>12.795999999999999</v>
      </c>
      <c r="I469" s="8">
        <f>CHOOSE( CONTROL!$C$32, 11.7285, 11.7262) * CHOOSE(CONTROL!$C$15, $D$11, 100%, $F$11)</f>
        <v>11.7285</v>
      </c>
      <c r="J469" s="4">
        <f>CHOOSE( CONTROL!$C$32, 11.6116, 11.6093) * CHOOSE(CONTROL!$C$15, $D$11, 100%, $F$11)</f>
        <v>11.611599999999999</v>
      </c>
      <c r="K469" s="4"/>
      <c r="L469" s="9">
        <v>29.7257</v>
      </c>
      <c r="M469" s="9">
        <v>11.6745</v>
      </c>
      <c r="N469" s="9">
        <v>4.7850000000000001</v>
      </c>
      <c r="O469" s="9">
        <v>0.36199999999999999</v>
      </c>
      <c r="P469" s="9">
        <v>1.1791</v>
      </c>
      <c r="Q469" s="9">
        <v>19.299600000000002</v>
      </c>
      <c r="R469" s="9"/>
      <c r="S469" s="11"/>
    </row>
    <row r="470" spans="1:19" ht="15.75">
      <c r="A470" s="13">
        <v>55823</v>
      </c>
      <c r="B470" s="8">
        <f>12.6439 * CHOOSE(CONTROL!$C$15, $D$11, 100%, $F$11)</f>
        <v>12.6439</v>
      </c>
      <c r="C470" s="8">
        <f>12.6547 * CHOOSE(CONTROL!$C$15, $D$11, 100%, $F$11)</f>
        <v>12.6547</v>
      </c>
      <c r="D470" s="8">
        <f>12.6922 * CHOOSE( CONTROL!$C$15, $D$11, 100%, $F$11)</f>
        <v>12.6922</v>
      </c>
      <c r="E470" s="12">
        <f>12.6787 * CHOOSE( CONTROL!$C$15, $D$11, 100%, $F$11)</f>
        <v>12.678699999999999</v>
      </c>
      <c r="F470" s="4">
        <f>13.3832 * CHOOSE(CONTROL!$C$15, $D$11, 100%, $F$11)</f>
        <v>13.3832</v>
      </c>
      <c r="G470" s="8">
        <f>12.354 * CHOOSE( CONTROL!$C$15, $D$11, 100%, $F$11)</f>
        <v>12.353999999999999</v>
      </c>
      <c r="H470" s="4">
        <f>13.3189 * CHOOSE(CONTROL!$C$15, $D$11, 100%, $F$11)</f>
        <v>13.318899999999999</v>
      </c>
      <c r="I470" s="8">
        <f>12.2429 * CHOOSE(CONTROL!$C$15, $D$11, 100%, $F$11)</f>
        <v>12.242900000000001</v>
      </c>
      <c r="J470" s="4">
        <f>12.125 * CHOOSE(CONTROL!$C$15, $D$11, 100%, $F$11)</f>
        <v>12.125</v>
      </c>
      <c r="K470" s="4"/>
      <c r="L470" s="9">
        <v>31.095300000000002</v>
      </c>
      <c r="M470" s="9">
        <v>12.063700000000001</v>
      </c>
      <c r="N470" s="9">
        <v>4.9444999999999997</v>
      </c>
      <c r="O470" s="9">
        <v>0.37409999999999999</v>
      </c>
      <c r="P470" s="9">
        <v>1.2183999999999999</v>
      </c>
      <c r="Q470" s="9">
        <v>19.942900000000002</v>
      </c>
      <c r="R470" s="9"/>
      <c r="S470" s="11"/>
    </row>
    <row r="471" spans="1:19" ht="15.75">
      <c r="A471" s="13">
        <v>55853</v>
      </c>
      <c r="B471" s="8">
        <f>13.6355 * CHOOSE(CONTROL!$C$15, $D$11, 100%, $F$11)</f>
        <v>13.6355</v>
      </c>
      <c r="C471" s="8">
        <f>13.6462 * CHOOSE(CONTROL!$C$15, $D$11, 100%, $F$11)</f>
        <v>13.6462</v>
      </c>
      <c r="D471" s="8">
        <f>13.629 * CHOOSE( CONTROL!$C$15, $D$11, 100%, $F$11)</f>
        <v>13.629</v>
      </c>
      <c r="E471" s="12">
        <f>13.6341 * CHOOSE( CONTROL!$C$15, $D$11, 100%, $F$11)</f>
        <v>13.6341</v>
      </c>
      <c r="F471" s="4">
        <f>14.294 * CHOOSE(CONTROL!$C$15, $D$11, 100%, $F$11)</f>
        <v>14.294</v>
      </c>
      <c r="G471" s="8">
        <f>13.3301 * CHOOSE( CONTROL!$C$15, $D$11, 100%, $F$11)</f>
        <v>13.3301</v>
      </c>
      <c r="H471" s="4">
        <f>14.2093 * CHOOSE(CONTROL!$C$15, $D$11, 100%, $F$11)</f>
        <v>14.209300000000001</v>
      </c>
      <c r="I471" s="8">
        <f>13.2325 * CHOOSE(CONTROL!$C$15, $D$11, 100%, $F$11)</f>
        <v>13.2325</v>
      </c>
      <c r="J471" s="4">
        <f>13.0769 * CHOOSE(CONTROL!$C$15, $D$11, 100%, $F$11)</f>
        <v>13.0769</v>
      </c>
      <c r="K471" s="4"/>
      <c r="L471" s="9">
        <v>28.360600000000002</v>
      </c>
      <c r="M471" s="9">
        <v>11.6745</v>
      </c>
      <c r="N471" s="9">
        <v>4.7850000000000001</v>
      </c>
      <c r="O471" s="9">
        <v>0.36199999999999999</v>
      </c>
      <c r="P471" s="9">
        <v>1.2509999999999999</v>
      </c>
      <c r="Q471" s="9">
        <v>19.299600000000002</v>
      </c>
      <c r="R471" s="9"/>
      <c r="S471" s="11"/>
    </row>
    <row r="472" spans="1:19" ht="15.75">
      <c r="A472" s="13">
        <v>55884</v>
      </c>
      <c r="B472" s="8">
        <f>13.6107 * CHOOSE(CONTROL!$C$15, $D$11, 100%, $F$11)</f>
        <v>13.6107</v>
      </c>
      <c r="C472" s="8">
        <f>13.6214 * CHOOSE(CONTROL!$C$15, $D$11, 100%, $F$11)</f>
        <v>13.6214</v>
      </c>
      <c r="D472" s="8">
        <f>13.6059 * CHOOSE( CONTROL!$C$15, $D$11, 100%, $F$11)</f>
        <v>13.6059</v>
      </c>
      <c r="E472" s="12">
        <f>13.6104 * CHOOSE( CONTROL!$C$15, $D$11, 100%, $F$11)</f>
        <v>13.6104</v>
      </c>
      <c r="F472" s="4">
        <f>14.2692 * CHOOSE(CONTROL!$C$15, $D$11, 100%, $F$11)</f>
        <v>14.2692</v>
      </c>
      <c r="G472" s="8">
        <f>13.3071 * CHOOSE( CONTROL!$C$15, $D$11, 100%, $F$11)</f>
        <v>13.3071</v>
      </c>
      <c r="H472" s="4">
        <f>14.1851 * CHOOSE(CONTROL!$C$15, $D$11, 100%, $F$11)</f>
        <v>14.1851</v>
      </c>
      <c r="I472" s="8">
        <f>13.2139 * CHOOSE(CONTROL!$C$15, $D$11, 100%, $F$11)</f>
        <v>13.213900000000001</v>
      </c>
      <c r="J472" s="4">
        <f>13.0531 * CHOOSE(CONTROL!$C$15, $D$11, 100%, $F$11)</f>
        <v>13.053100000000001</v>
      </c>
      <c r="K472" s="4"/>
      <c r="L472" s="9">
        <v>29.306000000000001</v>
      </c>
      <c r="M472" s="9">
        <v>12.063700000000001</v>
      </c>
      <c r="N472" s="9">
        <v>4.9444999999999997</v>
      </c>
      <c r="O472" s="9">
        <v>0.37409999999999999</v>
      </c>
      <c r="P472" s="9">
        <v>1.2927</v>
      </c>
      <c r="Q472" s="9">
        <v>19.942900000000002</v>
      </c>
      <c r="R472" s="9"/>
      <c r="S472" s="11"/>
    </row>
    <row r="473" spans="1:19" ht="15.75">
      <c r="A473" s="13">
        <v>55915</v>
      </c>
      <c r="B473" s="8">
        <f>14.0117 * CHOOSE(CONTROL!$C$15, $D$11, 100%, $F$11)</f>
        <v>14.011699999999999</v>
      </c>
      <c r="C473" s="8">
        <f>14.0225 * CHOOSE(CONTROL!$C$15, $D$11, 100%, $F$11)</f>
        <v>14.022500000000001</v>
      </c>
      <c r="D473" s="8">
        <f>14.0039 * CHOOSE( CONTROL!$C$15, $D$11, 100%, $F$11)</f>
        <v>14.0039</v>
      </c>
      <c r="E473" s="12">
        <f>14.0096 * CHOOSE( CONTROL!$C$15, $D$11, 100%, $F$11)</f>
        <v>14.009600000000001</v>
      </c>
      <c r="F473" s="4">
        <f>14.6702 * CHOOSE(CONTROL!$C$15, $D$11, 100%, $F$11)</f>
        <v>14.670199999999999</v>
      </c>
      <c r="G473" s="8">
        <f>13.6916 * CHOOSE( CONTROL!$C$15, $D$11, 100%, $F$11)</f>
        <v>13.691599999999999</v>
      </c>
      <c r="H473" s="4">
        <f>14.5772 * CHOOSE(CONTROL!$C$15, $D$11, 100%, $F$11)</f>
        <v>14.577199999999999</v>
      </c>
      <c r="I473" s="8">
        <f>13.564 * CHOOSE(CONTROL!$C$15, $D$11, 100%, $F$11)</f>
        <v>13.564</v>
      </c>
      <c r="J473" s="4">
        <f>13.4382 * CHOOSE(CONTROL!$C$15, $D$11, 100%, $F$11)</f>
        <v>13.4382</v>
      </c>
      <c r="K473" s="4"/>
      <c r="L473" s="9">
        <v>29.306000000000001</v>
      </c>
      <c r="M473" s="9">
        <v>12.063700000000001</v>
      </c>
      <c r="N473" s="9">
        <v>4.9444999999999997</v>
      </c>
      <c r="O473" s="9">
        <v>0.37409999999999999</v>
      </c>
      <c r="P473" s="9">
        <v>1.2927</v>
      </c>
      <c r="Q473" s="9">
        <v>19.877800000000001</v>
      </c>
      <c r="R473" s="9"/>
      <c r="S473" s="11"/>
    </row>
    <row r="474" spans="1:19" ht="15.75">
      <c r="A474" s="13">
        <v>55943</v>
      </c>
      <c r="B474" s="8">
        <f>13.1068 * CHOOSE(CONTROL!$C$15, $D$11, 100%, $F$11)</f>
        <v>13.1068</v>
      </c>
      <c r="C474" s="8">
        <f>13.1176 * CHOOSE(CONTROL!$C$15, $D$11, 100%, $F$11)</f>
        <v>13.117599999999999</v>
      </c>
      <c r="D474" s="8">
        <f>13.0989 * CHOOSE( CONTROL!$C$15, $D$11, 100%, $F$11)</f>
        <v>13.0989</v>
      </c>
      <c r="E474" s="12">
        <f>13.1046 * CHOOSE( CONTROL!$C$15, $D$11, 100%, $F$11)</f>
        <v>13.1046</v>
      </c>
      <c r="F474" s="4">
        <f>13.7653 * CHOOSE(CONTROL!$C$15, $D$11, 100%, $F$11)</f>
        <v>13.7653</v>
      </c>
      <c r="G474" s="8">
        <f>12.8069 * CHOOSE( CONTROL!$C$15, $D$11, 100%, $F$11)</f>
        <v>12.806900000000001</v>
      </c>
      <c r="H474" s="4">
        <f>13.6925 * CHOOSE(CONTROL!$C$15, $D$11, 100%, $F$11)</f>
        <v>13.692500000000001</v>
      </c>
      <c r="I474" s="8">
        <f>12.6945 * CHOOSE(CONTROL!$C$15, $D$11, 100%, $F$11)</f>
        <v>12.6945</v>
      </c>
      <c r="J474" s="4">
        <f>12.5694 * CHOOSE(CONTROL!$C$15, $D$11, 100%, $F$11)</f>
        <v>12.5694</v>
      </c>
      <c r="K474" s="4"/>
      <c r="L474" s="9">
        <v>26.469899999999999</v>
      </c>
      <c r="M474" s="9">
        <v>10.8962</v>
      </c>
      <c r="N474" s="9">
        <v>4.4660000000000002</v>
      </c>
      <c r="O474" s="9">
        <v>0.33789999999999998</v>
      </c>
      <c r="P474" s="9">
        <v>1.1676</v>
      </c>
      <c r="Q474" s="9">
        <v>17.9542</v>
      </c>
      <c r="R474" s="9"/>
      <c r="S474" s="11"/>
    </row>
    <row r="475" spans="1:19" ht="15.75">
      <c r="A475" s="13">
        <v>55974</v>
      </c>
      <c r="B475" s="8">
        <f>12.8282 * CHOOSE(CONTROL!$C$15, $D$11, 100%, $F$11)</f>
        <v>12.828200000000001</v>
      </c>
      <c r="C475" s="8">
        <f>12.8389 * CHOOSE(CONTROL!$C$15, $D$11, 100%, $F$11)</f>
        <v>12.838900000000001</v>
      </c>
      <c r="D475" s="8">
        <f>12.8197 * CHOOSE( CONTROL!$C$15, $D$11, 100%, $F$11)</f>
        <v>12.819699999999999</v>
      </c>
      <c r="E475" s="12">
        <f>12.8256 * CHOOSE( CONTROL!$C$15, $D$11, 100%, $F$11)</f>
        <v>12.8256</v>
      </c>
      <c r="F475" s="4">
        <f>13.4867 * CHOOSE(CONTROL!$C$15, $D$11, 100%, $F$11)</f>
        <v>13.486700000000001</v>
      </c>
      <c r="G475" s="8">
        <f>12.534 * CHOOSE( CONTROL!$C$15, $D$11, 100%, $F$11)</f>
        <v>12.534000000000001</v>
      </c>
      <c r="H475" s="4">
        <f>13.42 * CHOOSE(CONTROL!$C$15, $D$11, 100%, $F$11)</f>
        <v>13.42</v>
      </c>
      <c r="I475" s="8">
        <f>12.4253 * CHOOSE(CONTROL!$C$15, $D$11, 100%, $F$11)</f>
        <v>12.4253</v>
      </c>
      <c r="J475" s="4">
        <f>12.3018 * CHOOSE(CONTROL!$C$15, $D$11, 100%, $F$11)</f>
        <v>12.3018</v>
      </c>
      <c r="K475" s="4"/>
      <c r="L475" s="9">
        <v>29.306000000000001</v>
      </c>
      <c r="M475" s="9">
        <v>12.063700000000001</v>
      </c>
      <c r="N475" s="9">
        <v>4.9444999999999997</v>
      </c>
      <c r="O475" s="9">
        <v>0.37409999999999999</v>
      </c>
      <c r="P475" s="9">
        <v>1.2927</v>
      </c>
      <c r="Q475" s="9">
        <v>19.877800000000001</v>
      </c>
      <c r="R475" s="9"/>
      <c r="S475" s="11"/>
    </row>
    <row r="476" spans="1:19" ht="15.75">
      <c r="A476" s="13">
        <v>56004</v>
      </c>
      <c r="B476" s="8">
        <f>13.0228 * CHOOSE(CONTROL!$C$15, $D$11, 100%, $F$11)</f>
        <v>13.0228</v>
      </c>
      <c r="C476" s="8">
        <f>13.0336 * CHOOSE(CONTROL!$C$15, $D$11, 100%, $F$11)</f>
        <v>13.0336</v>
      </c>
      <c r="D476" s="8">
        <f>13.0706 * CHOOSE( CONTROL!$C$15, $D$11, 100%, $F$11)</f>
        <v>13.070600000000001</v>
      </c>
      <c r="E476" s="12">
        <f>13.0571 * CHOOSE( CONTROL!$C$15, $D$11, 100%, $F$11)</f>
        <v>13.0571</v>
      </c>
      <c r="F476" s="4">
        <f>13.7621 * CHOOSE(CONTROL!$C$15, $D$11, 100%, $F$11)</f>
        <v>13.7621</v>
      </c>
      <c r="G476" s="8">
        <f>12.7236 * CHOOSE( CONTROL!$C$15, $D$11, 100%, $F$11)</f>
        <v>12.723599999999999</v>
      </c>
      <c r="H476" s="4">
        <f>13.6893 * CHOOSE(CONTROL!$C$15, $D$11, 100%, $F$11)</f>
        <v>13.689299999999999</v>
      </c>
      <c r="I476" s="8">
        <f>12.6042 * CHOOSE(CONTROL!$C$15, $D$11, 100%, $F$11)</f>
        <v>12.604200000000001</v>
      </c>
      <c r="J476" s="4">
        <f>12.4888 * CHOOSE(CONTROL!$C$15, $D$11, 100%, $F$11)</f>
        <v>12.488799999999999</v>
      </c>
      <c r="K476" s="4"/>
      <c r="L476" s="9">
        <v>30.092199999999998</v>
      </c>
      <c r="M476" s="9">
        <v>11.6745</v>
      </c>
      <c r="N476" s="9">
        <v>4.7850000000000001</v>
      </c>
      <c r="O476" s="9">
        <v>0.36199999999999999</v>
      </c>
      <c r="P476" s="9">
        <v>1.1791</v>
      </c>
      <c r="Q476" s="9">
        <v>19.236599999999999</v>
      </c>
      <c r="R476" s="9"/>
      <c r="S476" s="11"/>
    </row>
    <row r="477" spans="1:19" ht="15.75">
      <c r="A477" s="13">
        <v>56035</v>
      </c>
      <c r="B477" s="8">
        <f>CHOOSE( CONTROL!$C$32, 13.3718, 13.3694) * CHOOSE(CONTROL!$C$15, $D$11, 100%, $F$11)</f>
        <v>13.3718</v>
      </c>
      <c r="C477" s="8">
        <f>CHOOSE( CONTROL!$C$32, 13.3823, 13.3799) * CHOOSE(CONTROL!$C$15, $D$11, 100%, $F$11)</f>
        <v>13.382300000000001</v>
      </c>
      <c r="D477" s="8">
        <f>CHOOSE( CONTROL!$C$32, 13.4182, 13.4158) * CHOOSE( CONTROL!$C$15, $D$11, 100%, $F$11)</f>
        <v>13.418200000000001</v>
      </c>
      <c r="E477" s="12">
        <f>CHOOSE( CONTROL!$C$32, 13.4036, 13.4012) * CHOOSE( CONTROL!$C$15, $D$11, 100%, $F$11)</f>
        <v>13.403600000000001</v>
      </c>
      <c r="F477" s="4">
        <f>CHOOSE( CONTROL!$C$32, 14.1111, 14.1087) * CHOOSE(CONTROL!$C$15, $D$11, 100%, $F$11)</f>
        <v>14.1111</v>
      </c>
      <c r="G477" s="8">
        <f>CHOOSE( CONTROL!$C$32, 13.0654, 13.063) * CHOOSE( CONTROL!$C$15, $D$11, 100%, $F$11)</f>
        <v>13.0654</v>
      </c>
      <c r="H477" s="4">
        <f>CHOOSE( CONTROL!$C$32, 14.0306, 14.0282) * CHOOSE(CONTROL!$C$15, $D$11, 100%, $F$11)</f>
        <v>14.0306</v>
      </c>
      <c r="I477" s="8">
        <f>CHOOSE( CONTROL!$C$32, 12.9395, 12.9373) * CHOOSE(CONTROL!$C$15, $D$11, 100%, $F$11)</f>
        <v>12.939500000000001</v>
      </c>
      <c r="J477" s="4">
        <f>CHOOSE( CONTROL!$C$32, 12.8239, 12.8216) * CHOOSE(CONTROL!$C$15, $D$11, 100%, $F$11)</f>
        <v>12.8239</v>
      </c>
      <c r="K477" s="4"/>
      <c r="L477" s="9">
        <v>30.7165</v>
      </c>
      <c r="M477" s="9">
        <v>12.063700000000001</v>
      </c>
      <c r="N477" s="9">
        <v>4.9444999999999997</v>
      </c>
      <c r="O477" s="9">
        <v>0.37409999999999999</v>
      </c>
      <c r="P477" s="9">
        <v>1.2183999999999999</v>
      </c>
      <c r="Q477" s="9">
        <v>19.877800000000001</v>
      </c>
      <c r="R477" s="9"/>
      <c r="S477" s="11"/>
    </row>
    <row r="478" spans="1:19" ht="15.75">
      <c r="A478" s="13">
        <v>56065</v>
      </c>
      <c r="B478" s="8">
        <f>CHOOSE( CONTROL!$C$32, 13.157, 13.1547) * CHOOSE(CONTROL!$C$15, $D$11, 100%, $F$11)</f>
        <v>13.157</v>
      </c>
      <c r="C478" s="8">
        <f>CHOOSE( CONTROL!$C$32, 13.1676, 13.1652) * CHOOSE(CONTROL!$C$15, $D$11, 100%, $F$11)</f>
        <v>13.1676</v>
      </c>
      <c r="D478" s="8">
        <f>CHOOSE( CONTROL!$C$32, 13.2036, 13.2013) * CHOOSE( CONTROL!$C$15, $D$11, 100%, $F$11)</f>
        <v>13.2036</v>
      </c>
      <c r="E478" s="12">
        <f>CHOOSE( CONTROL!$C$32, 13.1889, 13.1866) * CHOOSE( CONTROL!$C$15, $D$11, 100%, $F$11)</f>
        <v>13.1889</v>
      </c>
      <c r="F478" s="4">
        <f>CHOOSE( CONTROL!$C$32, 13.8964, 13.894) * CHOOSE(CONTROL!$C$15, $D$11, 100%, $F$11)</f>
        <v>13.8964</v>
      </c>
      <c r="G478" s="8">
        <f>CHOOSE( CONTROL!$C$32, 12.8557, 12.8534) * CHOOSE( CONTROL!$C$15, $D$11, 100%, $F$11)</f>
        <v>12.855700000000001</v>
      </c>
      <c r="H478" s="4">
        <f>CHOOSE( CONTROL!$C$32, 13.8206, 13.8183) * CHOOSE(CONTROL!$C$15, $D$11, 100%, $F$11)</f>
        <v>13.820600000000001</v>
      </c>
      <c r="I478" s="8">
        <f>CHOOSE( CONTROL!$C$32, 12.7342, 12.7319) * CHOOSE(CONTROL!$C$15, $D$11, 100%, $F$11)</f>
        <v>12.7342</v>
      </c>
      <c r="J478" s="4">
        <f>CHOOSE( CONTROL!$C$32, 12.6177, 12.6155) * CHOOSE(CONTROL!$C$15, $D$11, 100%, $F$11)</f>
        <v>12.617699999999999</v>
      </c>
      <c r="K478" s="4"/>
      <c r="L478" s="9">
        <v>29.7257</v>
      </c>
      <c r="M478" s="9">
        <v>11.6745</v>
      </c>
      <c r="N478" s="9">
        <v>4.7850000000000001</v>
      </c>
      <c r="O478" s="9">
        <v>0.36199999999999999</v>
      </c>
      <c r="P478" s="9">
        <v>1.1791</v>
      </c>
      <c r="Q478" s="9">
        <v>19.236599999999999</v>
      </c>
      <c r="R478" s="9"/>
      <c r="S478" s="11"/>
    </row>
    <row r="479" spans="1:19" ht="15.75">
      <c r="A479" s="13">
        <v>56096</v>
      </c>
      <c r="B479" s="8">
        <f>CHOOSE( CONTROL!$C$32, 13.7225, 13.7201) * CHOOSE(CONTROL!$C$15, $D$11, 100%, $F$11)</f>
        <v>13.7225</v>
      </c>
      <c r="C479" s="8">
        <f>CHOOSE( CONTROL!$C$32, 13.733, 13.7306) * CHOOSE(CONTROL!$C$15, $D$11, 100%, $F$11)</f>
        <v>13.733000000000001</v>
      </c>
      <c r="D479" s="8">
        <f>CHOOSE( CONTROL!$C$32, 13.7693, 13.7669) * CHOOSE( CONTROL!$C$15, $D$11, 100%, $F$11)</f>
        <v>13.769299999999999</v>
      </c>
      <c r="E479" s="12">
        <f>CHOOSE( CONTROL!$C$32, 13.7545, 13.7521) * CHOOSE( CONTROL!$C$15, $D$11, 100%, $F$11)</f>
        <v>13.7545</v>
      </c>
      <c r="F479" s="4">
        <f>CHOOSE( CONTROL!$C$32, 14.4618, 14.4594) * CHOOSE(CONTROL!$C$15, $D$11, 100%, $F$11)</f>
        <v>14.4618</v>
      </c>
      <c r="G479" s="8">
        <f>CHOOSE( CONTROL!$C$32, 13.4089, 13.4065) * CHOOSE( CONTROL!$C$15, $D$11, 100%, $F$11)</f>
        <v>13.408899999999999</v>
      </c>
      <c r="H479" s="4">
        <f>CHOOSE( CONTROL!$C$32, 14.3734, 14.3711) * CHOOSE(CONTROL!$C$15, $D$11, 100%, $F$11)</f>
        <v>14.3734</v>
      </c>
      <c r="I479" s="8">
        <f>CHOOSE( CONTROL!$C$32, 13.2784, 13.2761) * CHOOSE(CONTROL!$C$15, $D$11, 100%, $F$11)</f>
        <v>13.2784</v>
      </c>
      <c r="J479" s="4">
        <f>CHOOSE( CONTROL!$C$32, 13.1606, 13.1583) * CHOOSE(CONTROL!$C$15, $D$11, 100%, $F$11)</f>
        <v>13.160600000000001</v>
      </c>
      <c r="K479" s="4"/>
      <c r="L479" s="9">
        <v>30.7165</v>
      </c>
      <c r="M479" s="9">
        <v>12.063700000000001</v>
      </c>
      <c r="N479" s="9">
        <v>4.9444999999999997</v>
      </c>
      <c r="O479" s="9">
        <v>0.37409999999999999</v>
      </c>
      <c r="P479" s="9">
        <v>1.2183999999999999</v>
      </c>
      <c r="Q479" s="9">
        <v>19.877800000000001</v>
      </c>
      <c r="R479" s="9"/>
      <c r="S479" s="11"/>
    </row>
    <row r="480" spans="1:19" ht="15.75">
      <c r="A480" s="13">
        <v>56127</v>
      </c>
      <c r="B480" s="8">
        <f>CHOOSE( CONTROL!$C$32, 12.6645, 12.6621) * CHOOSE(CONTROL!$C$15, $D$11, 100%, $F$11)</f>
        <v>12.6645</v>
      </c>
      <c r="C480" s="8">
        <f>CHOOSE( CONTROL!$C$32, 12.6751, 12.6727) * CHOOSE(CONTROL!$C$15, $D$11, 100%, $F$11)</f>
        <v>12.6751</v>
      </c>
      <c r="D480" s="8">
        <f>CHOOSE( CONTROL!$C$32, 12.7114, 12.709) * CHOOSE( CONTROL!$C$15, $D$11, 100%, $F$11)</f>
        <v>12.711399999999999</v>
      </c>
      <c r="E480" s="12">
        <f>CHOOSE( CONTROL!$C$32, 12.6966, 12.6942) * CHOOSE( CONTROL!$C$15, $D$11, 100%, $F$11)</f>
        <v>12.6966</v>
      </c>
      <c r="F480" s="4">
        <f>CHOOSE( CONTROL!$C$32, 13.4039, 13.4015) * CHOOSE(CONTROL!$C$15, $D$11, 100%, $F$11)</f>
        <v>13.4039</v>
      </c>
      <c r="G480" s="8">
        <f>CHOOSE( CONTROL!$C$32, 12.3746, 12.3723) * CHOOSE( CONTROL!$C$15, $D$11, 100%, $F$11)</f>
        <v>12.374599999999999</v>
      </c>
      <c r="H480" s="4">
        <f>CHOOSE( CONTROL!$C$32, 13.3391, 13.3367) * CHOOSE(CONTROL!$C$15, $D$11, 100%, $F$11)</f>
        <v>13.3391</v>
      </c>
      <c r="I480" s="8">
        <f>CHOOSE( CONTROL!$C$32, 12.2624, 12.2601) * CHOOSE(CONTROL!$C$15, $D$11, 100%, $F$11)</f>
        <v>12.2624</v>
      </c>
      <c r="J480" s="4">
        <f>CHOOSE( CONTROL!$C$32, 12.1449, 12.1426) * CHOOSE(CONTROL!$C$15, $D$11, 100%, $F$11)</f>
        <v>12.1449</v>
      </c>
      <c r="K480" s="4"/>
      <c r="L480" s="9">
        <v>30.7165</v>
      </c>
      <c r="M480" s="9">
        <v>12.063700000000001</v>
      </c>
      <c r="N480" s="9">
        <v>4.9444999999999997</v>
      </c>
      <c r="O480" s="9">
        <v>0.37409999999999999</v>
      </c>
      <c r="P480" s="9">
        <v>1.2183999999999999</v>
      </c>
      <c r="Q480" s="9">
        <v>19.877800000000001</v>
      </c>
      <c r="R480" s="9"/>
      <c r="S480" s="11"/>
    </row>
    <row r="481" spans="1:19" ht="15.75">
      <c r="A481" s="13">
        <v>56157</v>
      </c>
      <c r="B481" s="8">
        <f>CHOOSE( CONTROL!$C$32, 12.3996, 12.3972) * CHOOSE(CONTROL!$C$15, $D$11, 100%, $F$11)</f>
        <v>12.3996</v>
      </c>
      <c r="C481" s="8">
        <f>CHOOSE( CONTROL!$C$32, 12.4102, 12.4078) * CHOOSE(CONTROL!$C$15, $D$11, 100%, $F$11)</f>
        <v>12.4102</v>
      </c>
      <c r="D481" s="8">
        <f>CHOOSE( CONTROL!$C$32, 12.4464, 12.444) * CHOOSE( CONTROL!$C$15, $D$11, 100%, $F$11)</f>
        <v>12.446400000000001</v>
      </c>
      <c r="E481" s="12">
        <f>CHOOSE( CONTROL!$C$32, 12.4317, 12.4293) * CHOOSE( CONTROL!$C$15, $D$11, 100%, $F$11)</f>
        <v>12.431699999999999</v>
      </c>
      <c r="F481" s="4">
        <f>CHOOSE( CONTROL!$C$32, 13.139, 13.1366) * CHOOSE(CONTROL!$C$15, $D$11, 100%, $F$11)</f>
        <v>13.138999999999999</v>
      </c>
      <c r="G481" s="8">
        <f>CHOOSE( CONTROL!$C$32, 12.1155, 12.1132) * CHOOSE( CONTROL!$C$15, $D$11, 100%, $F$11)</f>
        <v>12.115500000000001</v>
      </c>
      <c r="H481" s="4">
        <f>CHOOSE( CONTROL!$C$32, 13.0801, 13.0777) * CHOOSE(CONTROL!$C$15, $D$11, 100%, $F$11)</f>
        <v>13.0801</v>
      </c>
      <c r="I481" s="8">
        <f>CHOOSE( CONTROL!$C$32, 12.0076, 12.0053) * CHOOSE(CONTROL!$C$15, $D$11, 100%, $F$11)</f>
        <v>12.0076</v>
      </c>
      <c r="J481" s="4">
        <f>CHOOSE( CONTROL!$C$32, 11.8905, 11.8882) * CHOOSE(CONTROL!$C$15, $D$11, 100%, $F$11)</f>
        <v>11.890499999999999</v>
      </c>
      <c r="K481" s="4"/>
      <c r="L481" s="9">
        <v>29.7257</v>
      </c>
      <c r="M481" s="9">
        <v>11.6745</v>
      </c>
      <c r="N481" s="9">
        <v>4.7850000000000001</v>
      </c>
      <c r="O481" s="9">
        <v>0.36199999999999999</v>
      </c>
      <c r="P481" s="9">
        <v>1.1791</v>
      </c>
      <c r="Q481" s="9">
        <v>19.236599999999999</v>
      </c>
      <c r="R481" s="9"/>
      <c r="S481" s="11"/>
    </row>
    <row r="482" spans="1:19" ht="15.75">
      <c r="A482" s="13">
        <v>56188</v>
      </c>
      <c r="B482" s="8">
        <f>12.9474 * CHOOSE(CONTROL!$C$15, $D$11, 100%, $F$11)</f>
        <v>12.9474</v>
      </c>
      <c r="C482" s="8">
        <f>12.9581 * CHOOSE(CONTROL!$C$15, $D$11, 100%, $F$11)</f>
        <v>12.9581</v>
      </c>
      <c r="D482" s="8">
        <f>12.9957 * CHOOSE( CONTROL!$C$15, $D$11, 100%, $F$11)</f>
        <v>12.995699999999999</v>
      </c>
      <c r="E482" s="12">
        <f>12.9821 * CHOOSE( CONTROL!$C$15, $D$11, 100%, $F$11)</f>
        <v>12.982100000000001</v>
      </c>
      <c r="F482" s="4">
        <f>13.6866 * CHOOSE(CONTROL!$C$15, $D$11, 100%, $F$11)</f>
        <v>13.6866</v>
      </c>
      <c r="G482" s="8">
        <f>12.6507 * CHOOSE( CONTROL!$C$15, $D$11, 100%, $F$11)</f>
        <v>12.650700000000001</v>
      </c>
      <c r="H482" s="4">
        <f>13.6155 * CHOOSE(CONTROL!$C$15, $D$11, 100%, $F$11)</f>
        <v>13.615500000000001</v>
      </c>
      <c r="I482" s="8">
        <f>12.5344 * CHOOSE(CONTROL!$C$15, $D$11, 100%, $F$11)</f>
        <v>12.5344</v>
      </c>
      <c r="J482" s="4">
        <f>12.4163 * CHOOSE(CONTROL!$C$15, $D$11, 100%, $F$11)</f>
        <v>12.4163</v>
      </c>
      <c r="K482" s="4"/>
      <c r="L482" s="9">
        <v>31.095300000000002</v>
      </c>
      <c r="M482" s="9">
        <v>12.063700000000001</v>
      </c>
      <c r="N482" s="9">
        <v>4.9444999999999997</v>
      </c>
      <c r="O482" s="9">
        <v>0.37409999999999999</v>
      </c>
      <c r="P482" s="9">
        <v>1.2183999999999999</v>
      </c>
      <c r="Q482" s="9">
        <v>19.877800000000001</v>
      </c>
      <c r="R482" s="9"/>
      <c r="S482" s="11"/>
    </row>
    <row r="483" spans="1:19" ht="15.75">
      <c r="A483" s="13">
        <v>56218</v>
      </c>
      <c r="B483" s="8">
        <f>13.9627 * CHOOSE(CONTROL!$C$15, $D$11, 100%, $F$11)</f>
        <v>13.9627</v>
      </c>
      <c r="C483" s="8">
        <f>13.9735 * CHOOSE(CONTROL!$C$15, $D$11, 100%, $F$11)</f>
        <v>13.9735</v>
      </c>
      <c r="D483" s="8">
        <f>13.9562 * CHOOSE( CONTROL!$C$15, $D$11, 100%, $F$11)</f>
        <v>13.956200000000001</v>
      </c>
      <c r="E483" s="12">
        <f>13.9614 * CHOOSE( CONTROL!$C$15, $D$11, 100%, $F$11)</f>
        <v>13.961399999999999</v>
      </c>
      <c r="F483" s="4">
        <f>14.6212 * CHOOSE(CONTROL!$C$15, $D$11, 100%, $F$11)</f>
        <v>14.6212</v>
      </c>
      <c r="G483" s="8">
        <f>13.65 * CHOOSE( CONTROL!$C$15, $D$11, 100%, $F$11)</f>
        <v>13.65</v>
      </c>
      <c r="H483" s="4">
        <f>14.5293 * CHOOSE(CONTROL!$C$15, $D$11, 100%, $F$11)</f>
        <v>14.529299999999999</v>
      </c>
      <c r="I483" s="8">
        <f>13.5469 * CHOOSE(CONTROL!$C$15, $D$11, 100%, $F$11)</f>
        <v>13.546900000000001</v>
      </c>
      <c r="J483" s="4">
        <f>13.3911 * CHOOSE(CONTROL!$C$15, $D$11, 100%, $F$11)</f>
        <v>13.3911</v>
      </c>
      <c r="K483" s="4"/>
      <c r="L483" s="9">
        <v>28.360600000000002</v>
      </c>
      <c r="M483" s="9">
        <v>11.6745</v>
      </c>
      <c r="N483" s="9">
        <v>4.7850000000000001</v>
      </c>
      <c r="O483" s="9">
        <v>0.36199999999999999</v>
      </c>
      <c r="P483" s="9">
        <v>1.2509999999999999</v>
      </c>
      <c r="Q483" s="9">
        <v>19.236599999999999</v>
      </c>
      <c r="R483" s="9"/>
      <c r="S483" s="11"/>
    </row>
    <row r="484" spans="1:19" ht="15.75">
      <c r="A484" s="13">
        <v>56249</v>
      </c>
      <c r="B484" s="8">
        <f>13.9373 * CHOOSE(CONTROL!$C$15, $D$11, 100%, $F$11)</f>
        <v>13.9373</v>
      </c>
      <c r="C484" s="8">
        <f>13.9481 * CHOOSE(CONTROL!$C$15, $D$11, 100%, $F$11)</f>
        <v>13.9481</v>
      </c>
      <c r="D484" s="8">
        <f>13.9325 * CHOOSE( CONTROL!$C$15, $D$11, 100%, $F$11)</f>
        <v>13.932499999999999</v>
      </c>
      <c r="E484" s="12">
        <f>13.9371 * CHOOSE( CONTROL!$C$15, $D$11, 100%, $F$11)</f>
        <v>13.937099999999999</v>
      </c>
      <c r="F484" s="4">
        <f>14.5958 * CHOOSE(CONTROL!$C$15, $D$11, 100%, $F$11)</f>
        <v>14.595800000000001</v>
      </c>
      <c r="G484" s="8">
        <f>13.6264 * CHOOSE( CONTROL!$C$15, $D$11, 100%, $F$11)</f>
        <v>13.6264</v>
      </c>
      <c r="H484" s="4">
        <f>14.5045 * CHOOSE(CONTROL!$C$15, $D$11, 100%, $F$11)</f>
        <v>14.5045</v>
      </c>
      <c r="I484" s="8">
        <f>13.5277 * CHOOSE(CONTROL!$C$15, $D$11, 100%, $F$11)</f>
        <v>13.527699999999999</v>
      </c>
      <c r="J484" s="4">
        <f>13.3668 * CHOOSE(CONTROL!$C$15, $D$11, 100%, $F$11)</f>
        <v>13.3668</v>
      </c>
      <c r="K484" s="4"/>
      <c r="L484" s="9">
        <v>29.306000000000001</v>
      </c>
      <c r="M484" s="9">
        <v>12.063700000000001</v>
      </c>
      <c r="N484" s="9">
        <v>4.9444999999999997</v>
      </c>
      <c r="O484" s="9">
        <v>0.37409999999999999</v>
      </c>
      <c r="P484" s="9">
        <v>1.2927</v>
      </c>
      <c r="Q484" s="9">
        <v>19.877800000000001</v>
      </c>
      <c r="R484" s="9"/>
      <c r="S484" s="11"/>
    </row>
    <row r="485" spans="1:19" ht="15.75">
      <c r="A485" s="13">
        <v>56280</v>
      </c>
      <c r="B485" s="8">
        <f>14.348 * CHOOSE(CONTROL!$C$15, $D$11, 100%, $F$11)</f>
        <v>14.348000000000001</v>
      </c>
      <c r="C485" s="8">
        <f>14.3588 * CHOOSE(CONTROL!$C$15, $D$11, 100%, $F$11)</f>
        <v>14.3588</v>
      </c>
      <c r="D485" s="8">
        <f>14.3402 * CHOOSE( CONTROL!$C$15, $D$11, 100%, $F$11)</f>
        <v>14.340199999999999</v>
      </c>
      <c r="E485" s="12">
        <f>14.3459 * CHOOSE( CONTROL!$C$15, $D$11, 100%, $F$11)</f>
        <v>14.3459</v>
      </c>
      <c r="F485" s="4">
        <f>15.0065 * CHOOSE(CONTROL!$C$15, $D$11, 100%, $F$11)</f>
        <v>15.006500000000001</v>
      </c>
      <c r="G485" s="8">
        <f>14.0204 * CHOOSE( CONTROL!$C$15, $D$11, 100%, $F$11)</f>
        <v>14.0204</v>
      </c>
      <c r="H485" s="4">
        <f>14.906 * CHOOSE(CONTROL!$C$15, $D$11, 100%, $F$11)</f>
        <v>14.906000000000001</v>
      </c>
      <c r="I485" s="8">
        <f>13.887 * CHOOSE(CONTROL!$C$15, $D$11, 100%, $F$11)</f>
        <v>13.887</v>
      </c>
      <c r="J485" s="4">
        <f>13.7611 * CHOOSE(CONTROL!$C$15, $D$11, 100%, $F$11)</f>
        <v>13.761100000000001</v>
      </c>
      <c r="K485" s="4"/>
      <c r="L485" s="9">
        <v>29.306000000000001</v>
      </c>
      <c r="M485" s="9">
        <v>12.063700000000001</v>
      </c>
      <c r="N485" s="9">
        <v>4.9444999999999997</v>
      </c>
      <c r="O485" s="9">
        <v>0.37409999999999999</v>
      </c>
      <c r="P485" s="9">
        <v>1.2927</v>
      </c>
      <c r="Q485" s="9">
        <v>19.814599999999999</v>
      </c>
      <c r="R485" s="9"/>
      <c r="S485" s="11"/>
    </row>
    <row r="486" spans="1:19" ht="15.75">
      <c r="A486" s="13">
        <v>56308</v>
      </c>
      <c r="B486" s="8">
        <f>13.4214 * CHOOSE(CONTROL!$C$15, $D$11, 100%, $F$11)</f>
        <v>13.4214</v>
      </c>
      <c r="C486" s="8">
        <f>13.4322 * CHOOSE(CONTROL!$C$15, $D$11, 100%, $F$11)</f>
        <v>13.4322</v>
      </c>
      <c r="D486" s="8">
        <f>13.4135 * CHOOSE( CONTROL!$C$15, $D$11, 100%, $F$11)</f>
        <v>13.413500000000001</v>
      </c>
      <c r="E486" s="12">
        <f>13.4192 * CHOOSE( CONTROL!$C$15, $D$11, 100%, $F$11)</f>
        <v>13.4192</v>
      </c>
      <c r="F486" s="4">
        <f>14.0799 * CHOOSE(CONTROL!$C$15, $D$11, 100%, $F$11)</f>
        <v>14.0799</v>
      </c>
      <c r="G486" s="8">
        <f>13.1144 * CHOOSE( CONTROL!$C$15, $D$11, 100%, $F$11)</f>
        <v>13.1144</v>
      </c>
      <c r="H486" s="4">
        <f>14 * CHOOSE(CONTROL!$C$15, $D$11, 100%, $F$11)</f>
        <v>14</v>
      </c>
      <c r="I486" s="8">
        <f>12.9967 * CHOOSE(CONTROL!$C$15, $D$11, 100%, $F$11)</f>
        <v>12.996700000000001</v>
      </c>
      <c r="J486" s="4">
        <f>12.8714 * CHOOSE(CONTROL!$C$15, $D$11, 100%, $F$11)</f>
        <v>12.8714</v>
      </c>
      <c r="K486" s="4"/>
      <c r="L486" s="9">
        <v>26.469899999999999</v>
      </c>
      <c r="M486" s="9">
        <v>10.8962</v>
      </c>
      <c r="N486" s="9">
        <v>4.4660000000000002</v>
      </c>
      <c r="O486" s="9">
        <v>0.33789999999999998</v>
      </c>
      <c r="P486" s="9">
        <v>1.1676</v>
      </c>
      <c r="Q486" s="9">
        <v>17.896999999999998</v>
      </c>
      <c r="R486" s="9"/>
      <c r="S486" s="11"/>
    </row>
    <row r="487" spans="1:19" ht="15.75">
      <c r="A487" s="13">
        <v>56339</v>
      </c>
      <c r="B487" s="8">
        <f>13.136 * CHOOSE(CONTROL!$C$15, $D$11, 100%, $F$11)</f>
        <v>13.135999999999999</v>
      </c>
      <c r="C487" s="8">
        <f>13.1468 * CHOOSE(CONTROL!$C$15, $D$11, 100%, $F$11)</f>
        <v>13.146800000000001</v>
      </c>
      <c r="D487" s="8">
        <f>13.1276 * CHOOSE( CONTROL!$C$15, $D$11, 100%, $F$11)</f>
        <v>13.127599999999999</v>
      </c>
      <c r="E487" s="12">
        <f>13.1335 * CHOOSE( CONTROL!$C$15, $D$11, 100%, $F$11)</f>
        <v>13.1335</v>
      </c>
      <c r="F487" s="4">
        <f>13.7945 * CHOOSE(CONTROL!$C$15, $D$11, 100%, $F$11)</f>
        <v>13.794499999999999</v>
      </c>
      <c r="G487" s="8">
        <f>12.835 * CHOOSE( CONTROL!$C$15, $D$11, 100%, $F$11)</f>
        <v>12.835000000000001</v>
      </c>
      <c r="H487" s="4">
        <f>13.721 * CHOOSE(CONTROL!$C$15, $D$11, 100%, $F$11)</f>
        <v>13.721</v>
      </c>
      <c r="I487" s="8">
        <f>12.721 * CHOOSE(CONTROL!$C$15, $D$11, 100%, $F$11)</f>
        <v>12.721</v>
      </c>
      <c r="J487" s="4">
        <f>12.5974 * CHOOSE(CONTROL!$C$15, $D$11, 100%, $F$11)</f>
        <v>12.5974</v>
      </c>
      <c r="K487" s="4"/>
      <c r="L487" s="9">
        <v>29.306000000000001</v>
      </c>
      <c r="M487" s="9">
        <v>12.063700000000001</v>
      </c>
      <c r="N487" s="9">
        <v>4.9444999999999997</v>
      </c>
      <c r="O487" s="9">
        <v>0.37409999999999999</v>
      </c>
      <c r="P487" s="9">
        <v>1.2927</v>
      </c>
      <c r="Q487" s="9">
        <v>19.814599999999999</v>
      </c>
      <c r="R487" s="9"/>
      <c r="S487" s="11"/>
    </row>
    <row r="488" spans="1:19" ht="15.75">
      <c r="A488" s="13">
        <v>56369</v>
      </c>
      <c r="B488" s="8">
        <f>13.3354 * CHOOSE(CONTROL!$C$15, $D$11, 100%, $F$11)</f>
        <v>13.3354</v>
      </c>
      <c r="C488" s="8">
        <f>13.3462 * CHOOSE(CONTROL!$C$15, $D$11, 100%, $F$11)</f>
        <v>13.3462</v>
      </c>
      <c r="D488" s="8">
        <f>13.3831 * CHOOSE( CONTROL!$C$15, $D$11, 100%, $F$11)</f>
        <v>13.383100000000001</v>
      </c>
      <c r="E488" s="12">
        <f>13.3697 * CHOOSE( CONTROL!$C$15, $D$11, 100%, $F$11)</f>
        <v>13.3697</v>
      </c>
      <c r="F488" s="4">
        <f>14.0747 * CHOOSE(CONTROL!$C$15, $D$11, 100%, $F$11)</f>
        <v>14.0747</v>
      </c>
      <c r="G488" s="8">
        <f>13.0292 * CHOOSE( CONTROL!$C$15, $D$11, 100%, $F$11)</f>
        <v>13.029199999999999</v>
      </c>
      <c r="H488" s="4">
        <f>13.9949 * CHOOSE(CONTROL!$C$15, $D$11, 100%, $F$11)</f>
        <v>13.994899999999999</v>
      </c>
      <c r="I488" s="8">
        <f>12.9045 * CHOOSE(CONTROL!$C$15, $D$11, 100%, $F$11)</f>
        <v>12.904500000000001</v>
      </c>
      <c r="J488" s="4">
        <f>12.7889 * CHOOSE(CONTROL!$C$15, $D$11, 100%, $F$11)</f>
        <v>12.7889</v>
      </c>
      <c r="K488" s="4"/>
      <c r="L488" s="9">
        <v>30.092199999999998</v>
      </c>
      <c r="M488" s="9">
        <v>11.6745</v>
      </c>
      <c r="N488" s="9">
        <v>4.7850000000000001</v>
      </c>
      <c r="O488" s="9">
        <v>0.36199999999999999</v>
      </c>
      <c r="P488" s="9">
        <v>1.1791</v>
      </c>
      <c r="Q488" s="9">
        <v>19.1754</v>
      </c>
      <c r="R488" s="9"/>
      <c r="S488" s="11"/>
    </row>
    <row r="489" spans="1:19" ht="15.75">
      <c r="A489" s="13">
        <v>56400</v>
      </c>
      <c r="B489" s="8">
        <f>CHOOSE( CONTROL!$C$32, 13.6926, 13.6902) * CHOOSE(CONTROL!$C$15, $D$11, 100%, $F$11)</f>
        <v>13.692600000000001</v>
      </c>
      <c r="C489" s="8">
        <f>CHOOSE( CONTROL!$C$32, 13.7032, 13.7008) * CHOOSE(CONTROL!$C$15, $D$11, 100%, $F$11)</f>
        <v>13.703200000000001</v>
      </c>
      <c r="D489" s="8">
        <f>CHOOSE( CONTROL!$C$32, 13.739, 13.7366) * CHOOSE( CONTROL!$C$15, $D$11, 100%, $F$11)</f>
        <v>13.739000000000001</v>
      </c>
      <c r="E489" s="12">
        <f>CHOOSE( CONTROL!$C$32, 13.7244, 13.722) * CHOOSE( CONTROL!$C$15, $D$11, 100%, $F$11)</f>
        <v>13.724399999999999</v>
      </c>
      <c r="F489" s="4">
        <f>CHOOSE( CONTROL!$C$32, 14.432, 14.4296) * CHOOSE(CONTROL!$C$15, $D$11, 100%, $F$11)</f>
        <v>14.432</v>
      </c>
      <c r="G489" s="8">
        <f>CHOOSE( CONTROL!$C$32, 13.3791, 13.3767) * CHOOSE( CONTROL!$C$15, $D$11, 100%, $F$11)</f>
        <v>13.379099999999999</v>
      </c>
      <c r="H489" s="4">
        <f>CHOOSE( CONTROL!$C$32, 14.3443, 14.3419) * CHOOSE(CONTROL!$C$15, $D$11, 100%, $F$11)</f>
        <v>14.3443</v>
      </c>
      <c r="I489" s="8">
        <f>CHOOSE( CONTROL!$C$32, 13.2478, 13.2455) * CHOOSE(CONTROL!$C$15, $D$11, 100%, $F$11)</f>
        <v>13.2478</v>
      </c>
      <c r="J489" s="4">
        <f>CHOOSE( CONTROL!$C$32, 13.132, 13.1297) * CHOOSE(CONTROL!$C$15, $D$11, 100%, $F$11)</f>
        <v>13.132</v>
      </c>
      <c r="K489" s="4"/>
      <c r="L489" s="9">
        <v>30.7165</v>
      </c>
      <c r="M489" s="9">
        <v>12.063700000000001</v>
      </c>
      <c r="N489" s="9">
        <v>4.9444999999999997</v>
      </c>
      <c r="O489" s="9">
        <v>0.37409999999999999</v>
      </c>
      <c r="P489" s="9">
        <v>1.2183999999999999</v>
      </c>
      <c r="Q489" s="9">
        <v>19.814599999999999</v>
      </c>
      <c r="R489" s="9"/>
      <c r="S489" s="11"/>
    </row>
    <row r="490" spans="1:19" ht="15.75">
      <c r="A490" s="13">
        <v>56430</v>
      </c>
      <c r="B490" s="8">
        <f>CHOOSE( CONTROL!$C$32, 13.4728, 13.4704) * CHOOSE(CONTROL!$C$15, $D$11, 100%, $F$11)</f>
        <v>13.472799999999999</v>
      </c>
      <c r="C490" s="8">
        <f>CHOOSE( CONTROL!$C$32, 13.4833, 13.4809) * CHOOSE(CONTROL!$C$15, $D$11, 100%, $F$11)</f>
        <v>13.4833</v>
      </c>
      <c r="D490" s="8">
        <f>CHOOSE( CONTROL!$C$32, 13.5194, 13.517) * CHOOSE( CONTROL!$C$15, $D$11, 100%, $F$11)</f>
        <v>13.519399999999999</v>
      </c>
      <c r="E490" s="12">
        <f>CHOOSE( CONTROL!$C$32, 13.5047, 13.5023) * CHOOSE( CONTROL!$C$15, $D$11, 100%, $F$11)</f>
        <v>13.5047</v>
      </c>
      <c r="F490" s="4">
        <f>CHOOSE( CONTROL!$C$32, 14.2121, 14.2097) * CHOOSE(CONTROL!$C$15, $D$11, 100%, $F$11)</f>
        <v>14.2121</v>
      </c>
      <c r="G490" s="8">
        <f>CHOOSE( CONTROL!$C$32, 13.1644, 13.1621) * CHOOSE( CONTROL!$C$15, $D$11, 100%, $F$11)</f>
        <v>13.164400000000001</v>
      </c>
      <c r="H490" s="4">
        <f>CHOOSE( CONTROL!$C$32, 14.1293, 14.127) * CHOOSE(CONTROL!$C$15, $D$11, 100%, $F$11)</f>
        <v>14.129300000000001</v>
      </c>
      <c r="I490" s="8">
        <f>CHOOSE( CONTROL!$C$32, 13.0375, 13.0352) * CHOOSE(CONTROL!$C$15, $D$11, 100%, $F$11)</f>
        <v>13.0375</v>
      </c>
      <c r="J490" s="4">
        <f>CHOOSE( CONTROL!$C$32, 12.9209, 12.9186) * CHOOSE(CONTROL!$C$15, $D$11, 100%, $F$11)</f>
        <v>12.9209</v>
      </c>
      <c r="K490" s="4"/>
      <c r="L490" s="9">
        <v>29.7257</v>
      </c>
      <c r="M490" s="9">
        <v>11.6745</v>
      </c>
      <c r="N490" s="9">
        <v>4.7850000000000001</v>
      </c>
      <c r="O490" s="9">
        <v>0.36199999999999999</v>
      </c>
      <c r="P490" s="9">
        <v>1.1791</v>
      </c>
      <c r="Q490" s="9">
        <v>19.1754</v>
      </c>
      <c r="R490" s="9"/>
      <c r="S490" s="11"/>
    </row>
    <row r="491" spans="1:19" ht="15.75">
      <c r="A491" s="13">
        <v>56461</v>
      </c>
      <c r="B491" s="8">
        <f>CHOOSE( CONTROL!$C$32, 14.0518, 14.0494) * CHOOSE(CONTROL!$C$15, $D$11, 100%, $F$11)</f>
        <v>14.0518</v>
      </c>
      <c r="C491" s="8">
        <f>CHOOSE( CONTROL!$C$32, 14.0623, 14.0599) * CHOOSE(CONTROL!$C$15, $D$11, 100%, $F$11)</f>
        <v>14.0623</v>
      </c>
      <c r="D491" s="8">
        <f>CHOOSE( CONTROL!$C$32, 14.0986, 14.0962) * CHOOSE( CONTROL!$C$15, $D$11, 100%, $F$11)</f>
        <v>14.098599999999999</v>
      </c>
      <c r="E491" s="12">
        <f>CHOOSE( CONTROL!$C$32, 14.0838, 14.0814) * CHOOSE( CONTROL!$C$15, $D$11, 100%, $F$11)</f>
        <v>14.0838</v>
      </c>
      <c r="F491" s="4">
        <f>CHOOSE( CONTROL!$C$32, 14.7911, 14.7887) * CHOOSE(CONTROL!$C$15, $D$11, 100%, $F$11)</f>
        <v>14.7911</v>
      </c>
      <c r="G491" s="8">
        <f>CHOOSE( CONTROL!$C$32, 13.7308, 13.7285) * CHOOSE( CONTROL!$C$15, $D$11, 100%, $F$11)</f>
        <v>13.7308</v>
      </c>
      <c r="H491" s="4">
        <f>CHOOSE( CONTROL!$C$32, 14.6954, 14.693) * CHOOSE(CONTROL!$C$15, $D$11, 100%, $F$11)</f>
        <v>14.695399999999999</v>
      </c>
      <c r="I491" s="8">
        <f>CHOOSE( CONTROL!$C$32, 13.5947, 13.5924) * CHOOSE(CONTROL!$C$15, $D$11, 100%, $F$11)</f>
        <v>13.5947</v>
      </c>
      <c r="J491" s="4">
        <f>CHOOSE( CONTROL!$C$32, 13.4768, 13.4745) * CHOOSE(CONTROL!$C$15, $D$11, 100%, $F$11)</f>
        <v>13.476800000000001</v>
      </c>
      <c r="K491" s="4"/>
      <c r="L491" s="9">
        <v>30.7165</v>
      </c>
      <c r="M491" s="9">
        <v>12.063700000000001</v>
      </c>
      <c r="N491" s="9">
        <v>4.9444999999999997</v>
      </c>
      <c r="O491" s="9">
        <v>0.37409999999999999</v>
      </c>
      <c r="P491" s="9">
        <v>1.2183999999999999</v>
      </c>
      <c r="Q491" s="9">
        <v>19.814599999999999</v>
      </c>
      <c r="R491" s="9"/>
      <c r="S491" s="11"/>
    </row>
    <row r="492" spans="1:19" ht="15.75">
      <c r="A492" s="13">
        <v>56492</v>
      </c>
      <c r="B492" s="8">
        <f>CHOOSE( CONTROL!$C$32, 12.9684, 12.966) * CHOOSE(CONTROL!$C$15, $D$11, 100%, $F$11)</f>
        <v>12.968400000000001</v>
      </c>
      <c r="C492" s="8">
        <f>CHOOSE( CONTROL!$C$32, 12.979, 12.9766) * CHOOSE(CONTROL!$C$15, $D$11, 100%, $F$11)</f>
        <v>12.978999999999999</v>
      </c>
      <c r="D492" s="8">
        <f>CHOOSE( CONTROL!$C$32, 13.0153, 13.0129) * CHOOSE( CONTROL!$C$15, $D$11, 100%, $F$11)</f>
        <v>13.0153</v>
      </c>
      <c r="E492" s="12">
        <f>CHOOSE( CONTROL!$C$32, 13.0005, 12.9981) * CHOOSE( CONTROL!$C$15, $D$11, 100%, $F$11)</f>
        <v>13.000500000000001</v>
      </c>
      <c r="F492" s="4">
        <f>CHOOSE( CONTROL!$C$32, 13.7078, 13.7054) * CHOOSE(CONTROL!$C$15, $D$11, 100%, $F$11)</f>
        <v>13.707800000000001</v>
      </c>
      <c r="G492" s="8">
        <f>CHOOSE( CONTROL!$C$32, 12.6717, 12.6694) * CHOOSE( CONTROL!$C$15, $D$11, 100%, $F$11)</f>
        <v>12.6717</v>
      </c>
      <c r="H492" s="4">
        <f>CHOOSE( CONTROL!$C$32, 13.6362, 13.6338) * CHOOSE(CONTROL!$C$15, $D$11, 100%, $F$11)</f>
        <v>13.636200000000001</v>
      </c>
      <c r="I492" s="8">
        <f>CHOOSE( CONTROL!$C$32, 12.5543, 12.552) * CHOOSE(CONTROL!$C$15, $D$11, 100%, $F$11)</f>
        <v>12.5543</v>
      </c>
      <c r="J492" s="4">
        <f>CHOOSE( CONTROL!$C$32, 12.4366, 12.4343) * CHOOSE(CONTROL!$C$15, $D$11, 100%, $F$11)</f>
        <v>12.4366</v>
      </c>
      <c r="K492" s="4"/>
      <c r="L492" s="9">
        <v>30.7165</v>
      </c>
      <c r="M492" s="9">
        <v>12.063700000000001</v>
      </c>
      <c r="N492" s="9">
        <v>4.9444999999999997</v>
      </c>
      <c r="O492" s="9">
        <v>0.37409999999999999</v>
      </c>
      <c r="P492" s="9">
        <v>1.2183999999999999</v>
      </c>
      <c r="Q492" s="9">
        <v>19.814599999999999</v>
      </c>
      <c r="R492" s="9"/>
      <c r="S492" s="11"/>
    </row>
    <row r="493" spans="1:19" ht="15.75">
      <c r="A493" s="13">
        <v>56522</v>
      </c>
      <c r="B493" s="8">
        <f>CHOOSE( CONTROL!$C$32, 12.6971, 12.6947) * CHOOSE(CONTROL!$C$15, $D$11, 100%, $F$11)</f>
        <v>12.697100000000001</v>
      </c>
      <c r="C493" s="8">
        <f>CHOOSE( CONTROL!$C$32, 12.7077, 12.7053) * CHOOSE(CONTROL!$C$15, $D$11, 100%, $F$11)</f>
        <v>12.707700000000001</v>
      </c>
      <c r="D493" s="8">
        <f>CHOOSE( CONTROL!$C$32, 12.7439, 12.7415) * CHOOSE( CONTROL!$C$15, $D$11, 100%, $F$11)</f>
        <v>12.7439</v>
      </c>
      <c r="E493" s="12">
        <f>CHOOSE( CONTROL!$C$32, 12.7292, 12.7268) * CHOOSE( CONTROL!$C$15, $D$11, 100%, $F$11)</f>
        <v>12.729200000000001</v>
      </c>
      <c r="F493" s="4">
        <f>CHOOSE( CONTROL!$C$32, 13.4365, 13.4341) * CHOOSE(CONTROL!$C$15, $D$11, 100%, $F$11)</f>
        <v>13.436500000000001</v>
      </c>
      <c r="G493" s="8">
        <f>CHOOSE( CONTROL!$C$32, 12.4064, 12.404) * CHOOSE( CONTROL!$C$15, $D$11, 100%, $F$11)</f>
        <v>12.4064</v>
      </c>
      <c r="H493" s="4">
        <f>CHOOSE( CONTROL!$C$32, 13.371, 13.3686) * CHOOSE(CONTROL!$C$15, $D$11, 100%, $F$11)</f>
        <v>13.371</v>
      </c>
      <c r="I493" s="8">
        <f>CHOOSE( CONTROL!$C$32, 12.2934, 12.2911) * CHOOSE(CONTROL!$C$15, $D$11, 100%, $F$11)</f>
        <v>12.2934</v>
      </c>
      <c r="J493" s="4">
        <f>CHOOSE( CONTROL!$C$32, 12.1762, 12.1739) * CHOOSE(CONTROL!$C$15, $D$11, 100%, $F$11)</f>
        <v>12.1762</v>
      </c>
      <c r="K493" s="4"/>
      <c r="L493" s="9">
        <v>29.7257</v>
      </c>
      <c r="M493" s="9">
        <v>11.6745</v>
      </c>
      <c r="N493" s="9">
        <v>4.7850000000000001</v>
      </c>
      <c r="O493" s="9">
        <v>0.36199999999999999</v>
      </c>
      <c r="P493" s="9">
        <v>1.1791</v>
      </c>
      <c r="Q493" s="9">
        <v>19.1754</v>
      </c>
      <c r="R493" s="9"/>
      <c r="S493" s="11"/>
    </row>
    <row r="494" spans="1:19" ht="15.75">
      <c r="A494" s="13">
        <v>56553</v>
      </c>
      <c r="B494" s="8">
        <f>13.2581 * CHOOSE(CONTROL!$C$15, $D$11, 100%, $F$11)</f>
        <v>13.258100000000001</v>
      </c>
      <c r="C494" s="8">
        <f>13.2689 * CHOOSE(CONTROL!$C$15, $D$11, 100%, $F$11)</f>
        <v>13.2689</v>
      </c>
      <c r="D494" s="8">
        <f>13.3064 * CHOOSE( CONTROL!$C$15, $D$11, 100%, $F$11)</f>
        <v>13.3064</v>
      </c>
      <c r="E494" s="12">
        <f>13.2929 * CHOOSE( CONTROL!$C$15, $D$11, 100%, $F$11)</f>
        <v>13.292899999999999</v>
      </c>
      <c r="F494" s="4">
        <f>13.9974 * CHOOSE(CONTROL!$C$15, $D$11, 100%, $F$11)</f>
        <v>13.997400000000001</v>
      </c>
      <c r="G494" s="8">
        <f>12.9545 * CHOOSE( CONTROL!$C$15, $D$11, 100%, $F$11)</f>
        <v>12.954499999999999</v>
      </c>
      <c r="H494" s="4">
        <f>13.9193 * CHOOSE(CONTROL!$C$15, $D$11, 100%, $F$11)</f>
        <v>13.9193</v>
      </c>
      <c r="I494" s="8">
        <f>12.8329 * CHOOSE(CONTROL!$C$15, $D$11, 100%, $F$11)</f>
        <v>12.8329</v>
      </c>
      <c r="J494" s="4">
        <f>12.7147 * CHOOSE(CONTROL!$C$15, $D$11, 100%, $F$11)</f>
        <v>12.714700000000001</v>
      </c>
      <c r="K494" s="4"/>
      <c r="L494" s="9">
        <v>31.095300000000002</v>
      </c>
      <c r="M494" s="9">
        <v>12.063700000000001</v>
      </c>
      <c r="N494" s="9">
        <v>4.9444999999999997</v>
      </c>
      <c r="O494" s="9">
        <v>0.37409999999999999</v>
      </c>
      <c r="P494" s="9">
        <v>1.2183999999999999</v>
      </c>
      <c r="Q494" s="9">
        <v>19.814599999999999</v>
      </c>
      <c r="R494" s="9"/>
      <c r="S494" s="11"/>
    </row>
    <row r="495" spans="1:19" ht="15.75">
      <c r="A495" s="13">
        <v>56583</v>
      </c>
      <c r="B495" s="8">
        <f>14.2978 * CHOOSE(CONTROL!$C$15, $D$11, 100%, $F$11)</f>
        <v>14.297800000000001</v>
      </c>
      <c r="C495" s="8">
        <f>14.3086 * CHOOSE(CONTROL!$C$15, $D$11, 100%, $F$11)</f>
        <v>14.3086</v>
      </c>
      <c r="D495" s="8">
        <f>14.2913 * CHOOSE( CONTROL!$C$15, $D$11, 100%, $F$11)</f>
        <v>14.2913</v>
      </c>
      <c r="E495" s="12">
        <f>14.2965 * CHOOSE( CONTROL!$C$15, $D$11, 100%, $F$11)</f>
        <v>14.2965</v>
      </c>
      <c r="F495" s="4">
        <f>14.9563 * CHOOSE(CONTROL!$C$15, $D$11, 100%, $F$11)</f>
        <v>14.956300000000001</v>
      </c>
      <c r="G495" s="8">
        <f>13.9777 * CHOOSE( CONTROL!$C$15, $D$11, 100%, $F$11)</f>
        <v>13.9777</v>
      </c>
      <c r="H495" s="4">
        <f>14.8569 * CHOOSE(CONTROL!$C$15, $D$11, 100%, $F$11)</f>
        <v>14.8569</v>
      </c>
      <c r="I495" s="8">
        <f>13.8688 * CHOOSE(CONTROL!$C$15, $D$11, 100%, $F$11)</f>
        <v>13.8688</v>
      </c>
      <c r="J495" s="4">
        <f>13.7129 * CHOOSE(CONTROL!$C$15, $D$11, 100%, $F$11)</f>
        <v>13.712899999999999</v>
      </c>
      <c r="K495" s="4"/>
      <c r="L495" s="9">
        <v>28.360600000000002</v>
      </c>
      <c r="M495" s="9">
        <v>11.6745</v>
      </c>
      <c r="N495" s="9">
        <v>4.7850000000000001</v>
      </c>
      <c r="O495" s="9">
        <v>0.36199999999999999</v>
      </c>
      <c r="P495" s="9">
        <v>1.2509999999999999</v>
      </c>
      <c r="Q495" s="9">
        <v>19.1754</v>
      </c>
      <c r="R495" s="9"/>
      <c r="S495" s="11"/>
    </row>
    <row r="496" spans="1:19" ht="15.75">
      <c r="A496" s="13">
        <v>56614</v>
      </c>
      <c r="B496" s="8">
        <f>14.2719 * CHOOSE(CONTROL!$C$15, $D$11, 100%, $F$11)</f>
        <v>14.2719</v>
      </c>
      <c r="C496" s="8">
        <f>14.2826 * CHOOSE(CONTROL!$C$15, $D$11, 100%, $F$11)</f>
        <v>14.2826</v>
      </c>
      <c r="D496" s="8">
        <f>14.2671 * CHOOSE( CONTROL!$C$15, $D$11, 100%, $F$11)</f>
        <v>14.267099999999999</v>
      </c>
      <c r="E496" s="12">
        <f>14.2716 * CHOOSE( CONTROL!$C$15, $D$11, 100%, $F$11)</f>
        <v>14.271599999999999</v>
      </c>
      <c r="F496" s="4">
        <f>14.9304 * CHOOSE(CONTROL!$C$15, $D$11, 100%, $F$11)</f>
        <v>14.930400000000001</v>
      </c>
      <c r="G496" s="8">
        <f>13.9535 * CHOOSE( CONTROL!$C$15, $D$11, 100%, $F$11)</f>
        <v>13.9535</v>
      </c>
      <c r="H496" s="4">
        <f>14.8315 * CHOOSE(CONTROL!$C$15, $D$11, 100%, $F$11)</f>
        <v>14.8315</v>
      </c>
      <c r="I496" s="8">
        <f>13.849 * CHOOSE(CONTROL!$C$15, $D$11, 100%, $F$11)</f>
        <v>13.849</v>
      </c>
      <c r="J496" s="4">
        <f>13.688 * CHOOSE(CONTROL!$C$15, $D$11, 100%, $F$11)</f>
        <v>13.688000000000001</v>
      </c>
      <c r="K496" s="4"/>
      <c r="L496" s="9">
        <v>29.306000000000001</v>
      </c>
      <c r="M496" s="9">
        <v>12.063700000000001</v>
      </c>
      <c r="N496" s="9">
        <v>4.9444999999999997</v>
      </c>
      <c r="O496" s="9">
        <v>0.37409999999999999</v>
      </c>
      <c r="P496" s="9">
        <v>1.2927</v>
      </c>
      <c r="Q496" s="9">
        <v>19.814599999999999</v>
      </c>
      <c r="R496" s="9"/>
      <c r="S496" s="11"/>
    </row>
    <row r="497" spans="1:19" ht="15.75">
      <c r="A497" s="13">
        <v>56645</v>
      </c>
      <c r="B497" s="8">
        <f>14.6924 * CHOOSE(CONTROL!$C$15, $D$11, 100%, $F$11)</f>
        <v>14.692399999999999</v>
      </c>
      <c r="C497" s="8">
        <f>14.7032 * CHOOSE(CONTROL!$C$15, $D$11, 100%, $F$11)</f>
        <v>14.703200000000001</v>
      </c>
      <c r="D497" s="8">
        <f>14.6845 * CHOOSE( CONTROL!$C$15, $D$11, 100%, $F$11)</f>
        <v>14.6845</v>
      </c>
      <c r="E497" s="12">
        <f>14.6902 * CHOOSE( CONTROL!$C$15, $D$11, 100%, $F$11)</f>
        <v>14.690200000000001</v>
      </c>
      <c r="F497" s="4">
        <f>15.3509 * CHOOSE(CONTROL!$C$15, $D$11, 100%, $F$11)</f>
        <v>15.350899999999999</v>
      </c>
      <c r="G497" s="8">
        <f>14.3571 * CHOOSE( CONTROL!$C$15, $D$11, 100%, $F$11)</f>
        <v>14.357100000000001</v>
      </c>
      <c r="H497" s="4">
        <f>15.2427 * CHOOSE(CONTROL!$C$15, $D$11, 100%, $F$11)</f>
        <v>15.242699999999999</v>
      </c>
      <c r="I497" s="8">
        <f>14.2178 * CHOOSE(CONTROL!$C$15, $D$11, 100%, $F$11)</f>
        <v>14.2178</v>
      </c>
      <c r="J497" s="4">
        <f>14.0917 * CHOOSE(CONTROL!$C$15, $D$11, 100%, $F$11)</f>
        <v>14.091699999999999</v>
      </c>
      <c r="K497" s="4"/>
      <c r="L497" s="9">
        <v>29.306000000000001</v>
      </c>
      <c r="M497" s="9">
        <v>12.063700000000001</v>
      </c>
      <c r="N497" s="9">
        <v>4.9444999999999997</v>
      </c>
      <c r="O497" s="9">
        <v>0.37409999999999999</v>
      </c>
      <c r="P497" s="9">
        <v>1.2927</v>
      </c>
      <c r="Q497" s="9">
        <v>19.751300000000001</v>
      </c>
      <c r="R497" s="9"/>
      <c r="S497" s="11"/>
    </row>
    <row r="498" spans="1:19" ht="15.75">
      <c r="A498" s="13">
        <v>56673</v>
      </c>
      <c r="B498" s="8">
        <f>13.7435 * CHOOSE(CONTROL!$C$15, $D$11, 100%, $F$11)</f>
        <v>13.743499999999999</v>
      </c>
      <c r="C498" s="8">
        <f>13.7543 * CHOOSE(CONTROL!$C$15, $D$11, 100%, $F$11)</f>
        <v>13.754300000000001</v>
      </c>
      <c r="D498" s="8">
        <f>13.7356 * CHOOSE( CONTROL!$C$15, $D$11, 100%, $F$11)</f>
        <v>13.7356</v>
      </c>
      <c r="E498" s="12">
        <f>13.7413 * CHOOSE( CONTROL!$C$15, $D$11, 100%, $F$11)</f>
        <v>13.741300000000001</v>
      </c>
      <c r="F498" s="4">
        <f>14.402 * CHOOSE(CONTROL!$C$15, $D$11, 100%, $F$11)</f>
        <v>14.401999999999999</v>
      </c>
      <c r="G498" s="8">
        <f>13.4293 * CHOOSE( CONTROL!$C$15, $D$11, 100%, $F$11)</f>
        <v>13.4293</v>
      </c>
      <c r="H498" s="4">
        <f>14.315 * CHOOSE(CONTROL!$C$15, $D$11, 100%, $F$11)</f>
        <v>14.315</v>
      </c>
      <c r="I498" s="8">
        <f>13.3061 * CHOOSE(CONTROL!$C$15, $D$11, 100%, $F$11)</f>
        <v>13.306100000000001</v>
      </c>
      <c r="J498" s="4">
        <f>13.1807 * CHOOSE(CONTROL!$C$15, $D$11, 100%, $F$11)</f>
        <v>13.1807</v>
      </c>
      <c r="K498" s="4"/>
      <c r="L498" s="9">
        <v>26.469899999999999</v>
      </c>
      <c r="M498" s="9">
        <v>10.8962</v>
      </c>
      <c r="N498" s="9">
        <v>4.4660000000000002</v>
      </c>
      <c r="O498" s="9">
        <v>0.33789999999999998</v>
      </c>
      <c r="P498" s="9">
        <v>1.1676</v>
      </c>
      <c r="Q498" s="9">
        <v>17.8399</v>
      </c>
      <c r="R498" s="9"/>
      <c r="S498" s="11"/>
    </row>
    <row r="499" spans="1:19" ht="15.75">
      <c r="A499" s="13">
        <v>56704</v>
      </c>
      <c r="B499" s="8">
        <f>13.4513 * CHOOSE(CONTROL!$C$15, $D$11, 100%, $F$11)</f>
        <v>13.4513</v>
      </c>
      <c r="C499" s="8">
        <f>13.462 * CHOOSE(CONTROL!$C$15, $D$11, 100%, $F$11)</f>
        <v>13.462</v>
      </c>
      <c r="D499" s="8">
        <f>13.4429 * CHOOSE( CONTROL!$C$15, $D$11, 100%, $F$11)</f>
        <v>13.4429</v>
      </c>
      <c r="E499" s="12">
        <f>13.4487 * CHOOSE( CONTROL!$C$15, $D$11, 100%, $F$11)</f>
        <v>13.448700000000001</v>
      </c>
      <c r="F499" s="4">
        <f>14.1098 * CHOOSE(CONTROL!$C$15, $D$11, 100%, $F$11)</f>
        <v>14.1098</v>
      </c>
      <c r="G499" s="8">
        <f>13.1433 * CHOOSE( CONTROL!$C$15, $D$11, 100%, $F$11)</f>
        <v>13.1433</v>
      </c>
      <c r="H499" s="4">
        <f>14.0292 * CHOOSE(CONTROL!$C$15, $D$11, 100%, $F$11)</f>
        <v>14.029199999999999</v>
      </c>
      <c r="I499" s="8">
        <f>13.0239 * CHOOSE(CONTROL!$C$15, $D$11, 100%, $F$11)</f>
        <v>13.023899999999999</v>
      </c>
      <c r="J499" s="4">
        <f>12.9001 * CHOOSE(CONTROL!$C$15, $D$11, 100%, $F$11)</f>
        <v>12.9001</v>
      </c>
      <c r="K499" s="4"/>
      <c r="L499" s="9">
        <v>29.306000000000001</v>
      </c>
      <c r="M499" s="9">
        <v>12.063700000000001</v>
      </c>
      <c r="N499" s="9">
        <v>4.9444999999999997</v>
      </c>
      <c r="O499" s="9">
        <v>0.37409999999999999</v>
      </c>
      <c r="P499" s="9">
        <v>1.2927</v>
      </c>
      <c r="Q499" s="9">
        <v>19.751300000000001</v>
      </c>
      <c r="R499" s="9"/>
      <c r="S499" s="11"/>
    </row>
    <row r="500" spans="1:19" ht="15.75">
      <c r="A500" s="13">
        <v>56734</v>
      </c>
      <c r="B500" s="8">
        <f>13.6554 * CHOOSE(CONTROL!$C$15, $D$11, 100%, $F$11)</f>
        <v>13.6554</v>
      </c>
      <c r="C500" s="8">
        <f>13.6662 * CHOOSE(CONTROL!$C$15, $D$11, 100%, $F$11)</f>
        <v>13.6662</v>
      </c>
      <c r="D500" s="8">
        <f>13.7032 * CHOOSE( CONTROL!$C$15, $D$11, 100%, $F$11)</f>
        <v>13.703200000000001</v>
      </c>
      <c r="E500" s="12">
        <f>13.6897 * CHOOSE( CONTROL!$C$15, $D$11, 100%, $F$11)</f>
        <v>13.6897</v>
      </c>
      <c r="F500" s="4">
        <f>14.3947 * CHOOSE(CONTROL!$C$15, $D$11, 100%, $F$11)</f>
        <v>14.3947</v>
      </c>
      <c r="G500" s="8">
        <f>13.3421 * CHOOSE( CONTROL!$C$15, $D$11, 100%, $F$11)</f>
        <v>13.3421</v>
      </c>
      <c r="H500" s="4">
        <f>14.3078 * CHOOSE(CONTROL!$C$15, $D$11, 100%, $F$11)</f>
        <v>14.3078</v>
      </c>
      <c r="I500" s="8">
        <f>13.2119 * CHOOSE(CONTROL!$C$15, $D$11, 100%, $F$11)</f>
        <v>13.2119</v>
      </c>
      <c r="J500" s="4">
        <f>13.0962 * CHOOSE(CONTROL!$C$15, $D$11, 100%, $F$11)</f>
        <v>13.0962</v>
      </c>
      <c r="K500" s="4"/>
      <c r="L500" s="9">
        <v>30.092199999999998</v>
      </c>
      <c r="M500" s="9">
        <v>11.6745</v>
      </c>
      <c r="N500" s="9">
        <v>4.7850000000000001</v>
      </c>
      <c r="O500" s="9">
        <v>0.36199999999999999</v>
      </c>
      <c r="P500" s="9">
        <v>1.1791</v>
      </c>
      <c r="Q500" s="9">
        <v>19.1142</v>
      </c>
      <c r="R500" s="9"/>
      <c r="S500" s="11"/>
    </row>
    <row r="501" spans="1:19" ht="15.75">
      <c r="A501" s="13">
        <v>56765</v>
      </c>
      <c r="B501" s="8">
        <f>CHOOSE( CONTROL!$C$32, 14.0212, 14.0188) * CHOOSE(CONTROL!$C$15, $D$11, 100%, $F$11)</f>
        <v>14.0212</v>
      </c>
      <c r="C501" s="8">
        <f>CHOOSE( CONTROL!$C$32, 14.0318, 14.0294) * CHOOSE(CONTROL!$C$15, $D$11, 100%, $F$11)</f>
        <v>14.0318</v>
      </c>
      <c r="D501" s="8">
        <f>CHOOSE( CONTROL!$C$32, 14.0676, 14.0652) * CHOOSE( CONTROL!$C$15, $D$11, 100%, $F$11)</f>
        <v>14.067600000000001</v>
      </c>
      <c r="E501" s="12">
        <f>CHOOSE( CONTROL!$C$32, 14.053, 14.0506) * CHOOSE( CONTROL!$C$15, $D$11, 100%, $F$11)</f>
        <v>14.053000000000001</v>
      </c>
      <c r="F501" s="4">
        <f>CHOOSE( CONTROL!$C$32, 14.7606, 14.7582) * CHOOSE(CONTROL!$C$15, $D$11, 100%, $F$11)</f>
        <v>14.7606</v>
      </c>
      <c r="G501" s="8">
        <f>CHOOSE( CONTROL!$C$32, 13.7003, 13.698) * CHOOSE( CONTROL!$C$15, $D$11, 100%, $F$11)</f>
        <v>13.7003</v>
      </c>
      <c r="H501" s="4">
        <f>CHOOSE( CONTROL!$C$32, 14.6655, 14.6632) * CHOOSE(CONTROL!$C$15, $D$11, 100%, $F$11)</f>
        <v>14.6655</v>
      </c>
      <c r="I501" s="8">
        <f>CHOOSE( CONTROL!$C$32, 13.5634, 13.5611) * CHOOSE(CONTROL!$C$15, $D$11, 100%, $F$11)</f>
        <v>13.5634</v>
      </c>
      <c r="J501" s="4">
        <f>CHOOSE( CONTROL!$C$32, 13.4474, 13.4451) * CHOOSE(CONTROL!$C$15, $D$11, 100%, $F$11)</f>
        <v>13.4474</v>
      </c>
      <c r="K501" s="4"/>
      <c r="L501" s="9">
        <v>30.7165</v>
      </c>
      <c r="M501" s="9">
        <v>12.063700000000001</v>
      </c>
      <c r="N501" s="9">
        <v>4.9444999999999997</v>
      </c>
      <c r="O501" s="9">
        <v>0.37409999999999999</v>
      </c>
      <c r="P501" s="9">
        <v>1.2183999999999999</v>
      </c>
      <c r="Q501" s="9">
        <v>19.751300000000001</v>
      </c>
      <c r="R501" s="9"/>
      <c r="S501" s="11"/>
    </row>
    <row r="502" spans="1:19" ht="15.75">
      <c r="A502" s="13">
        <v>56795</v>
      </c>
      <c r="B502" s="8">
        <f>CHOOSE( CONTROL!$C$32, 13.7961, 13.7937) * CHOOSE(CONTROL!$C$15, $D$11, 100%, $F$11)</f>
        <v>13.796099999999999</v>
      </c>
      <c r="C502" s="8">
        <f>CHOOSE( CONTROL!$C$32, 13.8066, 13.8042) * CHOOSE(CONTROL!$C$15, $D$11, 100%, $F$11)</f>
        <v>13.8066</v>
      </c>
      <c r="D502" s="8">
        <f>CHOOSE( CONTROL!$C$32, 13.8427, 13.8403) * CHOOSE( CONTROL!$C$15, $D$11, 100%, $F$11)</f>
        <v>13.842700000000001</v>
      </c>
      <c r="E502" s="12">
        <f>CHOOSE( CONTROL!$C$32, 13.828, 13.8256) * CHOOSE( CONTROL!$C$15, $D$11, 100%, $F$11)</f>
        <v>13.827999999999999</v>
      </c>
      <c r="F502" s="4">
        <f>CHOOSE( CONTROL!$C$32, 14.5354, 14.533) * CHOOSE(CONTROL!$C$15, $D$11, 100%, $F$11)</f>
        <v>14.535399999999999</v>
      </c>
      <c r="G502" s="8">
        <f>CHOOSE( CONTROL!$C$32, 13.4805, 13.4782) * CHOOSE( CONTROL!$C$15, $D$11, 100%, $F$11)</f>
        <v>13.480499999999999</v>
      </c>
      <c r="H502" s="4">
        <f>CHOOSE( CONTROL!$C$32, 14.4454, 14.4431) * CHOOSE(CONTROL!$C$15, $D$11, 100%, $F$11)</f>
        <v>14.445399999999999</v>
      </c>
      <c r="I502" s="8">
        <f>CHOOSE( CONTROL!$C$32, 13.3481, 13.3458) * CHOOSE(CONTROL!$C$15, $D$11, 100%, $F$11)</f>
        <v>13.348100000000001</v>
      </c>
      <c r="J502" s="4">
        <f>CHOOSE( CONTROL!$C$32, 13.2313, 13.229) * CHOOSE(CONTROL!$C$15, $D$11, 100%, $F$11)</f>
        <v>13.231299999999999</v>
      </c>
      <c r="K502" s="4"/>
      <c r="L502" s="9">
        <v>29.7257</v>
      </c>
      <c r="M502" s="9">
        <v>11.6745</v>
      </c>
      <c r="N502" s="9">
        <v>4.7850000000000001</v>
      </c>
      <c r="O502" s="9">
        <v>0.36199999999999999</v>
      </c>
      <c r="P502" s="9">
        <v>1.1791</v>
      </c>
      <c r="Q502" s="9">
        <v>19.1142</v>
      </c>
      <c r="R502" s="9"/>
      <c r="S502" s="11"/>
    </row>
    <row r="503" spans="1:19" ht="15.75">
      <c r="A503" s="13">
        <v>56826</v>
      </c>
      <c r="B503" s="8">
        <f>CHOOSE( CONTROL!$C$32, 14.389, 14.3866) * CHOOSE(CONTROL!$C$15, $D$11, 100%, $F$11)</f>
        <v>14.388999999999999</v>
      </c>
      <c r="C503" s="8">
        <f>CHOOSE( CONTROL!$C$32, 14.3995, 14.3971) * CHOOSE(CONTROL!$C$15, $D$11, 100%, $F$11)</f>
        <v>14.3995</v>
      </c>
      <c r="D503" s="8">
        <f>CHOOSE( CONTROL!$C$32, 14.4358, 14.4334) * CHOOSE( CONTROL!$C$15, $D$11, 100%, $F$11)</f>
        <v>14.4358</v>
      </c>
      <c r="E503" s="12">
        <f>CHOOSE( CONTROL!$C$32, 14.421, 14.4186) * CHOOSE( CONTROL!$C$15, $D$11, 100%, $F$11)</f>
        <v>14.420999999999999</v>
      </c>
      <c r="F503" s="4">
        <f>CHOOSE( CONTROL!$C$32, 15.1283, 15.1259) * CHOOSE(CONTROL!$C$15, $D$11, 100%, $F$11)</f>
        <v>15.128299999999999</v>
      </c>
      <c r="G503" s="8">
        <f>CHOOSE( CONTROL!$C$32, 14.0605, 14.0582) * CHOOSE( CONTROL!$C$15, $D$11, 100%, $F$11)</f>
        <v>14.060499999999999</v>
      </c>
      <c r="H503" s="4">
        <f>CHOOSE( CONTROL!$C$32, 15.0251, 15.0227) * CHOOSE(CONTROL!$C$15, $D$11, 100%, $F$11)</f>
        <v>15.0251</v>
      </c>
      <c r="I503" s="8">
        <f>CHOOSE( CONTROL!$C$32, 13.9186, 13.9163) * CHOOSE(CONTROL!$C$15, $D$11, 100%, $F$11)</f>
        <v>13.9186</v>
      </c>
      <c r="J503" s="4">
        <f>CHOOSE( CONTROL!$C$32, 13.8005, 13.7982) * CHOOSE(CONTROL!$C$15, $D$11, 100%, $F$11)</f>
        <v>13.8005</v>
      </c>
      <c r="K503" s="4"/>
      <c r="L503" s="9">
        <v>30.7165</v>
      </c>
      <c r="M503" s="9">
        <v>12.063700000000001</v>
      </c>
      <c r="N503" s="9">
        <v>4.9444999999999997</v>
      </c>
      <c r="O503" s="9">
        <v>0.37409999999999999</v>
      </c>
      <c r="P503" s="9">
        <v>1.2183999999999999</v>
      </c>
      <c r="Q503" s="9">
        <v>19.751300000000001</v>
      </c>
      <c r="R503" s="9"/>
      <c r="S503" s="11"/>
    </row>
    <row r="504" spans="1:19" ht="15.75">
      <c r="A504" s="13">
        <v>56857</v>
      </c>
      <c r="B504" s="8">
        <f>CHOOSE( CONTROL!$C$32, 13.2796, 13.2772) * CHOOSE(CONTROL!$C$15, $D$11, 100%, $F$11)</f>
        <v>13.2796</v>
      </c>
      <c r="C504" s="8">
        <f>CHOOSE( CONTROL!$C$32, 13.2901, 13.2878) * CHOOSE(CONTROL!$C$15, $D$11, 100%, $F$11)</f>
        <v>13.290100000000001</v>
      </c>
      <c r="D504" s="8">
        <f>CHOOSE( CONTROL!$C$32, 13.3264, 13.324) * CHOOSE( CONTROL!$C$15, $D$11, 100%, $F$11)</f>
        <v>13.3264</v>
      </c>
      <c r="E504" s="12">
        <f>CHOOSE( CONTROL!$C$32, 13.3116, 13.3093) * CHOOSE( CONTROL!$C$15, $D$11, 100%, $F$11)</f>
        <v>13.3116</v>
      </c>
      <c r="F504" s="4">
        <f>CHOOSE( CONTROL!$C$32, 14.0189, 14.0165) * CHOOSE(CONTROL!$C$15, $D$11, 100%, $F$11)</f>
        <v>14.0189</v>
      </c>
      <c r="G504" s="8">
        <f>CHOOSE( CONTROL!$C$32, 12.9759, 12.9736) * CHOOSE( CONTROL!$C$15, $D$11, 100%, $F$11)</f>
        <v>12.975899999999999</v>
      </c>
      <c r="H504" s="4">
        <f>CHOOSE( CONTROL!$C$32, 13.9404, 13.9381) * CHOOSE(CONTROL!$C$15, $D$11, 100%, $F$11)</f>
        <v>13.9404</v>
      </c>
      <c r="I504" s="8">
        <f>CHOOSE( CONTROL!$C$32, 12.8532, 12.8509) * CHOOSE(CONTROL!$C$15, $D$11, 100%, $F$11)</f>
        <v>12.853199999999999</v>
      </c>
      <c r="J504" s="4">
        <f>CHOOSE( CONTROL!$C$32, 12.7354, 12.7331) * CHOOSE(CONTROL!$C$15, $D$11, 100%, $F$11)</f>
        <v>12.7354</v>
      </c>
      <c r="K504" s="4"/>
      <c r="L504" s="9">
        <v>30.7165</v>
      </c>
      <c r="M504" s="9">
        <v>12.063700000000001</v>
      </c>
      <c r="N504" s="9">
        <v>4.9444999999999997</v>
      </c>
      <c r="O504" s="9">
        <v>0.37409999999999999</v>
      </c>
      <c r="P504" s="9">
        <v>1.2183999999999999</v>
      </c>
      <c r="Q504" s="9">
        <v>19.751300000000001</v>
      </c>
      <c r="R504" s="9"/>
      <c r="S504" s="11"/>
    </row>
    <row r="505" spans="1:19" ht="15.75">
      <c r="A505" s="13">
        <v>56887</v>
      </c>
      <c r="B505" s="8">
        <f>CHOOSE( CONTROL!$C$32, 13.0018, 12.9994) * CHOOSE(CONTROL!$C$15, $D$11, 100%, $F$11)</f>
        <v>13.001799999999999</v>
      </c>
      <c r="C505" s="8">
        <f>CHOOSE( CONTROL!$C$32, 13.0123, 13.0099) * CHOOSE(CONTROL!$C$15, $D$11, 100%, $F$11)</f>
        <v>13.0123</v>
      </c>
      <c r="D505" s="8">
        <f>CHOOSE( CONTROL!$C$32, 13.0486, 13.0462) * CHOOSE( CONTROL!$C$15, $D$11, 100%, $F$11)</f>
        <v>13.0486</v>
      </c>
      <c r="E505" s="12">
        <f>CHOOSE( CONTROL!$C$32, 13.0338, 13.0314) * CHOOSE( CONTROL!$C$15, $D$11, 100%, $F$11)</f>
        <v>13.033799999999999</v>
      </c>
      <c r="F505" s="4">
        <f>CHOOSE( CONTROL!$C$32, 13.7411, 13.7387) * CHOOSE(CONTROL!$C$15, $D$11, 100%, $F$11)</f>
        <v>13.741099999999999</v>
      </c>
      <c r="G505" s="8">
        <f>CHOOSE( CONTROL!$C$32, 12.7042, 12.7019) * CHOOSE( CONTROL!$C$15, $D$11, 100%, $F$11)</f>
        <v>12.7042</v>
      </c>
      <c r="H505" s="4">
        <f>CHOOSE( CONTROL!$C$32, 13.6688, 13.6665) * CHOOSE(CONTROL!$C$15, $D$11, 100%, $F$11)</f>
        <v>13.668799999999999</v>
      </c>
      <c r="I505" s="8">
        <f>CHOOSE( CONTROL!$C$32, 12.586, 12.5837) * CHOOSE(CONTROL!$C$15, $D$11, 100%, $F$11)</f>
        <v>12.586</v>
      </c>
      <c r="J505" s="4">
        <f>CHOOSE( CONTROL!$C$32, 12.4687, 12.4664) * CHOOSE(CONTROL!$C$15, $D$11, 100%, $F$11)</f>
        <v>12.4687</v>
      </c>
      <c r="K505" s="4"/>
      <c r="L505" s="9">
        <v>29.7257</v>
      </c>
      <c r="M505" s="9">
        <v>11.6745</v>
      </c>
      <c r="N505" s="9">
        <v>4.7850000000000001</v>
      </c>
      <c r="O505" s="9">
        <v>0.36199999999999999</v>
      </c>
      <c r="P505" s="9">
        <v>1.1791</v>
      </c>
      <c r="Q505" s="9">
        <v>19.1142</v>
      </c>
      <c r="R505" s="9"/>
      <c r="S505" s="11"/>
    </row>
    <row r="506" spans="1:19" ht="15.75">
      <c r="A506" s="13">
        <v>56918</v>
      </c>
      <c r="B506" s="8">
        <f>13.5763 * CHOOSE(CONTROL!$C$15, $D$11, 100%, $F$11)</f>
        <v>13.5763</v>
      </c>
      <c r="C506" s="8">
        <f>13.5871 * CHOOSE(CONTROL!$C$15, $D$11, 100%, $F$11)</f>
        <v>13.5871</v>
      </c>
      <c r="D506" s="8">
        <f>13.6246 * CHOOSE( CONTROL!$C$15, $D$11, 100%, $F$11)</f>
        <v>13.624599999999999</v>
      </c>
      <c r="E506" s="12">
        <f>13.6111 * CHOOSE( CONTROL!$C$15, $D$11, 100%, $F$11)</f>
        <v>13.6111</v>
      </c>
      <c r="F506" s="4">
        <f>14.3156 * CHOOSE(CONTROL!$C$15, $D$11, 100%, $F$11)</f>
        <v>14.3156</v>
      </c>
      <c r="G506" s="8">
        <f>13.2656 * CHOOSE( CONTROL!$C$15, $D$11, 100%, $F$11)</f>
        <v>13.265599999999999</v>
      </c>
      <c r="H506" s="4">
        <f>14.2304 * CHOOSE(CONTROL!$C$15, $D$11, 100%, $F$11)</f>
        <v>14.230399999999999</v>
      </c>
      <c r="I506" s="8">
        <f>13.1386 * CHOOSE(CONTROL!$C$15, $D$11, 100%, $F$11)</f>
        <v>13.1386</v>
      </c>
      <c r="J506" s="4">
        <f>13.0202 * CHOOSE(CONTROL!$C$15, $D$11, 100%, $F$11)</f>
        <v>13.020200000000001</v>
      </c>
      <c r="K506" s="4"/>
      <c r="L506" s="9">
        <v>31.095300000000002</v>
      </c>
      <c r="M506" s="9">
        <v>12.063700000000001</v>
      </c>
      <c r="N506" s="9">
        <v>4.9444999999999997</v>
      </c>
      <c r="O506" s="9">
        <v>0.37409999999999999</v>
      </c>
      <c r="P506" s="9">
        <v>1.2183999999999999</v>
      </c>
      <c r="Q506" s="9">
        <v>19.751300000000001</v>
      </c>
      <c r="R506" s="9"/>
      <c r="S506" s="11"/>
    </row>
    <row r="507" spans="1:19" ht="15.75">
      <c r="A507" s="13">
        <v>56948</v>
      </c>
      <c r="B507" s="8">
        <f>14.641 * CHOOSE(CONTROL!$C$15, $D$11, 100%, $F$11)</f>
        <v>14.641</v>
      </c>
      <c r="C507" s="8">
        <f>14.6518 * CHOOSE(CONTROL!$C$15, $D$11, 100%, $F$11)</f>
        <v>14.6518</v>
      </c>
      <c r="D507" s="8">
        <f>14.6345 * CHOOSE( CONTROL!$C$15, $D$11, 100%, $F$11)</f>
        <v>14.634499999999999</v>
      </c>
      <c r="E507" s="12">
        <f>14.6397 * CHOOSE( CONTROL!$C$15, $D$11, 100%, $F$11)</f>
        <v>14.639699999999999</v>
      </c>
      <c r="F507" s="4">
        <f>15.2995 * CHOOSE(CONTROL!$C$15, $D$11, 100%, $F$11)</f>
        <v>15.2995</v>
      </c>
      <c r="G507" s="8">
        <f>14.3132 * CHOOSE( CONTROL!$C$15, $D$11, 100%, $F$11)</f>
        <v>14.3132</v>
      </c>
      <c r="H507" s="4">
        <f>15.1925 * CHOOSE(CONTROL!$C$15, $D$11, 100%, $F$11)</f>
        <v>15.192500000000001</v>
      </c>
      <c r="I507" s="8">
        <f>14.1984 * CHOOSE(CONTROL!$C$15, $D$11, 100%, $F$11)</f>
        <v>14.198399999999999</v>
      </c>
      <c r="J507" s="4">
        <f>14.0424 * CHOOSE(CONTROL!$C$15, $D$11, 100%, $F$11)</f>
        <v>14.042400000000001</v>
      </c>
      <c r="K507" s="4"/>
      <c r="L507" s="9">
        <v>28.360600000000002</v>
      </c>
      <c r="M507" s="9">
        <v>11.6745</v>
      </c>
      <c r="N507" s="9">
        <v>4.7850000000000001</v>
      </c>
      <c r="O507" s="9">
        <v>0.36199999999999999</v>
      </c>
      <c r="P507" s="9">
        <v>1.2509999999999999</v>
      </c>
      <c r="Q507" s="9">
        <v>19.1142</v>
      </c>
      <c r="R507" s="9"/>
      <c r="S507" s="11"/>
    </row>
    <row r="508" spans="1:19" ht="15.75">
      <c r="A508" s="13">
        <v>56979</v>
      </c>
      <c r="B508" s="8">
        <f>14.6144 * CHOOSE(CONTROL!$C$15, $D$11, 100%, $F$11)</f>
        <v>14.6144</v>
      </c>
      <c r="C508" s="8">
        <f>14.6252 * CHOOSE(CONTROL!$C$15, $D$11, 100%, $F$11)</f>
        <v>14.6252</v>
      </c>
      <c r="D508" s="8">
        <f>14.6096 * CHOOSE( CONTROL!$C$15, $D$11, 100%, $F$11)</f>
        <v>14.6096</v>
      </c>
      <c r="E508" s="12">
        <f>14.6142 * CHOOSE( CONTROL!$C$15, $D$11, 100%, $F$11)</f>
        <v>14.6142</v>
      </c>
      <c r="F508" s="4">
        <f>15.2729 * CHOOSE(CONTROL!$C$15, $D$11, 100%, $F$11)</f>
        <v>15.2729</v>
      </c>
      <c r="G508" s="8">
        <f>14.2884 * CHOOSE( CONTROL!$C$15, $D$11, 100%, $F$11)</f>
        <v>14.288399999999999</v>
      </c>
      <c r="H508" s="4">
        <f>15.1664 * CHOOSE(CONTROL!$C$15, $D$11, 100%, $F$11)</f>
        <v>15.166399999999999</v>
      </c>
      <c r="I508" s="8">
        <f>14.1781 * CHOOSE(CONTROL!$C$15, $D$11, 100%, $F$11)</f>
        <v>14.178100000000001</v>
      </c>
      <c r="J508" s="4">
        <f>14.0168 * CHOOSE(CONTROL!$C$15, $D$11, 100%, $F$11)</f>
        <v>14.0168</v>
      </c>
      <c r="K508" s="4"/>
      <c r="L508" s="9">
        <v>29.306000000000001</v>
      </c>
      <c r="M508" s="9">
        <v>12.063700000000001</v>
      </c>
      <c r="N508" s="9">
        <v>4.9444999999999997</v>
      </c>
      <c r="O508" s="9">
        <v>0.37409999999999999</v>
      </c>
      <c r="P508" s="9">
        <v>1.2927</v>
      </c>
      <c r="Q508" s="9">
        <v>19.751300000000001</v>
      </c>
      <c r="R508" s="9"/>
      <c r="S508" s="11"/>
    </row>
    <row r="509" spans="1:19" ht="15.75">
      <c r="A509" s="13">
        <v>57010</v>
      </c>
      <c r="B509" s="8">
        <f>15.0451 * CHOOSE(CONTROL!$C$15, $D$11, 100%, $F$11)</f>
        <v>15.0451</v>
      </c>
      <c r="C509" s="8">
        <f>15.0558 * CHOOSE(CONTROL!$C$15, $D$11, 100%, $F$11)</f>
        <v>15.0558</v>
      </c>
      <c r="D509" s="8">
        <f>15.0372 * CHOOSE( CONTROL!$C$15, $D$11, 100%, $F$11)</f>
        <v>15.0372</v>
      </c>
      <c r="E509" s="12">
        <f>15.0429 * CHOOSE( CONTROL!$C$15, $D$11, 100%, $F$11)</f>
        <v>15.042899999999999</v>
      </c>
      <c r="F509" s="4">
        <f>15.7036 * CHOOSE(CONTROL!$C$15, $D$11, 100%, $F$11)</f>
        <v>15.7036</v>
      </c>
      <c r="G509" s="8">
        <f>14.7019 * CHOOSE( CONTROL!$C$15, $D$11, 100%, $F$11)</f>
        <v>14.7019</v>
      </c>
      <c r="H509" s="4">
        <f>15.5875 * CHOOSE(CONTROL!$C$15, $D$11, 100%, $F$11)</f>
        <v>15.5875</v>
      </c>
      <c r="I509" s="8">
        <f>14.5566 * CHOOSE(CONTROL!$C$15, $D$11, 100%, $F$11)</f>
        <v>14.5566</v>
      </c>
      <c r="J509" s="4">
        <f>14.4303 * CHOOSE(CONTROL!$C$15, $D$11, 100%, $F$11)</f>
        <v>14.430300000000001</v>
      </c>
      <c r="K509" s="4"/>
      <c r="L509" s="9">
        <v>29.306000000000001</v>
      </c>
      <c r="M509" s="9">
        <v>12.063700000000001</v>
      </c>
      <c r="N509" s="9">
        <v>4.9444999999999997</v>
      </c>
      <c r="O509" s="9">
        <v>0.37409999999999999</v>
      </c>
      <c r="P509" s="9">
        <v>1.2927</v>
      </c>
      <c r="Q509" s="9">
        <v>19.688099999999999</v>
      </c>
      <c r="R509" s="9"/>
      <c r="S509" s="11"/>
    </row>
    <row r="510" spans="1:19" ht="15.75">
      <c r="A510" s="13">
        <v>57038</v>
      </c>
      <c r="B510" s="8">
        <f>14.0734 * CHOOSE(CONTROL!$C$15, $D$11, 100%, $F$11)</f>
        <v>14.073399999999999</v>
      </c>
      <c r="C510" s="8">
        <f>14.0842 * CHOOSE(CONTROL!$C$15, $D$11, 100%, $F$11)</f>
        <v>14.084199999999999</v>
      </c>
      <c r="D510" s="8">
        <f>14.0654 * CHOOSE( CONTROL!$C$15, $D$11, 100%, $F$11)</f>
        <v>14.0654</v>
      </c>
      <c r="E510" s="12">
        <f>14.0711 * CHOOSE( CONTROL!$C$15, $D$11, 100%, $F$11)</f>
        <v>14.071099999999999</v>
      </c>
      <c r="F510" s="4">
        <f>14.7319 * CHOOSE(CONTROL!$C$15, $D$11, 100%, $F$11)</f>
        <v>14.7319</v>
      </c>
      <c r="G510" s="8">
        <f>13.7518 * CHOOSE( CONTROL!$C$15, $D$11, 100%, $F$11)</f>
        <v>13.751799999999999</v>
      </c>
      <c r="H510" s="4">
        <f>14.6375 * CHOOSE(CONTROL!$C$15, $D$11, 100%, $F$11)</f>
        <v>14.637499999999999</v>
      </c>
      <c r="I510" s="8">
        <f>13.623 * CHOOSE(CONTROL!$C$15, $D$11, 100%, $F$11)</f>
        <v>13.622999999999999</v>
      </c>
      <c r="J510" s="4">
        <f>13.4974 * CHOOSE(CONTROL!$C$15, $D$11, 100%, $F$11)</f>
        <v>13.497400000000001</v>
      </c>
      <c r="K510" s="4"/>
      <c r="L510" s="9">
        <v>27.415299999999998</v>
      </c>
      <c r="M510" s="9">
        <v>11.285299999999999</v>
      </c>
      <c r="N510" s="9">
        <v>4.6254999999999997</v>
      </c>
      <c r="O510" s="9">
        <v>0.34989999999999999</v>
      </c>
      <c r="P510" s="9">
        <v>1.2093</v>
      </c>
      <c r="Q510" s="9">
        <v>18.417899999999999</v>
      </c>
      <c r="R510" s="9"/>
      <c r="S510" s="11"/>
    </row>
    <row r="511" spans="1:19" ht="15.75">
      <c r="A511" s="13">
        <v>57070</v>
      </c>
      <c r="B511" s="8">
        <f>13.7741 * CHOOSE(CONTROL!$C$15, $D$11, 100%, $F$11)</f>
        <v>13.774100000000001</v>
      </c>
      <c r="C511" s="8">
        <f>13.7849 * CHOOSE(CONTROL!$C$15, $D$11, 100%, $F$11)</f>
        <v>13.7849</v>
      </c>
      <c r="D511" s="8">
        <f>13.7657 * CHOOSE( CONTROL!$C$15, $D$11, 100%, $F$11)</f>
        <v>13.765700000000001</v>
      </c>
      <c r="E511" s="12">
        <f>13.7716 * CHOOSE( CONTROL!$C$15, $D$11, 100%, $F$11)</f>
        <v>13.771599999999999</v>
      </c>
      <c r="F511" s="4">
        <f>14.4326 * CHOOSE(CONTROL!$C$15, $D$11, 100%, $F$11)</f>
        <v>14.432600000000001</v>
      </c>
      <c r="G511" s="8">
        <f>13.4589 * CHOOSE( CONTROL!$C$15, $D$11, 100%, $F$11)</f>
        <v>13.4589</v>
      </c>
      <c r="H511" s="4">
        <f>14.3449 * CHOOSE(CONTROL!$C$15, $D$11, 100%, $F$11)</f>
        <v>14.344900000000001</v>
      </c>
      <c r="I511" s="8">
        <f>13.334 * CHOOSE(CONTROL!$C$15, $D$11, 100%, $F$11)</f>
        <v>13.334</v>
      </c>
      <c r="J511" s="4">
        <f>13.2101 * CHOOSE(CONTROL!$C$15, $D$11, 100%, $F$11)</f>
        <v>13.210100000000001</v>
      </c>
      <c r="K511" s="4"/>
      <c r="L511" s="9">
        <v>29.306000000000001</v>
      </c>
      <c r="M511" s="9">
        <v>12.063700000000001</v>
      </c>
      <c r="N511" s="9">
        <v>4.9444999999999997</v>
      </c>
      <c r="O511" s="9">
        <v>0.37409999999999999</v>
      </c>
      <c r="P511" s="9">
        <v>1.2927</v>
      </c>
      <c r="Q511" s="9">
        <v>19.688099999999999</v>
      </c>
      <c r="R511" s="9"/>
      <c r="S511" s="11"/>
    </row>
    <row r="512" spans="1:19" ht="15.75">
      <c r="A512" s="13">
        <v>57100</v>
      </c>
      <c r="B512" s="8">
        <f>13.9832 * CHOOSE(CONTROL!$C$15, $D$11, 100%, $F$11)</f>
        <v>13.9832</v>
      </c>
      <c r="C512" s="8">
        <f>13.994 * CHOOSE(CONTROL!$C$15, $D$11, 100%, $F$11)</f>
        <v>13.994</v>
      </c>
      <c r="D512" s="8">
        <f>14.0309 * CHOOSE( CONTROL!$C$15, $D$11, 100%, $F$11)</f>
        <v>14.030900000000001</v>
      </c>
      <c r="E512" s="12">
        <f>14.0175 * CHOOSE( CONTROL!$C$15, $D$11, 100%, $F$11)</f>
        <v>14.0175</v>
      </c>
      <c r="F512" s="4">
        <f>14.7225 * CHOOSE(CONTROL!$C$15, $D$11, 100%, $F$11)</f>
        <v>14.7225</v>
      </c>
      <c r="G512" s="8">
        <f>13.6626 * CHOOSE( CONTROL!$C$15, $D$11, 100%, $F$11)</f>
        <v>13.662599999999999</v>
      </c>
      <c r="H512" s="4">
        <f>14.6283 * CHOOSE(CONTROL!$C$15, $D$11, 100%, $F$11)</f>
        <v>14.628299999999999</v>
      </c>
      <c r="I512" s="8">
        <f>13.5267 * CHOOSE(CONTROL!$C$15, $D$11, 100%, $F$11)</f>
        <v>13.5267</v>
      </c>
      <c r="J512" s="4">
        <f>13.4108 * CHOOSE(CONTROL!$C$15, $D$11, 100%, $F$11)</f>
        <v>13.4108</v>
      </c>
      <c r="K512" s="4"/>
      <c r="L512" s="9">
        <v>30.092199999999998</v>
      </c>
      <c r="M512" s="9">
        <v>11.6745</v>
      </c>
      <c r="N512" s="9">
        <v>4.7850000000000001</v>
      </c>
      <c r="O512" s="9">
        <v>0.36199999999999999</v>
      </c>
      <c r="P512" s="9">
        <v>1.1791</v>
      </c>
      <c r="Q512" s="9">
        <v>19.053000000000001</v>
      </c>
      <c r="R512" s="9"/>
      <c r="S512" s="11"/>
    </row>
    <row r="513" spans="1:19" ht="15.75">
      <c r="A513" s="13">
        <v>57131</v>
      </c>
      <c r="B513" s="8">
        <f>CHOOSE( CONTROL!$C$32, 14.3577, 14.3553) * CHOOSE(CONTROL!$C$15, $D$11, 100%, $F$11)</f>
        <v>14.357699999999999</v>
      </c>
      <c r="C513" s="8">
        <f>CHOOSE( CONTROL!$C$32, 14.3683, 14.3659) * CHOOSE(CONTROL!$C$15, $D$11, 100%, $F$11)</f>
        <v>14.3683</v>
      </c>
      <c r="D513" s="8">
        <f>CHOOSE( CONTROL!$C$32, 14.4041, 14.4017) * CHOOSE( CONTROL!$C$15, $D$11, 100%, $F$11)</f>
        <v>14.4041</v>
      </c>
      <c r="E513" s="12">
        <f>CHOOSE( CONTROL!$C$32, 14.3895, 14.3871) * CHOOSE( CONTROL!$C$15, $D$11, 100%, $F$11)</f>
        <v>14.3895</v>
      </c>
      <c r="F513" s="4">
        <f>CHOOSE( CONTROL!$C$32, 15.097, 15.0947) * CHOOSE(CONTROL!$C$15, $D$11, 100%, $F$11)</f>
        <v>15.097</v>
      </c>
      <c r="G513" s="8">
        <f>CHOOSE( CONTROL!$C$32, 14.0293, 14.027) * CHOOSE( CONTROL!$C$15, $D$11, 100%, $F$11)</f>
        <v>14.029299999999999</v>
      </c>
      <c r="H513" s="4">
        <f>CHOOSE( CONTROL!$C$32, 14.9945, 14.9922) * CHOOSE(CONTROL!$C$15, $D$11, 100%, $F$11)</f>
        <v>14.9945</v>
      </c>
      <c r="I513" s="8">
        <f>CHOOSE( CONTROL!$C$32, 13.8866, 13.8843) * CHOOSE(CONTROL!$C$15, $D$11, 100%, $F$11)</f>
        <v>13.8866</v>
      </c>
      <c r="J513" s="4">
        <f>CHOOSE( CONTROL!$C$32, 13.7705, 13.7682) * CHOOSE(CONTROL!$C$15, $D$11, 100%, $F$11)</f>
        <v>13.7705</v>
      </c>
      <c r="K513" s="4"/>
      <c r="L513" s="9">
        <v>30.7165</v>
      </c>
      <c r="M513" s="9">
        <v>12.063700000000001</v>
      </c>
      <c r="N513" s="9">
        <v>4.9444999999999997</v>
      </c>
      <c r="O513" s="9">
        <v>0.37409999999999999</v>
      </c>
      <c r="P513" s="9">
        <v>1.2183999999999999</v>
      </c>
      <c r="Q513" s="9">
        <v>19.688099999999999</v>
      </c>
      <c r="R513" s="9"/>
      <c r="S513" s="11"/>
    </row>
    <row r="514" spans="1:19" ht="15.75">
      <c r="A514" s="13">
        <v>57161</v>
      </c>
      <c r="B514" s="8">
        <f>CHOOSE( CONTROL!$C$32, 14.1271, 14.1247) * CHOOSE(CONTROL!$C$15, $D$11, 100%, $F$11)</f>
        <v>14.1271</v>
      </c>
      <c r="C514" s="8">
        <f>CHOOSE( CONTROL!$C$32, 14.1377, 14.1353) * CHOOSE(CONTROL!$C$15, $D$11, 100%, $F$11)</f>
        <v>14.137700000000001</v>
      </c>
      <c r="D514" s="8">
        <f>CHOOSE( CONTROL!$C$32, 14.1737, 14.1713) * CHOOSE( CONTROL!$C$15, $D$11, 100%, $F$11)</f>
        <v>14.1737</v>
      </c>
      <c r="E514" s="12">
        <f>CHOOSE( CONTROL!$C$32, 14.159, 14.1566) * CHOOSE( CONTROL!$C$15, $D$11, 100%, $F$11)</f>
        <v>14.159000000000001</v>
      </c>
      <c r="F514" s="4">
        <f>CHOOSE( CONTROL!$C$32, 14.8665, 14.8641) * CHOOSE(CONTROL!$C$15, $D$11, 100%, $F$11)</f>
        <v>14.8665</v>
      </c>
      <c r="G514" s="8">
        <f>CHOOSE( CONTROL!$C$32, 13.8042, 13.8018) * CHOOSE( CONTROL!$C$15, $D$11, 100%, $F$11)</f>
        <v>13.8042</v>
      </c>
      <c r="H514" s="4">
        <f>CHOOSE( CONTROL!$C$32, 14.7691, 14.7667) * CHOOSE(CONTROL!$C$15, $D$11, 100%, $F$11)</f>
        <v>14.7691</v>
      </c>
      <c r="I514" s="8">
        <f>CHOOSE( CONTROL!$C$32, 13.6661, 13.6638) * CHOOSE(CONTROL!$C$15, $D$11, 100%, $F$11)</f>
        <v>13.6661</v>
      </c>
      <c r="J514" s="4">
        <f>CHOOSE( CONTROL!$C$32, 13.5491, 13.5468) * CHOOSE(CONTROL!$C$15, $D$11, 100%, $F$11)</f>
        <v>13.549099999999999</v>
      </c>
      <c r="K514" s="4"/>
      <c r="L514" s="9">
        <v>29.7257</v>
      </c>
      <c r="M514" s="9">
        <v>11.6745</v>
      </c>
      <c r="N514" s="9">
        <v>4.7850000000000001</v>
      </c>
      <c r="O514" s="9">
        <v>0.36199999999999999</v>
      </c>
      <c r="P514" s="9">
        <v>1.1791</v>
      </c>
      <c r="Q514" s="9">
        <v>19.053000000000001</v>
      </c>
      <c r="R514" s="9"/>
      <c r="S514" s="11"/>
    </row>
    <row r="515" spans="1:19" ht="15.75">
      <c r="A515" s="13">
        <v>57192</v>
      </c>
      <c r="B515" s="8">
        <f>CHOOSE( CONTROL!$C$32, 14.7343, 14.7319) * CHOOSE(CONTROL!$C$15, $D$11, 100%, $F$11)</f>
        <v>14.734299999999999</v>
      </c>
      <c r="C515" s="8">
        <f>CHOOSE( CONTROL!$C$32, 14.7448, 14.7425) * CHOOSE(CONTROL!$C$15, $D$11, 100%, $F$11)</f>
        <v>14.7448</v>
      </c>
      <c r="D515" s="8">
        <f>CHOOSE( CONTROL!$C$32, 14.7811, 14.7787) * CHOOSE( CONTROL!$C$15, $D$11, 100%, $F$11)</f>
        <v>14.7811</v>
      </c>
      <c r="E515" s="12">
        <f>CHOOSE( CONTROL!$C$32, 14.7663, 14.764) * CHOOSE( CONTROL!$C$15, $D$11, 100%, $F$11)</f>
        <v>14.766299999999999</v>
      </c>
      <c r="F515" s="4">
        <f>CHOOSE( CONTROL!$C$32, 15.4736, 15.4712) * CHOOSE(CONTROL!$C$15, $D$11, 100%, $F$11)</f>
        <v>15.473599999999999</v>
      </c>
      <c r="G515" s="8">
        <f>CHOOSE( CONTROL!$C$32, 14.3981, 14.3958) * CHOOSE( CONTROL!$C$15, $D$11, 100%, $F$11)</f>
        <v>14.398099999999999</v>
      </c>
      <c r="H515" s="4">
        <f>CHOOSE( CONTROL!$C$32, 15.3627, 15.3603) * CHOOSE(CONTROL!$C$15, $D$11, 100%, $F$11)</f>
        <v>15.3627</v>
      </c>
      <c r="I515" s="8">
        <f>CHOOSE( CONTROL!$C$32, 14.2503, 14.248) * CHOOSE(CONTROL!$C$15, $D$11, 100%, $F$11)</f>
        <v>14.250299999999999</v>
      </c>
      <c r="J515" s="4">
        <f>CHOOSE( CONTROL!$C$32, 14.132, 14.1298) * CHOOSE(CONTROL!$C$15, $D$11, 100%, $F$11)</f>
        <v>14.132</v>
      </c>
      <c r="K515" s="4"/>
      <c r="L515" s="9">
        <v>30.7165</v>
      </c>
      <c r="M515" s="9">
        <v>12.063700000000001</v>
      </c>
      <c r="N515" s="9">
        <v>4.9444999999999997</v>
      </c>
      <c r="O515" s="9">
        <v>0.37409999999999999</v>
      </c>
      <c r="P515" s="9">
        <v>1.2183999999999999</v>
      </c>
      <c r="Q515" s="9">
        <v>19.688099999999999</v>
      </c>
      <c r="R515" s="9"/>
      <c r="S515" s="11"/>
    </row>
    <row r="516" spans="1:19" ht="15.75">
      <c r="A516" s="13">
        <v>57223</v>
      </c>
      <c r="B516" s="8">
        <f>CHOOSE( CONTROL!$C$32, 13.5982, 13.5958) * CHOOSE(CONTROL!$C$15, $D$11, 100%, $F$11)</f>
        <v>13.5982</v>
      </c>
      <c r="C516" s="8">
        <f>CHOOSE( CONTROL!$C$32, 13.6088, 13.6064) * CHOOSE(CONTROL!$C$15, $D$11, 100%, $F$11)</f>
        <v>13.6088</v>
      </c>
      <c r="D516" s="8">
        <f>CHOOSE( CONTROL!$C$32, 13.6451, 13.6427) * CHOOSE( CONTROL!$C$15, $D$11, 100%, $F$11)</f>
        <v>13.645099999999999</v>
      </c>
      <c r="E516" s="12">
        <f>CHOOSE( CONTROL!$C$32, 13.6303, 13.6279) * CHOOSE( CONTROL!$C$15, $D$11, 100%, $F$11)</f>
        <v>13.6303</v>
      </c>
      <c r="F516" s="4">
        <f>CHOOSE( CONTROL!$C$32, 14.3376, 14.3352) * CHOOSE(CONTROL!$C$15, $D$11, 100%, $F$11)</f>
        <v>14.3376</v>
      </c>
      <c r="G516" s="8">
        <f>CHOOSE( CONTROL!$C$32, 13.2875, 13.2852) * CHOOSE( CONTROL!$C$15, $D$11, 100%, $F$11)</f>
        <v>13.2875</v>
      </c>
      <c r="H516" s="4">
        <f>CHOOSE( CONTROL!$C$32, 14.252, 14.2496) * CHOOSE(CONTROL!$C$15, $D$11, 100%, $F$11)</f>
        <v>14.252000000000001</v>
      </c>
      <c r="I516" s="8">
        <f>CHOOSE( CONTROL!$C$32, 13.1593, 13.157) * CHOOSE(CONTROL!$C$15, $D$11, 100%, $F$11)</f>
        <v>13.1593</v>
      </c>
      <c r="J516" s="4">
        <f>CHOOSE( CONTROL!$C$32, 13.0413, 13.039) * CHOOSE(CONTROL!$C$15, $D$11, 100%, $F$11)</f>
        <v>13.0413</v>
      </c>
      <c r="K516" s="4"/>
      <c r="L516" s="9">
        <v>30.7165</v>
      </c>
      <c r="M516" s="9">
        <v>12.063700000000001</v>
      </c>
      <c r="N516" s="9">
        <v>4.9444999999999997</v>
      </c>
      <c r="O516" s="9">
        <v>0.37409999999999999</v>
      </c>
      <c r="P516" s="9">
        <v>1.2183999999999999</v>
      </c>
      <c r="Q516" s="9">
        <v>19.688099999999999</v>
      </c>
      <c r="R516" s="9"/>
      <c r="S516" s="11"/>
    </row>
    <row r="517" spans="1:19" ht="15.75">
      <c r="A517" s="13">
        <v>57253</v>
      </c>
      <c r="B517" s="8">
        <f>CHOOSE( CONTROL!$C$32, 13.3138, 13.3114) * CHOOSE(CONTROL!$C$15, $D$11, 100%, $F$11)</f>
        <v>13.313800000000001</v>
      </c>
      <c r="C517" s="8">
        <f>CHOOSE( CONTROL!$C$32, 13.3243, 13.3219) * CHOOSE(CONTROL!$C$15, $D$11, 100%, $F$11)</f>
        <v>13.324299999999999</v>
      </c>
      <c r="D517" s="8">
        <f>CHOOSE( CONTROL!$C$32, 13.3606, 13.3582) * CHOOSE( CONTROL!$C$15, $D$11, 100%, $F$11)</f>
        <v>13.3606</v>
      </c>
      <c r="E517" s="12">
        <f>CHOOSE( CONTROL!$C$32, 13.3458, 13.3434) * CHOOSE( CONTROL!$C$15, $D$11, 100%, $F$11)</f>
        <v>13.345800000000001</v>
      </c>
      <c r="F517" s="4">
        <f>CHOOSE( CONTROL!$C$32, 14.0531, 14.0507) * CHOOSE(CONTROL!$C$15, $D$11, 100%, $F$11)</f>
        <v>14.053100000000001</v>
      </c>
      <c r="G517" s="8">
        <f>CHOOSE( CONTROL!$C$32, 13.0093, 13.0069) * CHOOSE( CONTROL!$C$15, $D$11, 100%, $F$11)</f>
        <v>13.0093</v>
      </c>
      <c r="H517" s="4">
        <f>CHOOSE( CONTROL!$C$32, 13.9738, 13.9715) * CHOOSE(CONTROL!$C$15, $D$11, 100%, $F$11)</f>
        <v>13.973800000000001</v>
      </c>
      <c r="I517" s="8">
        <f>CHOOSE( CONTROL!$C$32, 12.8857, 12.8834) * CHOOSE(CONTROL!$C$15, $D$11, 100%, $F$11)</f>
        <v>12.8857</v>
      </c>
      <c r="J517" s="4">
        <f>CHOOSE( CONTROL!$C$32, 12.7682, 12.7659) * CHOOSE(CONTROL!$C$15, $D$11, 100%, $F$11)</f>
        <v>12.7682</v>
      </c>
      <c r="K517" s="4"/>
      <c r="L517" s="9">
        <v>29.7257</v>
      </c>
      <c r="M517" s="9">
        <v>11.6745</v>
      </c>
      <c r="N517" s="9">
        <v>4.7850000000000001</v>
      </c>
      <c r="O517" s="9">
        <v>0.36199999999999999</v>
      </c>
      <c r="P517" s="9">
        <v>1.1791</v>
      </c>
      <c r="Q517" s="9">
        <v>19.053000000000001</v>
      </c>
      <c r="R517" s="9"/>
      <c r="S517" s="11"/>
    </row>
    <row r="518" spans="1:19" ht="15.75">
      <c r="A518" s="13">
        <v>57284</v>
      </c>
      <c r="B518" s="8">
        <f>13.9022 * CHOOSE(CONTROL!$C$15, $D$11, 100%, $F$11)</f>
        <v>13.902200000000001</v>
      </c>
      <c r="C518" s="8">
        <f>13.9129 * CHOOSE(CONTROL!$C$15, $D$11, 100%, $F$11)</f>
        <v>13.9129</v>
      </c>
      <c r="D518" s="8">
        <f>13.9505 * CHOOSE( CONTROL!$C$15, $D$11, 100%, $F$11)</f>
        <v>13.9505</v>
      </c>
      <c r="E518" s="12">
        <f>13.9369 * CHOOSE( CONTROL!$C$15, $D$11, 100%, $F$11)</f>
        <v>13.9369</v>
      </c>
      <c r="F518" s="4">
        <f>14.6414 * CHOOSE(CONTROL!$C$15, $D$11, 100%, $F$11)</f>
        <v>14.641400000000001</v>
      </c>
      <c r="G518" s="8">
        <f>13.5842 * CHOOSE( CONTROL!$C$15, $D$11, 100%, $F$11)</f>
        <v>13.584199999999999</v>
      </c>
      <c r="H518" s="4">
        <f>14.549 * CHOOSE(CONTROL!$C$15, $D$11, 100%, $F$11)</f>
        <v>14.548999999999999</v>
      </c>
      <c r="I518" s="8">
        <f>13.4516 * CHOOSE(CONTROL!$C$15, $D$11, 100%, $F$11)</f>
        <v>13.451599999999999</v>
      </c>
      <c r="J518" s="4">
        <f>13.333 * CHOOSE(CONTROL!$C$15, $D$11, 100%, $F$11)</f>
        <v>13.333</v>
      </c>
      <c r="K518" s="4"/>
      <c r="L518" s="9">
        <v>31.095300000000002</v>
      </c>
      <c r="M518" s="9">
        <v>12.063700000000001</v>
      </c>
      <c r="N518" s="9">
        <v>4.9444999999999997</v>
      </c>
      <c r="O518" s="9">
        <v>0.37409999999999999</v>
      </c>
      <c r="P518" s="9">
        <v>1.2183999999999999</v>
      </c>
      <c r="Q518" s="9">
        <v>19.688099999999999</v>
      </c>
      <c r="R518" s="9"/>
      <c r="S518" s="11"/>
    </row>
    <row r="519" spans="1:19" ht="15.75">
      <c r="A519" s="13">
        <v>57314</v>
      </c>
      <c r="B519" s="8">
        <f>14.9924 * CHOOSE(CONTROL!$C$15, $D$11, 100%, $F$11)</f>
        <v>14.9924</v>
      </c>
      <c r="C519" s="8">
        <f>15.0032 * CHOOSE(CONTROL!$C$15, $D$11, 100%, $F$11)</f>
        <v>15.0032</v>
      </c>
      <c r="D519" s="8">
        <f>14.986 * CHOOSE( CONTROL!$C$15, $D$11, 100%, $F$11)</f>
        <v>14.986000000000001</v>
      </c>
      <c r="E519" s="12">
        <f>14.9911 * CHOOSE( CONTROL!$C$15, $D$11, 100%, $F$11)</f>
        <v>14.991099999999999</v>
      </c>
      <c r="F519" s="4">
        <f>15.6509 * CHOOSE(CONTROL!$C$15, $D$11, 100%, $F$11)</f>
        <v>15.6509</v>
      </c>
      <c r="G519" s="8">
        <f>14.6568 * CHOOSE( CONTROL!$C$15, $D$11, 100%, $F$11)</f>
        <v>14.6568</v>
      </c>
      <c r="H519" s="4">
        <f>15.536 * CHOOSE(CONTROL!$C$15, $D$11, 100%, $F$11)</f>
        <v>15.536</v>
      </c>
      <c r="I519" s="8">
        <f>14.536 * CHOOSE(CONTROL!$C$15, $D$11, 100%, $F$11)</f>
        <v>14.536</v>
      </c>
      <c r="J519" s="4">
        <f>14.3798 * CHOOSE(CONTROL!$C$15, $D$11, 100%, $F$11)</f>
        <v>14.379799999999999</v>
      </c>
      <c r="K519" s="4"/>
      <c r="L519" s="9">
        <v>28.360600000000002</v>
      </c>
      <c r="M519" s="9">
        <v>11.6745</v>
      </c>
      <c r="N519" s="9">
        <v>4.7850000000000001</v>
      </c>
      <c r="O519" s="9">
        <v>0.36199999999999999</v>
      </c>
      <c r="P519" s="9">
        <v>1.2509999999999999</v>
      </c>
      <c r="Q519" s="9">
        <v>19.053000000000001</v>
      </c>
      <c r="R519" s="9"/>
      <c r="S519" s="11"/>
    </row>
    <row r="520" spans="1:19" ht="15.75">
      <c r="A520" s="13">
        <v>57345</v>
      </c>
      <c r="B520" s="8">
        <f>14.9652 * CHOOSE(CONTROL!$C$15, $D$11, 100%, $F$11)</f>
        <v>14.965199999999999</v>
      </c>
      <c r="C520" s="8">
        <f>14.976 * CHOOSE(CONTROL!$C$15, $D$11, 100%, $F$11)</f>
        <v>14.976000000000001</v>
      </c>
      <c r="D520" s="8">
        <f>14.9604 * CHOOSE( CONTROL!$C$15, $D$11, 100%, $F$11)</f>
        <v>14.9604</v>
      </c>
      <c r="E520" s="12">
        <f>14.965 * CHOOSE( CONTROL!$C$15, $D$11, 100%, $F$11)</f>
        <v>14.965</v>
      </c>
      <c r="F520" s="4">
        <f>15.6237 * CHOOSE(CONTROL!$C$15, $D$11, 100%, $F$11)</f>
        <v>15.623699999999999</v>
      </c>
      <c r="G520" s="8">
        <f>14.6314 * CHOOSE( CONTROL!$C$15, $D$11, 100%, $F$11)</f>
        <v>14.631399999999999</v>
      </c>
      <c r="H520" s="4">
        <f>15.5094 * CHOOSE(CONTROL!$C$15, $D$11, 100%, $F$11)</f>
        <v>15.509399999999999</v>
      </c>
      <c r="I520" s="8">
        <f>14.515 * CHOOSE(CONTROL!$C$15, $D$11, 100%, $F$11)</f>
        <v>14.515000000000001</v>
      </c>
      <c r="J520" s="4">
        <f>14.3536 * CHOOSE(CONTROL!$C$15, $D$11, 100%, $F$11)</f>
        <v>14.3536</v>
      </c>
      <c r="K520" s="4"/>
      <c r="L520" s="9">
        <v>29.306000000000001</v>
      </c>
      <c r="M520" s="9">
        <v>12.063700000000001</v>
      </c>
      <c r="N520" s="9">
        <v>4.9444999999999997</v>
      </c>
      <c r="O520" s="9">
        <v>0.37409999999999999</v>
      </c>
      <c r="P520" s="9">
        <v>1.2927</v>
      </c>
      <c r="Q520" s="9">
        <v>19.688099999999999</v>
      </c>
      <c r="R520" s="9"/>
      <c r="S520" s="11"/>
    </row>
    <row r="521" spans="1:19" ht="15.75">
      <c r="A521" s="13">
        <v>57376</v>
      </c>
      <c r="B521" s="8">
        <f>15.4062 * CHOOSE(CONTROL!$C$15, $D$11, 100%, $F$11)</f>
        <v>15.4062</v>
      </c>
      <c r="C521" s="8">
        <f>15.4169 * CHOOSE(CONTROL!$C$15, $D$11, 100%, $F$11)</f>
        <v>15.4169</v>
      </c>
      <c r="D521" s="8">
        <f>15.3983 * CHOOSE( CONTROL!$C$15, $D$11, 100%, $F$11)</f>
        <v>15.398300000000001</v>
      </c>
      <c r="E521" s="12">
        <f>15.404 * CHOOSE( CONTROL!$C$15, $D$11, 100%, $F$11)</f>
        <v>15.404</v>
      </c>
      <c r="F521" s="4">
        <f>16.0647 * CHOOSE(CONTROL!$C$15, $D$11, 100%, $F$11)</f>
        <v>16.064699999999998</v>
      </c>
      <c r="G521" s="8">
        <f>15.055 * CHOOSE( CONTROL!$C$15, $D$11, 100%, $F$11)</f>
        <v>15.055</v>
      </c>
      <c r="H521" s="4">
        <f>15.9406 * CHOOSE(CONTROL!$C$15, $D$11, 100%, $F$11)</f>
        <v>15.9406</v>
      </c>
      <c r="I521" s="8">
        <f>14.9035 * CHOOSE(CONTROL!$C$15, $D$11, 100%, $F$11)</f>
        <v>14.903499999999999</v>
      </c>
      <c r="J521" s="4">
        <f>14.777 * CHOOSE(CONTROL!$C$15, $D$11, 100%, $F$11)</f>
        <v>14.776999999999999</v>
      </c>
      <c r="K521" s="4"/>
      <c r="L521" s="9">
        <v>29.306000000000001</v>
      </c>
      <c r="M521" s="9">
        <v>12.063700000000001</v>
      </c>
      <c r="N521" s="9">
        <v>4.9444999999999997</v>
      </c>
      <c r="O521" s="9">
        <v>0.37409999999999999</v>
      </c>
      <c r="P521" s="9">
        <v>1.2927</v>
      </c>
      <c r="Q521" s="9">
        <v>19.688099999999999</v>
      </c>
      <c r="R521" s="9"/>
      <c r="S521" s="11"/>
    </row>
    <row r="522" spans="1:19" ht="15.75">
      <c r="A522" s="13">
        <v>57404</v>
      </c>
      <c r="B522" s="8">
        <f>14.4112 * CHOOSE(CONTROL!$C$15, $D$11, 100%, $F$11)</f>
        <v>14.411199999999999</v>
      </c>
      <c r="C522" s="8">
        <f>14.4219 * CHOOSE(CONTROL!$C$15, $D$11, 100%, $F$11)</f>
        <v>14.421900000000001</v>
      </c>
      <c r="D522" s="8">
        <f>14.4032 * CHOOSE( CONTROL!$C$15, $D$11, 100%, $F$11)</f>
        <v>14.4032</v>
      </c>
      <c r="E522" s="12">
        <f>14.4089 * CHOOSE( CONTROL!$C$15, $D$11, 100%, $F$11)</f>
        <v>14.408899999999999</v>
      </c>
      <c r="F522" s="4">
        <f>15.0697 * CHOOSE(CONTROL!$C$15, $D$11, 100%, $F$11)</f>
        <v>15.069699999999999</v>
      </c>
      <c r="G522" s="8">
        <f>14.0821 * CHOOSE( CONTROL!$C$15, $D$11, 100%, $F$11)</f>
        <v>14.082100000000001</v>
      </c>
      <c r="H522" s="4">
        <f>14.9677 * CHOOSE(CONTROL!$C$15, $D$11, 100%, $F$11)</f>
        <v>14.967700000000001</v>
      </c>
      <c r="I522" s="8">
        <f>13.9474 * CHOOSE(CONTROL!$C$15, $D$11, 100%, $F$11)</f>
        <v>13.9474</v>
      </c>
      <c r="J522" s="4">
        <f>13.8217 * CHOOSE(CONTROL!$C$15, $D$11, 100%, $F$11)</f>
        <v>13.8217</v>
      </c>
      <c r="K522" s="4"/>
      <c r="L522" s="9">
        <v>26.469899999999999</v>
      </c>
      <c r="M522" s="9">
        <v>10.8962</v>
      </c>
      <c r="N522" s="9">
        <v>4.4660000000000002</v>
      </c>
      <c r="O522" s="9">
        <v>0.33789999999999998</v>
      </c>
      <c r="P522" s="9">
        <v>1.1676</v>
      </c>
      <c r="Q522" s="9">
        <v>17.782800000000002</v>
      </c>
      <c r="R522" s="9"/>
      <c r="S522" s="11"/>
    </row>
    <row r="523" spans="1:19" ht="15.75">
      <c r="A523" s="13">
        <v>57435</v>
      </c>
      <c r="B523" s="8">
        <f>14.1047 * CHOOSE(CONTROL!$C$15, $D$11, 100%, $F$11)</f>
        <v>14.104699999999999</v>
      </c>
      <c r="C523" s="8">
        <f>14.1155 * CHOOSE(CONTROL!$C$15, $D$11, 100%, $F$11)</f>
        <v>14.115500000000001</v>
      </c>
      <c r="D523" s="8">
        <f>14.0963 * CHOOSE( CONTROL!$C$15, $D$11, 100%, $F$11)</f>
        <v>14.096299999999999</v>
      </c>
      <c r="E523" s="12">
        <f>14.1022 * CHOOSE( CONTROL!$C$15, $D$11, 100%, $F$11)</f>
        <v>14.1022</v>
      </c>
      <c r="F523" s="4">
        <f>14.7632 * CHOOSE(CONTROL!$C$15, $D$11, 100%, $F$11)</f>
        <v>14.763199999999999</v>
      </c>
      <c r="G523" s="8">
        <f>13.7821 * CHOOSE( CONTROL!$C$15, $D$11, 100%, $F$11)</f>
        <v>13.7821</v>
      </c>
      <c r="H523" s="4">
        <f>14.6681 * CHOOSE(CONTROL!$C$15, $D$11, 100%, $F$11)</f>
        <v>14.668100000000001</v>
      </c>
      <c r="I523" s="8">
        <f>13.6516 * CHOOSE(CONTROL!$C$15, $D$11, 100%, $F$11)</f>
        <v>13.6516</v>
      </c>
      <c r="J523" s="4">
        <f>13.5275 * CHOOSE(CONTROL!$C$15, $D$11, 100%, $F$11)</f>
        <v>13.5275</v>
      </c>
      <c r="K523" s="4"/>
      <c r="L523" s="9">
        <v>29.306000000000001</v>
      </c>
      <c r="M523" s="9">
        <v>12.063700000000001</v>
      </c>
      <c r="N523" s="9">
        <v>4.9444999999999997</v>
      </c>
      <c r="O523" s="9">
        <v>0.37409999999999999</v>
      </c>
      <c r="P523" s="9">
        <v>1.2927</v>
      </c>
      <c r="Q523" s="9">
        <v>19.688099999999999</v>
      </c>
      <c r="R523" s="9"/>
      <c r="S523" s="11"/>
    </row>
    <row r="524" spans="1:19" ht="15.75">
      <c r="A524" s="13">
        <v>57465</v>
      </c>
      <c r="B524" s="8">
        <f>14.3188 * CHOOSE(CONTROL!$C$15, $D$11, 100%, $F$11)</f>
        <v>14.3188</v>
      </c>
      <c r="C524" s="8">
        <f>14.3296 * CHOOSE(CONTROL!$C$15, $D$11, 100%, $F$11)</f>
        <v>14.329599999999999</v>
      </c>
      <c r="D524" s="8">
        <f>14.3665 * CHOOSE( CONTROL!$C$15, $D$11, 100%, $F$11)</f>
        <v>14.3665</v>
      </c>
      <c r="E524" s="12">
        <f>14.3531 * CHOOSE( CONTROL!$C$15, $D$11, 100%, $F$11)</f>
        <v>14.3531</v>
      </c>
      <c r="F524" s="4">
        <f>15.0581 * CHOOSE(CONTROL!$C$15, $D$11, 100%, $F$11)</f>
        <v>15.0581</v>
      </c>
      <c r="G524" s="8">
        <f>13.9907 * CHOOSE( CONTROL!$C$15, $D$11, 100%, $F$11)</f>
        <v>13.9907</v>
      </c>
      <c r="H524" s="4">
        <f>14.9564 * CHOOSE(CONTROL!$C$15, $D$11, 100%, $F$11)</f>
        <v>14.9564</v>
      </c>
      <c r="I524" s="8">
        <f>13.8491 * CHOOSE(CONTROL!$C$15, $D$11, 100%, $F$11)</f>
        <v>13.8491</v>
      </c>
      <c r="J524" s="4">
        <f>13.7331 * CHOOSE(CONTROL!$C$15, $D$11, 100%, $F$11)</f>
        <v>13.7331</v>
      </c>
      <c r="K524" s="4"/>
      <c r="L524" s="9">
        <v>30.092199999999998</v>
      </c>
      <c r="M524" s="9">
        <v>11.6745</v>
      </c>
      <c r="N524" s="9">
        <v>4.7850000000000001</v>
      </c>
      <c r="O524" s="9">
        <v>0.36199999999999999</v>
      </c>
      <c r="P524" s="9">
        <v>1.1791</v>
      </c>
      <c r="Q524" s="9">
        <v>19.053000000000001</v>
      </c>
      <c r="R524" s="9"/>
      <c r="S524" s="11"/>
    </row>
    <row r="525" spans="1:19" ht="15.75">
      <c r="A525" s="13">
        <v>57496</v>
      </c>
      <c r="B525" s="8">
        <f>CHOOSE( CONTROL!$C$32, 14.7022, 14.6999) * CHOOSE(CONTROL!$C$15, $D$11, 100%, $F$11)</f>
        <v>14.702199999999999</v>
      </c>
      <c r="C525" s="8">
        <f>CHOOSE( CONTROL!$C$32, 14.7128, 14.7104) * CHOOSE(CONTROL!$C$15, $D$11, 100%, $F$11)</f>
        <v>14.7128</v>
      </c>
      <c r="D525" s="8">
        <f>CHOOSE( CONTROL!$C$32, 14.7486, 14.7463) * CHOOSE( CONTROL!$C$15, $D$11, 100%, $F$11)</f>
        <v>14.7486</v>
      </c>
      <c r="E525" s="12">
        <f>CHOOSE( CONTROL!$C$32, 14.734, 14.7317) * CHOOSE( CONTROL!$C$15, $D$11, 100%, $F$11)</f>
        <v>14.734</v>
      </c>
      <c r="F525" s="4">
        <f>CHOOSE( CONTROL!$C$32, 15.4416, 15.4392) * CHOOSE(CONTROL!$C$15, $D$11, 100%, $F$11)</f>
        <v>15.441599999999999</v>
      </c>
      <c r="G525" s="8">
        <f>CHOOSE( CONTROL!$C$32, 14.3662, 14.3638) * CHOOSE( CONTROL!$C$15, $D$11, 100%, $F$11)</f>
        <v>14.366199999999999</v>
      </c>
      <c r="H525" s="4">
        <f>CHOOSE( CONTROL!$C$32, 15.3314, 15.329) * CHOOSE(CONTROL!$C$15, $D$11, 100%, $F$11)</f>
        <v>15.3314</v>
      </c>
      <c r="I525" s="8">
        <f>CHOOSE( CONTROL!$C$32, 14.2176, 14.2153) * CHOOSE(CONTROL!$C$15, $D$11, 100%, $F$11)</f>
        <v>14.217599999999999</v>
      </c>
      <c r="J525" s="4">
        <f>CHOOSE( CONTROL!$C$32, 14.1013, 14.099) * CHOOSE(CONTROL!$C$15, $D$11, 100%, $F$11)</f>
        <v>14.1013</v>
      </c>
      <c r="K525" s="4"/>
      <c r="L525" s="9">
        <v>30.7165</v>
      </c>
      <c r="M525" s="9">
        <v>12.063700000000001</v>
      </c>
      <c r="N525" s="9">
        <v>4.9444999999999997</v>
      </c>
      <c r="O525" s="9">
        <v>0.37409999999999999</v>
      </c>
      <c r="P525" s="9">
        <v>1.2183999999999999</v>
      </c>
      <c r="Q525" s="9">
        <v>19.688099999999999</v>
      </c>
      <c r="R525" s="9"/>
      <c r="S525" s="11"/>
    </row>
    <row r="526" spans="1:19" ht="15.75">
      <c r="A526" s="13">
        <v>57526</v>
      </c>
      <c r="B526" s="8">
        <f>CHOOSE( CONTROL!$C$32, 14.4662, 14.4638) * CHOOSE(CONTROL!$C$15, $D$11, 100%, $F$11)</f>
        <v>14.466200000000001</v>
      </c>
      <c r="C526" s="8">
        <f>CHOOSE( CONTROL!$C$32, 14.4767, 14.4743) * CHOOSE(CONTROL!$C$15, $D$11, 100%, $F$11)</f>
        <v>14.476699999999999</v>
      </c>
      <c r="D526" s="8">
        <f>CHOOSE( CONTROL!$C$32, 14.5127, 14.5104) * CHOOSE( CONTROL!$C$15, $D$11, 100%, $F$11)</f>
        <v>14.512700000000001</v>
      </c>
      <c r="E526" s="12">
        <f>CHOOSE( CONTROL!$C$32, 14.4981, 14.4957) * CHOOSE( CONTROL!$C$15, $D$11, 100%, $F$11)</f>
        <v>14.498100000000001</v>
      </c>
      <c r="F526" s="4">
        <f>CHOOSE( CONTROL!$C$32, 15.2055, 15.2031) * CHOOSE(CONTROL!$C$15, $D$11, 100%, $F$11)</f>
        <v>15.205500000000001</v>
      </c>
      <c r="G526" s="8">
        <f>CHOOSE( CONTROL!$C$32, 14.1357, 14.1333) * CHOOSE( CONTROL!$C$15, $D$11, 100%, $F$11)</f>
        <v>14.1357</v>
      </c>
      <c r="H526" s="4">
        <f>CHOOSE( CONTROL!$C$32, 15.1005, 15.0982) * CHOOSE(CONTROL!$C$15, $D$11, 100%, $F$11)</f>
        <v>15.1005</v>
      </c>
      <c r="I526" s="8">
        <f>CHOOSE( CONTROL!$C$32, 13.9917, 13.9894) * CHOOSE(CONTROL!$C$15, $D$11, 100%, $F$11)</f>
        <v>13.9917</v>
      </c>
      <c r="J526" s="4">
        <f>CHOOSE( CONTROL!$C$32, 13.8746, 13.8723) * CHOOSE(CONTROL!$C$15, $D$11, 100%, $F$11)</f>
        <v>13.874599999999999</v>
      </c>
      <c r="K526" s="4"/>
      <c r="L526" s="9">
        <v>29.7257</v>
      </c>
      <c r="M526" s="9">
        <v>11.6745</v>
      </c>
      <c r="N526" s="9">
        <v>4.7850000000000001</v>
      </c>
      <c r="O526" s="9">
        <v>0.36199999999999999</v>
      </c>
      <c r="P526" s="9">
        <v>1.1791</v>
      </c>
      <c r="Q526" s="9">
        <v>19.053000000000001</v>
      </c>
      <c r="R526" s="9"/>
      <c r="S526" s="11"/>
    </row>
    <row r="527" spans="1:19" ht="15.75">
      <c r="A527" s="13">
        <v>57557</v>
      </c>
      <c r="B527" s="8">
        <f>CHOOSE( CONTROL!$C$32, 15.0879, 15.0855) * CHOOSE(CONTROL!$C$15, $D$11, 100%, $F$11)</f>
        <v>15.087899999999999</v>
      </c>
      <c r="C527" s="8">
        <f>CHOOSE( CONTROL!$C$32, 15.0985, 15.0961) * CHOOSE(CONTROL!$C$15, $D$11, 100%, $F$11)</f>
        <v>15.0985</v>
      </c>
      <c r="D527" s="8">
        <f>CHOOSE( CONTROL!$C$32, 15.1347, 15.1323) * CHOOSE( CONTROL!$C$15, $D$11, 100%, $F$11)</f>
        <v>15.1347</v>
      </c>
      <c r="E527" s="12">
        <f>CHOOSE( CONTROL!$C$32, 15.12, 15.1176) * CHOOSE( CONTROL!$C$15, $D$11, 100%, $F$11)</f>
        <v>15.12</v>
      </c>
      <c r="F527" s="4">
        <f>CHOOSE( CONTROL!$C$32, 15.8273, 15.8249) * CHOOSE(CONTROL!$C$15, $D$11, 100%, $F$11)</f>
        <v>15.827299999999999</v>
      </c>
      <c r="G527" s="8">
        <f>CHOOSE( CONTROL!$C$32, 14.7438, 14.7415) * CHOOSE( CONTROL!$C$15, $D$11, 100%, $F$11)</f>
        <v>14.7438</v>
      </c>
      <c r="H527" s="4">
        <f>CHOOSE( CONTROL!$C$32, 15.7084, 15.7061) * CHOOSE(CONTROL!$C$15, $D$11, 100%, $F$11)</f>
        <v>15.708399999999999</v>
      </c>
      <c r="I527" s="8">
        <f>CHOOSE( CONTROL!$C$32, 14.59, 14.5877) * CHOOSE(CONTROL!$C$15, $D$11, 100%, $F$11)</f>
        <v>14.59</v>
      </c>
      <c r="J527" s="4">
        <f>CHOOSE( CONTROL!$C$32, 14.4716, 14.4693) * CHOOSE(CONTROL!$C$15, $D$11, 100%, $F$11)</f>
        <v>14.4716</v>
      </c>
      <c r="K527" s="4"/>
      <c r="L527" s="9">
        <v>30.7165</v>
      </c>
      <c r="M527" s="9">
        <v>12.063700000000001</v>
      </c>
      <c r="N527" s="9">
        <v>4.9444999999999997</v>
      </c>
      <c r="O527" s="9">
        <v>0.37409999999999999</v>
      </c>
      <c r="P527" s="9">
        <v>1.2183999999999999</v>
      </c>
      <c r="Q527" s="9">
        <v>19.688099999999999</v>
      </c>
      <c r="R527" s="9"/>
      <c r="S527" s="11"/>
    </row>
    <row r="528" spans="1:19" ht="15.75">
      <c r="A528" s="13">
        <v>57588</v>
      </c>
      <c r="B528" s="8">
        <f>CHOOSE( CONTROL!$C$32, 13.9246, 13.9222) * CHOOSE(CONTROL!$C$15, $D$11, 100%, $F$11)</f>
        <v>13.9246</v>
      </c>
      <c r="C528" s="8">
        <f>CHOOSE( CONTROL!$C$32, 13.9351, 13.9327) * CHOOSE(CONTROL!$C$15, $D$11, 100%, $F$11)</f>
        <v>13.9351</v>
      </c>
      <c r="D528" s="8">
        <f>CHOOSE( CONTROL!$C$32, 13.9714, 13.969) * CHOOSE( CONTROL!$C$15, $D$11, 100%, $F$11)</f>
        <v>13.971399999999999</v>
      </c>
      <c r="E528" s="12">
        <f>CHOOSE( CONTROL!$C$32, 13.9566, 13.9542) * CHOOSE( CONTROL!$C$15, $D$11, 100%, $F$11)</f>
        <v>13.9566</v>
      </c>
      <c r="F528" s="4">
        <f>CHOOSE( CONTROL!$C$32, 14.6639, 14.6615) * CHOOSE(CONTROL!$C$15, $D$11, 100%, $F$11)</f>
        <v>14.6639</v>
      </c>
      <c r="G528" s="8">
        <f>CHOOSE( CONTROL!$C$32, 13.6065, 13.6042) * CHOOSE( CONTROL!$C$15, $D$11, 100%, $F$11)</f>
        <v>13.6065</v>
      </c>
      <c r="H528" s="4">
        <f>CHOOSE( CONTROL!$C$32, 14.571, 14.5687) * CHOOSE(CONTROL!$C$15, $D$11, 100%, $F$11)</f>
        <v>14.571</v>
      </c>
      <c r="I528" s="8">
        <f>CHOOSE( CONTROL!$C$32, 13.4727, 13.4704) * CHOOSE(CONTROL!$C$15, $D$11, 100%, $F$11)</f>
        <v>13.4727</v>
      </c>
      <c r="J528" s="4">
        <f>CHOOSE( CONTROL!$C$32, 13.3546, 13.3523) * CHOOSE(CONTROL!$C$15, $D$11, 100%, $F$11)</f>
        <v>13.3546</v>
      </c>
      <c r="K528" s="4"/>
      <c r="L528" s="9">
        <v>30.7165</v>
      </c>
      <c r="M528" s="9">
        <v>12.063700000000001</v>
      </c>
      <c r="N528" s="9">
        <v>4.9444999999999997</v>
      </c>
      <c r="O528" s="9">
        <v>0.37409999999999999</v>
      </c>
      <c r="P528" s="9">
        <v>1.2183999999999999</v>
      </c>
      <c r="Q528" s="9">
        <v>19.688099999999999</v>
      </c>
      <c r="R528" s="9"/>
      <c r="S528" s="11"/>
    </row>
    <row r="529" spans="1:19" ht="15.75">
      <c r="A529" s="13">
        <v>57618</v>
      </c>
      <c r="B529" s="8">
        <f>CHOOSE( CONTROL!$C$32, 13.6332, 13.6308) * CHOOSE(CONTROL!$C$15, $D$11, 100%, $F$11)</f>
        <v>13.6332</v>
      </c>
      <c r="C529" s="8">
        <f>CHOOSE( CONTROL!$C$32, 13.6438, 13.6414) * CHOOSE(CONTROL!$C$15, $D$11, 100%, $F$11)</f>
        <v>13.643800000000001</v>
      </c>
      <c r="D529" s="8">
        <f>CHOOSE( CONTROL!$C$32, 13.68, 13.6776) * CHOOSE( CONTROL!$C$15, $D$11, 100%, $F$11)</f>
        <v>13.68</v>
      </c>
      <c r="E529" s="12">
        <f>CHOOSE( CONTROL!$C$32, 13.6653, 13.6629) * CHOOSE( CONTROL!$C$15, $D$11, 100%, $F$11)</f>
        <v>13.6653</v>
      </c>
      <c r="F529" s="4">
        <f>CHOOSE( CONTROL!$C$32, 14.3726, 14.3702) * CHOOSE(CONTROL!$C$15, $D$11, 100%, $F$11)</f>
        <v>14.3726</v>
      </c>
      <c r="G529" s="8">
        <f>CHOOSE( CONTROL!$C$32, 13.3216, 13.3193) * CHOOSE( CONTROL!$C$15, $D$11, 100%, $F$11)</f>
        <v>13.3216</v>
      </c>
      <c r="H529" s="4">
        <f>CHOOSE( CONTROL!$C$32, 14.2862, 14.2839) * CHOOSE(CONTROL!$C$15, $D$11, 100%, $F$11)</f>
        <v>14.286199999999999</v>
      </c>
      <c r="I529" s="8">
        <f>CHOOSE( CONTROL!$C$32, 13.1926, 13.1903) * CHOOSE(CONTROL!$C$15, $D$11, 100%, $F$11)</f>
        <v>13.192600000000001</v>
      </c>
      <c r="J529" s="4">
        <f>CHOOSE( CONTROL!$C$32, 13.0749, 13.0726) * CHOOSE(CONTROL!$C$15, $D$11, 100%, $F$11)</f>
        <v>13.0749</v>
      </c>
      <c r="K529" s="4"/>
      <c r="L529" s="9">
        <v>29.7257</v>
      </c>
      <c r="M529" s="9">
        <v>11.6745</v>
      </c>
      <c r="N529" s="9">
        <v>4.7850000000000001</v>
      </c>
      <c r="O529" s="9">
        <v>0.36199999999999999</v>
      </c>
      <c r="P529" s="9">
        <v>1.1791</v>
      </c>
      <c r="Q529" s="9">
        <v>19.053000000000001</v>
      </c>
      <c r="R529" s="9"/>
      <c r="S529" s="11"/>
    </row>
    <row r="530" spans="1:19" ht="15.75">
      <c r="A530" s="13">
        <v>57649</v>
      </c>
      <c r="B530" s="8">
        <f>14.2358 * CHOOSE(CONTROL!$C$15, $D$11, 100%, $F$11)</f>
        <v>14.235799999999999</v>
      </c>
      <c r="C530" s="8">
        <f>14.2466 * CHOOSE(CONTROL!$C$15, $D$11, 100%, $F$11)</f>
        <v>14.246600000000001</v>
      </c>
      <c r="D530" s="8">
        <f>14.2841 * CHOOSE( CONTROL!$C$15, $D$11, 100%, $F$11)</f>
        <v>14.2841</v>
      </c>
      <c r="E530" s="12">
        <f>14.2706 * CHOOSE( CONTROL!$C$15, $D$11, 100%, $F$11)</f>
        <v>14.2706</v>
      </c>
      <c r="F530" s="4">
        <f>14.9751 * CHOOSE(CONTROL!$C$15, $D$11, 100%, $F$11)</f>
        <v>14.975099999999999</v>
      </c>
      <c r="G530" s="8">
        <f>13.9104 * CHOOSE( CONTROL!$C$15, $D$11, 100%, $F$11)</f>
        <v>13.910399999999999</v>
      </c>
      <c r="H530" s="4">
        <f>14.8752 * CHOOSE(CONTROL!$C$15, $D$11, 100%, $F$11)</f>
        <v>14.8752</v>
      </c>
      <c r="I530" s="8">
        <f>13.7721 * CHOOSE(CONTROL!$C$15, $D$11, 100%, $F$11)</f>
        <v>13.7721</v>
      </c>
      <c r="J530" s="4">
        <f>13.6534 * CHOOSE(CONTROL!$C$15, $D$11, 100%, $F$11)</f>
        <v>13.6534</v>
      </c>
      <c r="K530" s="4"/>
      <c r="L530" s="9">
        <v>31.095300000000002</v>
      </c>
      <c r="M530" s="9">
        <v>12.063700000000001</v>
      </c>
      <c r="N530" s="9">
        <v>4.9444999999999997</v>
      </c>
      <c r="O530" s="9">
        <v>0.37409999999999999</v>
      </c>
      <c r="P530" s="9">
        <v>1.2183999999999999</v>
      </c>
      <c r="Q530" s="9">
        <v>19.688099999999999</v>
      </c>
      <c r="R530" s="9"/>
      <c r="S530" s="11"/>
    </row>
    <row r="531" spans="1:19" ht="15.75">
      <c r="A531" s="13">
        <v>57679</v>
      </c>
      <c r="B531" s="8">
        <f>15.3523 * CHOOSE(CONTROL!$C$15, $D$11, 100%, $F$11)</f>
        <v>15.3523</v>
      </c>
      <c r="C531" s="8">
        <f>15.3631 * CHOOSE(CONTROL!$C$15, $D$11, 100%, $F$11)</f>
        <v>15.363099999999999</v>
      </c>
      <c r="D531" s="8">
        <f>15.3458 * CHOOSE( CONTROL!$C$15, $D$11, 100%, $F$11)</f>
        <v>15.345800000000001</v>
      </c>
      <c r="E531" s="12">
        <f>15.351 * CHOOSE( CONTROL!$C$15, $D$11, 100%, $F$11)</f>
        <v>15.351000000000001</v>
      </c>
      <c r="F531" s="4">
        <f>16.0108 * CHOOSE(CONTROL!$C$15, $D$11, 100%, $F$11)</f>
        <v>16.0108</v>
      </c>
      <c r="G531" s="8">
        <f>15.0086 * CHOOSE( CONTROL!$C$15, $D$11, 100%, $F$11)</f>
        <v>15.008599999999999</v>
      </c>
      <c r="H531" s="4">
        <f>15.8879 * CHOOSE(CONTROL!$C$15, $D$11, 100%, $F$11)</f>
        <v>15.8879</v>
      </c>
      <c r="I531" s="8">
        <f>14.8817 * CHOOSE(CONTROL!$C$15, $D$11, 100%, $F$11)</f>
        <v>14.8817</v>
      </c>
      <c r="J531" s="4">
        <f>14.7253 * CHOOSE(CONTROL!$C$15, $D$11, 100%, $F$11)</f>
        <v>14.725300000000001</v>
      </c>
      <c r="K531" s="4"/>
      <c r="L531" s="9">
        <v>28.360600000000002</v>
      </c>
      <c r="M531" s="9">
        <v>11.6745</v>
      </c>
      <c r="N531" s="9">
        <v>4.7850000000000001</v>
      </c>
      <c r="O531" s="9">
        <v>0.36199999999999999</v>
      </c>
      <c r="P531" s="9">
        <v>1.2509999999999999</v>
      </c>
      <c r="Q531" s="9">
        <v>19.053000000000001</v>
      </c>
      <c r="R531" s="9"/>
      <c r="S531" s="11"/>
    </row>
    <row r="532" spans="1:19" ht="15.75">
      <c r="A532" s="13">
        <v>57710</v>
      </c>
      <c r="B532" s="8">
        <f>15.3244 * CHOOSE(CONTROL!$C$15, $D$11, 100%, $F$11)</f>
        <v>15.324400000000001</v>
      </c>
      <c r="C532" s="8">
        <f>15.3352 * CHOOSE(CONTROL!$C$15, $D$11, 100%, $F$11)</f>
        <v>15.3352</v>
      </c>
      <c r="D532" s="8">
        <f>15.3196 * CHOOSE( CONTROL!$C$15, $D$11, 100%, $F$11)</f>
        <v>15.319599999999999</v>
      </c>
      <c r="E532" s="12">
        <f>15.3242 * CHOOSE( CONTROL!$C$15, $D$11, 100%, $F$11)</f>
        <v>15.324199999999999</v>
      </c>
      <c r="F532" s="4">
        <f>15.9829 * CHOOSE(CONTROL!$C$15, $D$11, 100%, $F$11)</f>
        <v>15.982900000000001</v>
      </c>
      <c r="G532" s="8">
        <f>14.9826 * CHOOSE( CONTROL!$C$15, $D$11, 100%, $F$11)</f>
        <v>14.9826</v>
      </c>
      <c r="H532" s="4">
        <f>15.8606 * CHOOSE(CONTROL!$C$15, $D$11, 100%, $F$11)</f>
        <v>15.8606</v>
      </c>
      <c r="I532" s="8">
        <f>14.8601 * CHOOSE(CONTROL!$C$15, $D$11, 100%, $F$11)</f>
        <v>14.860099999999999</v>
      </c>
      <c r="J532" s="4">
        <f>14.6985 * CHOOSE(CONTROL!$C$15, $D$11, 100%, $F$11)</f>
        <v>14.698499999999999</v>
      </c>
      <c r="K532" s="4"/>
      <c r="L532" s="9">
        <v>29.306000000000001</v>
      </c>
      <c r="M532" s="9">
        <v>12.063700000000001</v>
      </c>
      <c r="N532" s="9">
        <v>4.9444999999999997</v>
      </c>
      <c r="O532" s="9">
        <v>0.37409999999999999</v>
      </c>
      <c r="P532" s="9">
        <v>1.2927</v>
      </c>
      <c r="Q532" s="9">
        <v>19.688099999999999</v>
      </c>
      <c r="R532" s="9"/>
      <c r="S532" s="11"/>
    </row>
    <row r="533" spans="1:19" ht="15.75">
      <c r="A533" s="13">
        <v>57741</v>
      </c>
      <c r="B533" s="8">
        <f>15.776 * CHOOSE(CONTROL!$C$15, $D$11, 100%, $F$11)</f>
        <v>15.776</v>
      </c>
      <c r="C533" s="8">
        <f>15.7868 * CHOOSE(CONTROL!$C$15, $D$11, 100%, $F$11)</f>
        <v>15.786799999999999</v>
      </c>
      <c r="D533" s="8">
        <f>15.7681 * CHOOSE( CONTROL!$C$15, $D$11, 100%, $F$11)</f>
        <v>15.7681</v>
      </c>
      <c r="E533" s="12">
        <f>15.7738 * CHOOSE( CONTROL!$C$15, $D$11, 100%, $F$11)</f>
        <v>15.7738</v>
      </c>
      <c r="F533" s="4">
        <f>16.4345 * CHOOSE(CONTROL!$C$15, $D$11, 100%, $F$11)</f>
        <v>16.4345</v>
      </c>
      <c r="G533" s="8">
        <f>15.4165 * CHOOSE( CONTROL!$C$15, $D$11, 100%, $F$11)</f>
        <v>15.416499999999999</v>
      </c>
      <c r="H533" s="4">
        <f>16.3021 * CHOOSE(CONTROL!$C$15, $D$11, 100%, $F$11)</f>
        <v>16.302099999999999</v>
      </c>
      <c r="I533" s="8">
        <f>15.2587 * CHOOSE(CONTROL!$C$15, $D$11, 100%, $F$11)</f>
        <v>15.258699999999999</v>
      </c>
      <c r="J533" s="4">
        <f>15.1321 * CHOOSE(CONTROL!$C$15, $D$11, 100%, $F$11)</f>
        <v>15.132099999999999</v>
      </c>
      <c r="K533" s="4"/>
      <c r="L533" s="9">
        <v>29.306000000000001</v>
      </c>
      <c r="M533" s="9">
        <v>12.063700000000001</v>
      </c>
      <c r="N533" s="9">
        <v>4.9444999999999997</v>
      </c>
      <c r="O533" s="9">
        <v>0.37409999999999999</v>
      </c>
      <c r="P533" s="9">
        <v>1.2927</v>
      </c>
      <c r="Q533" s="9">
        <v>19.688099999999999</v>
      </c>
      <c r="R533" s="9"/>
      <c r="S533" s="11"/>
    </row>
    <row r="534" spans="1:19" ht="15.75">
      <c r="A534" s="13">
        <v>57769</v>
      </c>
      <c r="B534" s="8">
        <f>14.7571 * CHOOSE(CONTROL!$C$15, $D$11, 100%, $F$11)</f>
        <v>14.757099999999999</v>
      </c>
      <c r="C534" s="8">
        <f>14.7678 * CHOOSE(CONTROL!$C$15, $D$11, 100%, $F$11)</f>
        <v>14.767799999999999</v>
      </c>
      <c r="D534" s="8">
        <f>14.7491 * CHOOSE( CONTROL!$C$15, $D$11, 100%, $F$11)</f>
        <v>14.7491</v>
      </c>
      <c r="E534" s="12">
        <f>14.7548 * CHOOSE( CONTROL!$C$15, $D$11, 100%, $F$11)</f>
        <v>14.754799999999999</v>
      </c>
      <c r="F534" s="4">
        <f>15.4156 * CHOOSE(CONTROL!$C$15, $D$11, 100%, $F$11)</f>
        <v>15.4156</v>
      </c>
      <c r="G534" s="8">
        <f>14.4203 * CHOOSE( CONTROL!$C$15, $D$11, 100%, $F$11)</f>
        <v>14.420299999999999</v>
      </c>
      <c r="H534" s="4">
        <f>15.3059 * CHOOSE(CONTROL!$C$15, $D$11, 100%, $F$11)</f>
        <v>15.305899999999999</v>
      </c>
      <c r="I534" s="8">
        <f>14.2797 * CHOOSE(CONTROL!$C$15, $D$11, 100%, $F$11)</f>
        <v>14.2797</v>
      </c>
      <c r="J534" s="4">
        <f>14.1538 * CHOOSE(CONTROL!$C$15, $D$11, 100%, $F$11)</f>
        <v>14.1538</v>
      </c>
      <c r="K534" s="4"/>
      <c r="L534" s="9">
        <v>26.469899999999999</v>
      </c>
      <c r="M534" s="9">
        <v>10.8962</v>
      </c>
      <c r="N534" s="9">
        <v>4.4660000000000002</v>
      </c>
      <c r="O534" s="9">
        <v>0.33789999999999998</v>
      </c>
      <c r="P534" s="9">
        <v>1.1676</v>
      </c>
      <c r="Q534" s="9">
        <v>17.782800000000002</v>
      </c>
      <c r="R534" s="9"/>
      <c r="S534" s="11"/>
    </row>
    <row r="535" spans="1:19" ht="15.75">
      <c r="A535" s="13">
        <v>57800</v>
      </c>
      <c r="B535" s="8">
        <f>14.4433 * CHOOSE(CONTROL!$C$15, $D$11, 100%, $F$11)</f>
        <v>14.443300000000001</v>
      </c>
      <c r="C535" s="8">
        <f>14.454 * CHOOSE(CONTROL!$C$15, $D$11, 100%, $F$11)</f>
        <v>14.454000000000001</v>
      </c>
      <c r="D535" s="8">
        <f>14.4348 * CHOOSE( CONTROL!$C$15, $D$11, 100%, $F$11)</f>
        <v>14.434799999999999</v>
      </c>
      <c r="E535" s="12">
        <f>14.4407 * CHOOSE( CONTROL!$C$15, $D$11, 100%, $F$11)</f>
        <v>14.4407</v>
      </c>
      <c r="F535" s="4">
        <f>15.1018 * CHOOSE(CONTROL!$C$15, $D$11, 100%, $F$11)</f>
        <v>15.101800000000001</v>
      </c>
      <c r="G535" s="8">
        <f>14.1131 * CHOOSE( CONTROL!$C$15, $D$11, 100%, $F$11)</f>
        <v>14.113099999999999</v>
      </c>
      <c r="H535" s="4">
        <f>14.9991 * CHOOSE(CONTROL!$C$15, $D$11, 100%, $F$11)</f>
        <v>14.9991</v>
      </c>
      <c r="I535" s="8">
        <f>13.9767 * CHOOSE(CONTROL!$C$15, $D$11, 100%, $F$11)</f>
        <v>13.976699999999999</v>
      </c>
      <c r="J535" s="4">
        <f>13.8525 * CHOOSE(CONTROL!$C$15, $D$11, 100%, $F$11)</f>
        <v>13.852499999999999</v>
      </c>
      <c r="K535" s="4"/>
      <c r="L535" s="9">
        <v>29.306000000000001</v>
      </c>
      <c r="M535" s="9">
        <v>12.063700000000001</v>
      </c>
      <c r="N535" s="9">
        <v>4.9444999999999997</v>
      </c>
      <c r="O535" s="9">
        <v>0.37409999999999999</v>
      </c>
      <c r="P535" s="9">
        <v>1.2927</v>
      </c>
      <c r="Q535" s="9">
        <v>19.688099999999999</v>
      </c>
      <c r="R535" s="9"/>
      <c r="S535" s="11"/>
    </row>
    <row r="536" spans="1:19" ht="15.75">
      <c r="A536" s="13">
        <v>57830</v>
      </c>
      <c r="B536" s="8">
        <f>14.6625 * CHOOSE(CONTROL!$C$15, $D$11, 100%, $F$11)</f>
        <v>14.6625</v>
      </c>
      <c r="C536" s="8">
        <f>14.6733 * CHOOSE(CONTROL!$C$15, $D$11, 100%, $F$11)</f>
        <v>14.673299999999999</v>
      </c>
      <c r="D536" s="8">
        <f>14.7102 * CHOOSE( CONTROL!$C$15, $D$11, 100%, $F$11)</f>
        <v>14.7102</v>
      </c>
      <c r="E536" s="12">
        <f>14.6968 * CHOOSE( CONTROL!$C$15, $D$11, 100%, $F$11)</f>
        <v>14.6968</v>
      </c>
      <c r="F536" s="4">
        <f>15.4018 * CHOOSE(CONTROL!$C$15, $D$11, 100%, $F$11)</f>
        <v>15.4018</v>
      </c>
      <c r="G536" s="8">
        <f>14.3267 * CHOOSE( CONTROL!$C$15, $D$11, 100%, $F$11)</f>
        <v>14.326700000000001</v>
      </c>
      <c r="H536" s="4">
        <f>15.2924 * CHOOSE(CONTROL!$C$15, $D$11, 100%, $F$11)</f>
        <v>15.292400000000001</v>
      </c>
      <c r="I536" s="8">
        <f>14.1792 * CHOOSE(CONTROL!$C$15, $D$11, 100%, $F$11)</f>
        <v>14.1792</v>
      </c>
      <c r="J536" s="4">
        <f>14.063 * CHOOSE(CONTROL!$C$15, $D$11, 100%, $F$11)</f>
        <v>14.063000000000001</v>
      </c>
      <c r="K536" s="4"/>
      <c r="L536" s="9">
        <v>30.092199999999998</v>
      </c>
      <c r="M536" s="9">
        <v>11.6745</v>
      </c>
      <c r="N536" s="9">
        <v>4.7850000000000001</v>
      </c>
      <c r="O536" s="9">
        <v>0.36199999999999999</v>
      </c>
      <c r="P536" s="9">
        <v>1.1791</v>
      </c>
      <c r="Q536" s="9">
        <v>19.053000000000001</v>
      </c>
      <c r="R536" s="9"/>
      <c r="S536" s="11"/>
    </row>
    <row r="537" spans="1:19" ht="15.75">
      <c r="A537" s="13">
        <v>57861</v>
      </c>
      <c r="B537" s="8">
        <f>CHOOSE( CONTROL!$C$32, 15.0551, 15.0527) * CHOOSE(CONTROL!$C$15, $D$11, 100%, $F$11)</f>
        <v>15.055099999999999</v>
      </c>
      <c r="C537" s="8">
        <f>CHOOSE( CONTROL!$C$32, 15.0657, 15.0633) * CHOOSE(CONTROL!$C$15, $D$11, 100%, $F$11)</f>
        <v>15.0657</v>
      </c>
      <c r="D537" s="8">
        <f>CHOOSE( CONTROL!$C$32, 15.1015, 15.0991) * CHOOSE( CONTROL!$C$15, $D$11, 100%, $F$11)</f>
        <v>15.1015</v>
      </c>
      <c r="E537" s="12">
        <f>CHOOSE( CONTROL!$C$32, 15.0869, 15.0845) * CHOOSE( CONTROL!$C$15, $D$11, 100%, $F$11)</f>
        <v>15.0869</v>
      </c>
      <c r="F537" s="4">
        <f>CHOOSE( CONTROL!$C$32, 15.7945, 15.7921) * CHOOSE(CONTROL!$C$15, $D$11, 100%, $F$11)</f>
        <v>15.794499999999999</v>
      </c>
      <c r="G537" s="8">
        <f>CHOOSE( CONTROL!$C$32, 14.7112, 14.7088) * CHOOSE( CONTROL!$C$15, $D$11, 100%, $F$11)</f>
        <v>14.7112</v>
      </c>
      <c r="H537" s="4">
        <f>CHOOSE( CONTROL!$C$32, 15.6763, 15.674) * CHOOSE(CONTROL!$C$15, $D$11, 100%, $F$11)</f>
        <v>15.676299999999999</v>
      </c>
      <c r="I537" s="8">
        <f>CHOOSE( CONTROL!$C$32, 14.5565, 14.5542) * CHOOSE(CONTROL!$C$15, $D$11, 100%, $F$11)</f>
        <v>14.5565</v>
      </c>
      <c r="J537" s="4">
        <f>CHOOSE( CONTROL!$C$32, 14.4401, 14.4378) * CHOOSE(CONTROL!$C$15, $D$11, 100%, $F$11)</f>
        <v>14.440099999999999</v>
      </c>
      <c r="K537" s="4"/>
      <c r="L537" s="9">
        <v>30.7165</v>
      </c>
      <c r="M537" s="9">
        <v>12.063700000000001</v>
      </c>
      <c r="N537" s="9">
        <v>4.9444999999999997</v>
      </c>
      <c r="O537" s="9">
        <v>0.37409999999999999</v>
      </c>
      <c r="P537" s="9">
        <v>1.2183999999999999</v>
      </c>
      <c r="Q537" s="9">
        <v>19.688099999999999</v>
      </c>
      <c r="R537" s="9"/>
      <c r="S537" s="11"/>
    </row>
    <row r="538" spans="1:19" ht="15.75">
      <c r="A538" s="13">
        <v>57891</v>
      </c>
      <c r="B538" s="8">
        <f>CHOOSE( CONTROL!$C$32, 14.8133, 14.8109) * CHOOSE(CONTROL!$C$15, $D$11, 100%, $F$11)</f>
        <v>14.8133</v>
      </c>
      <c r="C538" s="8">
        <f>CHOOSE( CONTROL!$C$32, 14.8239, 14.8215) * CHOOSE(CONTROL!$C$15, $D$11, 100%, $F$11)</f>
        <v>14.8239</v>
      </c>
      <c r="D538" s="8">
        <f>CHOOSE( CONTROL!$C$32, 14.8599, 14.8575) * CHOOSE( CONTROL!$C$15, $D$11, 100%, $F$11)</f>
        <v>14.8599</v>
      </c>
      <c r="E538" s="12">
        <f>CHOOSE( CONTROL!$C$32, 14.8452, 14.8428) * CHOOSE( CONTROL!$C$15, $D$11, 100%, $F$11)</f>
        <v>14.8452</v>
      </c>
      <c r="F538" s="4">
        <f>CHOOSE( CONTROL!$C$32, 15.5527, 15.5503) * CHOOSE(CONTROL!$C$15, $D$11, 100%, $F$11)</f>
        <v>15.5527</v>
      </c>
      <c r="G538" s="8">
        <f>CHOOSE( CONTROL!$C$32, 14.4751, 14.4727) * CHOOSE( CONTROL!$C$15, $D$11, 100%, $F$11)</f>
        <v>14.475099999999999</v>
      </c>
      <c r="H538" s="4">
        <f>CHOOSE( CONTROL!$C$32, 15.44, 15.4376) * CHOOSE(CONTROL!$C$15, $D$11, 100%, $F$11)</f>
        <v>15.44</v>
      </c>
      <c r="I538" s="8">
        <f>CHOOSE( CONTROL!$C$32, 14.3252, 14.3229) * CHOOSE(CONTROL!$C$15, $D$11, 100%, $F$11)</f>
        <v>14.325200000000001</v>
      </c>
      <c r="J538" s="4">
        <f>CHOOSE( CONTROL!$C$32, 14.2079, 14.2056) * CHOOSE(CONTROL!$C$15, $D$11, 100%, $F$11)</f>
        <v>14.2079</v>
      </c>
      <c r="K538" s="4"/>
      <c r="L538" s="9">
        <v>29.7257</v>
      </c>
      <c r="M538" s="9">
        <v>11.6745</v>
      </c>
      <c r="N538" s="9">
        <v>4.7850000000000001</v>
      </c>
      <c r="O538" s="9">
        <v>0.36199999999999999</v>
      </c>
      <c r="P538" s="9">
        <v>1.1791</v>
      </c>
      <c r="Q538" s="9">
        <v>19.053000000000001</v>
      </c>
      <c r="R538" s="9"/>
      <c r="S538" s="11"/>
    </row>
    <row r="539" spans="1:19" ht="15.75">
      <c r="A539" s="13">
        <v>57922</v>
      </c>
      <c r="B539" s="8">
        <f>CHOOSE( CONTROL!$C$32, 15.45, 15.4476) * CHOOSE(CONTROL!$C$15, $D$11, 100%, $F$11)</f>
        <v>15.45</v>
      </c>
      <c r="C539" s="8">
        <f>CHOOSE( CONTROL!$C$32, 15.4606, 15.4582) * CHOOSE(CONTROL!$C$15, $D$11, 100%, $F$11)</f>
        <v>15.460599999999999</v>
      </c>
      <c r="D539" s="8">
        <f>CHOOSE( CONTROL!$C$32, 15.4968, 15.4944) * CHOOSE( CONTROL!$C$15, $D$11, 100%, $F$11)</f>
        <v>15.4968</v>
      </c>
      <c r="E539" s="12">
        <f>CHOOSE( CONTROL!$C$32, 15.4821, 15.4797) * CHOOSE( CONTROL!$C$15, $D$11, 100%, $F$11)</f>
        <v>15.482100000000001</v>
      </c>
      <c r="F539" s="4">
        <f>CHOOSE( CONTROL!$C$32, 16.1894, 16.187) * CHOOSE(CONTROL!$C$15, $D$11, 100%, $F$11)</f>
        <v>16.189399999999999</v>
      </c>
      <c r="G539" s="8">
        <f>CHOOSE( CONTROL!$C$32, 15.0979, 15.0955) * CHOOSE( CONTROL!$C$15, $D$11, 100%, $F$11)</f>
        <v>15.097899999999999</v>
      </c>
      <c r="H539" s="4">
        <f>CHOOSE( CONTROL!$C$32, 16.0624, 16.0601) * CHOOSE(CONTROL!$C$15, $D$11, 100%, $F$11)</f>
        <v>16.0624</v>
      </c>
      <c r="I539" s="8">
        <f>CHOOSE( CONTROL!$C$32, 14.9378, 14.9355) * CHOOSE(CONTROL!$C$15, $D$11, 100%, $F$11)</f>
        <v>14.937799999999999</v>
      </c>
      <c r="J539" s="4">
        <f>CHOOSE( CONTROL!$C$32, 14.8192, 14.8169) * CHOOSE(CONTROL!$C$15, $D$11, 100%, $F$11)</f>
        <v>14.8192</v>
      </c>
      <c r="K539" s="4"/>
      <c r="L539" s="9">
        <v>30.7165</v>
      </c>
      <c r="M539" s="9">
        <v>12.063700000000001</v>
      </c>
      <c r="N539" s="9">
        <v>4.9444999999999997</v>
      </c>
      <c r="O539" s="9">
        <v>0.37409999999999999</v>
      </c>
      <c r="P539" s="9">
        <v>1.2183999999999999</v>
      </c>
      <c r="Q539" s="9">
        <v>19.688099999999999</v>
      </c>
      <c r="R539" s="9"/>
      <c r="S539" s="11"/>
    </row>
    <row r="540" spans="1:19" ht="15.75">
      <c r="A540" s="13">
        <v>57953</v>
      </c>
      <c r="B540" s="8">
        <f>CHOOSE( CONTROL!$C$32, 14.2587, 14.2563) * CHOOSE(CONTROL!$C$15, $D$11, 100%, $F$11)</f>
        <v>14.258699999999999</v>
      </c>
      <c r="C540" s="8">
        <f>CHOOSE( CONTROL!$C$32, 14.2693, 14.2669) * CHOOSE(CONTROL!$C$15, $D$11, 100%, $F$11)</f>
        <v>14.269299999999999</v>
      </c>
      <c r="D540" s="8">
        <f>CHOOSE( CONTROL!$C$32, 14.3056, 14.3032) * CHOOSE( CONTROL!$C$15, $D$11, 100%, $F$11)</f>
        <v>14.3056</v>
      </c>
      <c r="E540" s="12">
        <f>CHOOSE( CONTROL!$C$32, 14.2908, 14.2884) * CHOOSE( CONTROL!$C$15, $D$11, 100%, $F$11)</f>
        <v>14.290800000000001</v>
      </c>
      <c r="F540" s="4">
        <f>CHOOSE( CONTROL!$C$32, 14.9981, 14.9957) * CHOOSE(CONTROL!$C$15, $D$11, 100%, $F$11)</f>
        <v>14.998100000000001</v>
      </c>
      <c r="G540" s="8">
        <f>CHOOSE( CONTROL!$C$32, 13.9332, 13.9309) * CHOOSE( CONTROL!$C$15, $D$11, 100%, $F$11)</f>
        <v>13.933199999999999</v>
      </c>
      <c r="H540" s="4">
        <f>CHOOSE( CONTROL!$C$32, 14.8977, 14.8954) * CHOOSE(CONTROL!$C$15, $D$11, 100%, $F$11)</f>
        <v>14.8977</v>
      </c>
      <c r="I540" s="8">
        <f>CHOOSE( CONTROL!$C$32, 13.7937, 13.7914) * CHOOSE(CONTROL!$C$15, $D$11, 100%, $F$11)</f>
        <v>13.793699999999999</v>
      </c>
      <c r="J540" s="4">
        <f>CHOOSE( CONTROL!$C$32, 13.6755, 13.6732) * CHOOSE(CONTROL!$C$15, $D$11, 100%, $F$11)</f>
        <v>13.6755</v>
      </c>
      <c r="K540" s="4"/>
      <c r="L540" s="9">
        <v>30.7165</v>
      </c>
      <c r="M540" s="9">
        <v>12.063700000000001</v>
      </c>
      <c r="N540" s="9">
        <v>4.9444999999999997</v>
      </c>
      <c r="O540" s="9">
        <v>0.37409999999999999</v>
      </c>
      <c r="P540" s="9">
        <v>1.2183999999999999</v>
      </c>
      <c r="Q540" s="9">
        <v>19.688099999999999</v>
      </c>
      <c r="R540" s="9"/>
      <c r="S540" s="11"/>
    </row>
    <row r="541" spans="1:19" ht="15.75">
      <c r="A541" s="13">
        <v>57983</v>
      </c>
      <c r="B541" s="8">
        <f>CHOOSE( CONTROL!$C$32, 13.9604, 13.958) * CHOOSE(CONTROL!$C$15, $D$11, 100%, $F$11)</f>
        <v>13.9604</v>
      </c>
      <c r="C541" s="8">
        <f>CHOOSE( CONTROL!$C$32, 13.971, 13.9686) * CHOOSE(CONTROL!$C$15, $D$11, 100%, $F$11)</f>
        <v>13.971</v>
      </c>
      <c r="D541" s="8">
        <f>CHOOSE( CONTROL!$C$32, 14.0072, 14.0048) * CHOOSE( CONTROL!$C$15, $D$11, 100%, $F$11)</f>
        <v>14.007199999999999</v>
      </c>
      <c r="E541" s="12">
        <f>CHOOSE( CONTROL!$C$32, 13.9925, 13.9901) * CHOOSE( CONTROL!$C$15, $D$11, 100%, $F$11)</f>
        <v>13.9925</v>
      </c>
      <c r="F541" s="4">
        <f>CHOOSE( CONTROL!$C$32, 14.6998, 14.6974) * CHOOSE(CONTROL!$C$15, $D$11, 100%, $F$11)</f>
        <v>14.6998</v>
      </c>
      <c r="G541" s="8">
        <f>CHOOSE( CONTROL!$C$32, 13.6415, 13.6391) * CHOOSE( CONTROL!$C$15, $D$11, 100%, $F$11)</f>
        <v>13.641500000000001</v>
      </c>
      <c r="H541" s="4">
        <f>CHOOSE( CONTROL!$C$32, 14.6061, 14.6037) * CHOOSE(CONTROL!$C$15, $D$11, 100%, $F$11)</f>
        <v>14.6061</v>
      </c>
      <c r="I541" s="8">
        <f>CHOOSE( CONTROL!$C$32, 13.5069, 13.5046) * CHOOSE(CONTROL!$C$15, $D$11, 100%, $F$11)</f>
        <v>13.5069</v>
      </c>
      <c r="J541" s="4">
        <f>CHOOSE( CONTROL!$C$32, 13.389, 13.3867) * CHOOSE(CONTROL!$C$15, $D$11, 100%, $F$11)</f>
        <v>13.388999999999999</v>
      </c>
      <c r="K541" s="4"/>
      <c r="L541" s="9">
        <v>29.7257</v>
      </c>
      <c r="M541" s="9">
        <v>11.6745</v>
      </c>
      <c r="N541" s="9">
        <v>4.7850000000000001</v>
      </c>
      <c r="O541" s="9">
        <v>0.36199999999999999</v>
      </c>
      <c r="P541" s="9">
        <v>1.1791</v>
      </c>
      <c r="Q541" s="9">
        <v>19.053000000000001</v>
      </c>
      <c r="R541" s="9"/>
      <c r="S541" s="11"/>
    </row>
    <row r="542" spans="1:19" ht="15.75">
      <c r="A542" s="13">
        <v>58014</v>
      </c>
      <c r="B542" s="8">
        <f>14.5775 * CHOOSE(CONTROL!$C$15, $D$11, 100%, $F$11)</f>
        <v>14.577500000000001</v>
      </c>
      <c r="C542" s="8">
        <f>14.5883 * CHOOSE(CONTROL!$C$15, $D$11, 100%, $F$11)</f>
        <v>14.5883</v>
      </c>
      <c r="D542" s="8">
        <f>14.6258 * CHOOSE( CONTROL!$C$15, $D$11, 100%, $F$11)</f>
        <v>14.6258</v>
      </c>
      <c r="E542" s="12">
        <f>14.6123 * CHOOSE( CONTROL!$C$15, $D$11, 100%, $F$11)</f>
        <v>14.612299999999999</v>
      </c>
      <c r="F542" s="4">
        <f>15.3168 * CHOOSE(CONTROL!$C$15, $D$11, 100%, $F$11)</f>
        <v>15.316800000000001</v>
      </c>
      <c r="G542" s="8">
        <f>14.2445 * CHOOSE( CONTROL!$C$15, $D$11, 100%, $F$11)</f>
        <v>14.2445</v>
      </c>
      <c r="H542" s="4">
        <f>15.2093 * CHOOSE(CONTROL!$C$15, $D$11, 100%, $F$11)</f>
        <v>15.209300000000001</v>
      </c>
      <c r="I542" s="8">
        <f>14.1003 * CHOOSE(CONTROL!$C$15, $D$11, 100%, $F$11)</f>
        <v>14.100300000000001</v>
      </c>
      <c r="J542" s="4">
        <f>13.9814 * CHOOSE(CONTROL!$C$15, $D$11, 100%, $F$11)</f>
        <v>13.981400000000001</v>
      </c>
      <c r="K542" s="4"/>
      <c r="L542" s="9">
        <v>31.095300000000002</v>
      </c>
      <c r="M542" s="9">
        <v>12.063700000000001</v>
      </c>
      <c r="N542" s="9">
        <v>4.9444999999999997</v>
      </c>
      <c r="O542" s="9">
        <v>0.37409999999999999</v>
      </c>
      <c r="P542" s="9">
        <v>1.2183999999999999</v>
      </c>
      <c r="Q542" s="9">
        <v>19.688099999999999</v>
      </c>
      <c r="R542" s="9"/>
      <c r="S542" s="11"/>
    </row>
    <row r="543" spans="1:19" ht="15.75">
      <c r="A543" s="13">
        <v>58044</v>
      </c>
      <c r="B543" s="8">
        <f>15.7208 * CHOOSE(CONTROL!$C$15, $D$11, 100%, $F$11)</f>
        <v>15.720800000000001</v>
      </c>
      <c r="C543" s="8">
        <f>15.7316 * CHOOSE(CONTROL!$C$15, $D$11, 100%, $F$11)</f>
        <v>15.7316</v>
      </c>
      <c r="D543" s="8">
        <f>15.7143 * CHOOSE( CONTROL!$C$15, $D$11, 100%, $F$11)</f>
        <v>15.7143</v>
      </c>
      <c r="E543" s="12">
        <f>15.7195 * CHOOSE( CONTROL!$C$15, $D$11, 100%, $F$11)</f>
        <v>15.7195</v>
      </c>
      <c r="F543" s="4">
        <f>16.3793 * CHOOSE(CONTROL!$C$15, $D$11, 100%, $F$11)</f>
        <v>16.379300000000001</v>
      </c>
      <c r="G543" s="8">
        <f>15.3689 * CHOOSE( CONTROL!$C$15, $D$11, 100%, $F$11)</f>
        <v>15.3689</v>
      </c>
      <c r="H543" s="4">
        <f>16.2482 * CHOOSE(CONTROL!$C$15, $D$11, 100%, $F$11)</f>
        <v>16.248200000000001</v>
      </c>
      <c r="I543" s="8">
        <f>15.2357 * CHOOSE(CONTROL!$C$15, $D$11, 100%, $F$11)</f>
        <v>15.2357</v>
      </c>
      <c r="J543" s="4">
        <f>15.0791 * CHOOSE(CONTROL!$C$15, $D$11, 100%, $F$11)</f>
        <v>15.0791</v>
      </c>
      <c r="K543" s="4"/>
      <c r="L543" s="9">
        <v>28.360600000000002</v>
      </c>
      <c r="M543" s="9">
        <v>11.6745</v>
      </c>
      <c r="N543" s="9">
        <v>4.7850000000000001</v>
      </c>
      <c r="O543" s="9">
        <v>0.36199999999999999</v>
      </c>
      <c r="P543" s="9">
        <v>1.2509999999999999</v>
      </c>
      <c r="Q543" s="9">
        <v>19.053000000000001</v>
      </c>
      <c r="R543" s="9"/>
      <c r="S543" s="11"/>
    </row>
    <row r="544" spans="1:19" ht="15.75">
      <c r="A544" s="13">
        <v>58075</v>
      </c>
      <c r="B544" s="8">
        <f>15.6923 * CHOOSE(CONTROL!$C$15, $D$11, 100%, $F$11)</f>
        <v>15.692299999999999</v>
      </c>
      <c r="C544" s="8">
        <f>15.703 * CHOOSE(CONTROL!$C$15, $D$11, 100%, $F$11)</f>
        <v>15.702999999999999</v>
      </c>
      <c r="D544" s="8">
        <f>15.6875 * CHOOSE( CONTROL!$C$15, $D$11, 100%, $F$11)</f>
        <v>15.6875</v>
      </c>
      <c r="E544" s="12">
        <f>15.692 * CHOOSE( CONTROL!$C$15, $D$11, 100%, $F$11)</f>
        <v>15.692</v>
      </c>
      <c r="F544" s="4">
        <f>16.3508 * CHOOSE(CONTROL!$C$15, $D$11, 100%, $F$11)</f>
        <v>16.3508</v>
      </c>
      <c r="G544" s="8">
        <f>15.3422 * CHOOSE( CONTROL!$C$15, $D$11, 100%, $F$11)</f>
        <v>15.3422</v>
      </c>
      <c r="H544" s="4">
        <f>16.2203 * CHOOSE(CONTROL!$C$15, $D$11, 100%, $F$11)</f>
        <v>16.220300000000002</v>
      </c>
      <c r="I544" s="8">
        <f>15.2134 * CHOOSE(CONTROL!$C$15, $D$11, 100%, $F$11)</f>
        <v>15.2134</v>
      </c>
      <c r="J544" s="4">
        <f>15.0517 * CHOOSE(CONTROL!$C$15, $D$11, 100%, $F$11)</f>
        <v>15.0517</v>
      </c>
      <c r="K544" s="4"/>
      <c r="L544" s="9">
        <v>29.306000000000001</v>
      </c>
      <c r="M544" s="9">
        <v>12.063700000000001</v>
      </c>
      <c r="N544" s="9">
        <v>4.9444999999999997</v>
      </c>
      <c r="O544" s="9">
        <v>0.37409999999999999</v>
      </c>
      <c r="P544" s="9">
        <v>1.2927</v>
      </c>
      <c r="Q544" s="9">
        <v>19.688099999999999</v>
      </c>
      <c r="R544" s="9"/>
      <c r="S544" s="11"/>
    </row>
    <row r="545" spans="1:19" ht="15.75">
      <c r="A545" s="13">
        <v>58106</v>
      </c>
      <c r="B545" s="8">
        <f>16.1547 * CHOOSE(CONTROL!$C$15, $D$11, 100%, $F$11)</f>
        <v>16.154699999999998</v>
      </c>
      <c r="C545" s="8">
        <f>16.1655 * CHOOSE(CONTROL!$C$15, $D$11, 100%, $F$11)</f>
        <v>16.165500000000002</v>
      </c>
      <c r="D545" s="8">
        <f>16.1468 * CHOOSE( CONTROL!$C$15, $D$11, 100%, $F$11)</f>
        <v>16.146799999999999</v>
      </c>
      <c r="E545" s="12">
        <f>16.1525 * CHOOSE( CONTROL!$C$15, $D$11, 100%, $F$11)</f>
        <v>16.1525</v>
      </c>
      <c r="F545" s="4">
        <f>16.8132 * CHOOSE(CONTROL!$C$15, $D$11, 100%, $F$11)</f>
        <v>16.813199999999998</v>
      </c>
      <c r="G545" s="8">
        <f>15.7868 * CHOOSE( CONTROL!$C$15, $D$11, 100%, $F$11)</f>
        <v>15.786799999999999</v>
      </c>
      <c r="H545" s="4">
        <f>16.6724 * CHOOSE(CONTROL!$C$15, $D$11, 100%, $F$11)</f>
        <v>16.6724</v>
      </c>
      <c r="I545" s="8">
        <f>15.6225 * CHOOSE(CONTROL!$C$15, $D$11, 100%, $F$11)</f>
        <v>15.6225</v>
      </c>
      <c r="J545" s="4">
        <f>15.4957 * CHOOSE(CONTROL!$C$15, $D$11, 100%, $F$11)</f>
        <v>15.495699999999999</v>
      </c>
      <c r="K545" s="4"/>
      <c r="L545" s="9">
        <v>29.306000000000001</v>
      </c>
      <c r="M545" s="9">
        <v>12.063700000000001</v>
      </c>
      <c r="N545" s="9">
        <v>4.9444999999999997</v>
      </c>
      <c r="O545" s="9">
        <v>0.37409999999999999</v>
      </c>
      <c r="P545" s="9">
        <v>1.2927</v>
      </c>
      <c r="Q545" s="9">
        <v>19.688099999999999</v>
      </c>
      <c r="R545" s="9"/>
      <c r="S545" s="11"/>
    </row>
    <row r="546" spans="1:19" ht="15.75">
      <c r="A546" s="13">
        <v>58134</v>
      </c>
      <c r="B546" s="8">
        <f>15.1113 * CHOOSE(CONTROL!$C$15, $D$11, 100%, $F$11)</f>
        <v>15.1113</v>
      </c>
      <c r="C546" s="8">
        <f>15.1221 * CHOOSE(CONTROL!$C$15, $D$11, 100%, $F$11)</f>
        <v>15.1221</v>
      </c>
      <c r="D546" s="8">
        <f>15.1033 * CHOOSE( CONTROL!$C$15, $D$11, 100%, $F$11)</f>
        <v>15.103300000000001</v>
      </c>
      <c r="E546" s="12">
        <f>15.109 * CHOOSE( CONTROL!$C$15, $D$11, 100%, $F$11)</f>
        <v>15.109</v>
      </c>
      <c r="F546" s="4">
        <f>15.7698 * CHOOSE(CONTROL!$C$15, $D$11, 100%, $F$11)</f>
        <v>15.7698</v>
      </c>
      <c r="G546" s="8">
        <f>14.7666 * CHOOSE( CONTROL!$C$15, $D$11, 100%, $F$11)</f>
        <v>14.7666</v>
      </c>
      <c r="H546" s="4">
        <f>15.6522 * CHOOSE(CONTROL!$C$15, $D$11, 100%, $F$11)</f>
        <v>15.652200000000001</v>
      </c>
      <c r="I546" s="8">
        <f>14.6199 * CHOOSE(CONTROL!$C$15, $D$11, 100%, $F$11)</f>
        <v>14.619899999999999</v>
      </c>
      <c r="J546" s="4">
        <f>14.4939 * CHOOSE(CONTROL!$C$15, $D$11, 100%, $F$11)</f>
        <v>14.4939</v>
      </c>
      <c r="K546" s="4"/>
      <c r="L546" s="9">
        <v>26.469899999999999</v>
      </c>
      <c r="M546" s="9">
        <v>10.8962</v>
      </c>
      <c r="N546" s="9">
        <v>4.4660000000000002</v>
      </c>
      <c r="O546" s="9">
        <v>0.33789999999999998</v>
      </c>
      <c r="P546" s="9">
        <v>1.1676</v>
      </c>
      <c r="Q546" s="9">
        <v>17.782800000000002</v>
      </c>
      <c r="R546" s="9"/>
      <c r="S546" s="11"/>
    </row>
    <row r="547" spans="1:19" ht="15.75">
      <c r="A547" s="13">
        <v>58165</v>
      </c>
      <c r="B547" s="8">
        <f>14.7899 * CHOOSE(CONTROL!$C$15, $D$11, 100%, $F$11)</f>
        <v>14.789899999999999</v>
      </c>
      <c r="C547" s="8">
        <f>14.8007 * CHOOSE(CONTROL!$C$15, $D$11, 100%, $F$11)</f>
        <v>14.800700000000001</v>
      </c>
      <c r="D547" s="8">
        <f>14.7815 * CHOOSE( CONTROL!$C$15, $D$11, 100%, $F$11)</f>
        <v>14.781499999999999</v>
      </c>
      <c r="E547" s="12">
        <f>14.7874 * CHOOSE( CONTROL!$C$15, $D$11, 100%, $F$11)</f>
        <v>14.7874</v>
      </c>
      <c r="F547" s="4">
        <f>15.4484 * CHOOSE(CONTROL!$C$15, $D$11, 100%, $F$11)</f>
        <v>15.448399999999999</v>
      </c>
      <c r="G547" s="8">
        <f>14.452 * CHOOSE( CONTROL!$C$15, $D$11, 100%, $F$11)</f>
        <v>14.452</v>
      </c>
      <c r="H547" s="4">
        <f>15.338 * CHOOSE(CONTROL!$C$15, $D$11, 100%, $F$11)</f>
        <v>15.337999999999999</v>
      </c>
      <c r="I547" s="8">
        <f>14.3098 * CHOOSE(CONTROL!$C$15, $D$11, 100%, $F$11)</f>
        <v>14.309799999999999</v>
      </c>
      <c r="J547" s="4">
        <f>14.1853 * CHOOSE(CONTROL!$C$15, $D$11, 100%, $F$11)</f>
        <v>14.1853</v>
      </c>
      <c r="K547" s="4"/>
      <c r="L547" s="9">
        <v>29.306000000000001</v>
      </c>
      <c r="M547" s="9">
        <v>12.063700000000001</v>
      </c>
      <c r="N547" s="9">
        <v>4.9444999999999997</v>
      </c>
      <c r="O547" s="9">
        <v>0.37409999999999999</v>
      </c>
      <c r="P547" s="9">
        <v>1.2927</v>
      </c>
      <c r="Q547" s="9">
        <v>19.688099999999999</v>
      </c>
      <c r="R547" s="9"/>
      <c r="S547" s="11"/>
    </row>
    <row r="548" spans="1:19" ht="15.75">
      <c r="A548" s="13">
        <v>58195</v>
      </c>
      <c r="B548" s="8">
        <f>15.0144 * CHOOSE(CONTROL!$C$15, $D$11, 100%, $F$11)</f>
        <v>15.0144</v>
      </c>
      <c r="C548" s="8">
        <f>15.0252 * CHOOSE(CONTROL!$C$15, $D$11, 100%, $F$11)</f>
        <v>15.0252</v>
      </c>
      <c r="D548" s="8">
        <f>15.0622 * CHOOSE( CONTROL!$C$15, $D$11, 100%, $F$11)</f>
        <v>15.062200000000001</v>
      </c>
      <c r="E548" s="12">
        <f>15.0487 * CHOOSE( CONTROL!$C$15, $D$11, 100%, $F$11)</f>
        <v>15.0487</v>
      </c>
      <c r="F548" s="4">
        <f>15.7537 * CHOOSE(CONTROL!$C$15, $D$11, 100%, $F$11)</f>
        <v>15.7537</v>
      </c>
      <c r="G548" s="8">
        <f>14.6708 * CHOOSE( CONTROL!$C$15, $D$11, 100%, $F$11)</f>
        <v>14.6708</v>
      </c>
      <c r="H548" s="4">
        <f>15.6365 * CHOOSE(CONTROL!$C$15, $D$11, 100%, $F$11)</f>
        <v>15.6365</v>
      </c>
      <c r="I548" s="8">
        <f>14.5173 * CHOOSE(CONTROL!$C$15, $D$11, 100%, $F$11)</f>
        <v>14.517300000000001</v>
      </c>
      <c r="J548" s="4">
        <f>14.4009 * CHOOSE(CONTROL!$C$15, $D$11, 100%, $F$11)</f>
        <v>14.4009</v>
      </c>
      <c r="K548" s="4"/>
      <c r="L548" s="9">
        <v>30.092199999999998</v>
      </c>
      <c r="M548" s="9">
        <v>11.6745</v>
      </c>
      <c r="N548" s="9">
        <v>4.7850000000000001</v>
      </c>
      <c r="O548" s="9">
        <v>0.36199999999999999</v>
      </c>
      <c r="P548" s="9">
        <v>1.1791</v>
      </c>
      <c r="Q548" s="9">
        <v>19.053000000000001</v>
      </c>
      <c r="R548" s="9"/>
      <c r="S548" s="11"/>
    </row>
    <row r="549" spans="1:19" ht="15.75">
      <c r="A549" s="13">
        <v>58226</v>
      </c>
      <c r="B549" s="8">
        <f>CHOOSE( CONTROL!$C$32, 15.4164, 15.414) * CHOOSE(CONTROL!$C$15, $D$11, 100%, $F$11)</f>
        <v>15.416399999999999</v>
      </c>
      <c r="C549" s="8">
        <f>CHOOSE( CONTROL!$C$32, 15.427, 15.4246) * CHOOSE(CONTROL!$C$15, $D$11, 100%, $F$11)</f>
        <v>15.427</v>
      </c>
      <c r="D549" s="8">
        <f>CHOOSE( CONTROL!$C$32, 15.4628, 15.4604) * CHOOSE( CONTROL!$C$15, $D$11, 100%, $F$11)</f>
        <v>15.4628</v>
      </c>
      <c r="E549" s="12">
        <f>CHOOSE( CONTROL!$C$32, 15.4482, 15.4458) * CHOOSE( CONTROL!$C$15, $D$11, 100%, $F$11)</f>
        <v>15.4482</v>
      </c>
      <c r="F549" s="4">
        <f>CHOOSE( CONTROL!$C$32, 16.1558, 16.1534) * CHOOSE(CONTROL!$C$15, $D$11, 100%, $F$11)</f>
        <v>16.155799999999999</v>
      </c>
      <c r="G549" s="8">
        <f>CHOOSE( CONTROL!$C$32, 15.0644, 15.0621) * CHOOSE( CONTROL!$C$15, $D$11, 100%, $F$11)</f>
        <v>15.064399999999999</v>
      </c>
      <c r="H549" s="4">
        <f>CHOOSE( CONTROL!$C$32, 16.0296, 16.0273) * CHOOSE(CONTROL!$C$15, $D$11, 100%, $F$11)</f>
        <v>16.029599999999999</v>
      </c>
      <c r="I549" s="8">
        <f>CHOOSE( CONTROL!$C$32, 14.9036, 14.9013) * CHOOSE(CONTROL!$C$15, $D$11, 100%, $F$11)</f>
        <v>14.903600000000001</v>
      </c>
      <c r="J549" s="4">
        <f>CHOOSE( CONTROL!$C$32, 14.787, 14.7847) * CHOOSE(CONTROL!$C$15, $D$11, 100%, $F$11)</f>
        <v>14.787000000000001</v>
      </c>
      <c r="K549" s="4"/>
      <c r="L549" s="9">
        <v>30.7165</v>
      </c>
      <c r="M549" s="9">
        <v>12.063700000000001</v>
      </c>
      <c r="N549" s="9">
        <v>4.9444999999999997</v>
      </c>
      <c r="O549" s="9">
        <v>0.37409999999999999</v>
      </c>
      <c r="P549" s="9">
        <v>1.2183999999999999</v>
      </c>
      <c r="Q549" s="9">
        <v>19.688099999999999</v>
      </c>
      <c r="R549" s="9"/>
      <c r="S549" s="11"/>
    </row>
    <row r="550" spans="1:19" ht="15.75">
      <c r="A550" s="13">
        <v>58256</v>
      </c>
      <c r="B550" s="8">
        <f>CHOOSE( CONTROL!$C$32, 15.1688, 15.1664) * CHOOSE(CONTROL!$C$15, $D$11, 100%, $F$11)</f>
        <v>15.168799999999999</v>
      </c>
      <c r="C550" s="8">
        <f>CHOOSE( CONTROL!$C$32, 15.1794, 15.177) * CHOOSE(CONTROL!$C$15, $D$11, 100%, $F$11)</f>
        <v>15.179399999999999</v>
      </c>
      <c r="D550" s="8">
        <f>CHOOSE( CONTROL!$C$32, 15.2154, 15.213) * CHOOSE( CONTROL!$C$15, $D$11, 100%, $F$11)</f>
        <v>15.215400000000001</v>
      </c>
      <c r="E550" s="12">
        <f>CHOOSE( CONTROL!$C$32, 15.2007, 15.1983) * CHOOSE( CONTROL!$C$15, $D$11, 100%, $F$11)</f>
        <v>15.200699999999999</v>
      </c>
      <c r="F550" s="4">
        <f>CHOOSE( CONTROL!$C$32, 15.9082, 15.9058) * CHOOSE(CONTROL!$C$15, $D$11, 100%, $F$11)</f>
        <v>15.908200000000001</v>
      </c>
      <c r="G550" s="8">
        <f>CHOOSE( CONTROL!$C$32, 14.8227, 14.8203) * CHOOSE( CONTROL!$C$15, $D$11, 100%, $F$11)</f>
        <v>14.822699999999999</v>
      </c>
      <c r="H550" s="4">
        <f>CHOOSE( CONTROL!$C$32, 15.7876, 15.7852) * CHOOSE(CONTROL!$C$15, $D$11, 100%, $F$11)</f>
        <v>15.787599999999999</v>
      </c>
      <c r="I550" s="8">
        <f>CHOOSE( CONTROL!$C$32, 14.6667, 14.6644) * CHOOSE(CONTROL!$C$15, $D$11, 100%, $F$11)</f>
        <v>14.666700000000001</v>
      </c>
      <c r="J550" s="4">
        <f>CHOOSE( CONTROL!$C$32, 14.5493, 14.547) * CHOOSE(CONTROL!$C$15, $D$11, 100%, $F$11)</f>
        <v>14.549300000000001</v>
      </c>
      <c r="K550" s="4"/>
      <c r="L550" s="9">
        <v>29.7257</v>
      </c>
      <c r="M550" s="9">
        <v>11.6745</v>
      </c>
      <c r="N550" s="9">
        <v>4.7850000000000001</v>
      </c>
      <c r="O550" s="9">
        <v>0.36199999999999999</v>
      </c>
      <c r="P550" s="9">
        <v>1.1791</v>
      </c>
      <c r="Q550" s="9">
        <v>19.053000000000001</v>
      </c>
      <c r="R550" s="9"/>
      <c r="S550" s="11"/>
    </row>
    <row r="551" spans="1:19" ht="15.75">
      <c r="A551" s="13">
        <v>58287</v>
      </c>
      <c r="B551" s="8">
        <f>CHOOSE( CONTROL!$C$32, 15.8208, 15.8184) * CHOOSE(CONTROL!$C$15, $D$11, 100%, $F$11)</f>
        <v>15.8208</v>
      </c>
      <c r="C551" s="8">
        <f>CHOOSE( CONTROL!$C$32, 15.8314, 15.829) * CHOOSE(CONTROL!$C$15, $D$11, 100%, $F$11)</f>
        <v>15.8314</v>
      </c>
      <c r="D551" s="8">
        <f>CHOOSE( CONTROL!$C$32, 15.8676, 15.8652) * CHOOSE( CONTROL!$C$15, $D$11, 100%, $F$11)</f>
        <v>15.867599999999999</v>
      </c>
      <c r="E551" s="12">
        <f>CHOOSE( CONTROL!$C$32, 15.8529, 15.8505) * CHOOSE( CONTROL!$C$15, $D$11, 100%, $F$11)</f>
        <v>15.8529</v>
      </c>
      <c r="F551" s="4">
        <f>CHOOSE( CONTROL!$C$32, 16.5602, 16.5578) * CHOOSE(CONTROL!$C$15, $D$11, 100%, $F$11)</f>
        <v>16.560199999999998</v>
      </c>
      <c r="G551" s="8">
        <f>CHOOSE( CONTROL!$C$32, 15.4604, 15.4581) * CHOOSE( CONTROL!$C$15, $D$11, 100%, $F$11)</f>
        <v>15.4604</v>
      </c>
      <c r="H551" s="4">
        <f>CHOOSE( CONTROL!$C$32, 16.425, 16.4226) * CHOOSE(CONTROL!$C$15, $D$11, 100%, $F$11)</f>
        <v>16.425000000000001</v>
      </c>
      <c r="I551" s="8">
        <f>CHOOSE( CONTROL!$C$32, 15.294, 15.2917) * CHOOSE(CONTROL!$C$15, $D$11, 100%, $F$11)</f>
        <v>15.294</v>
      </c>
      <c r="J551" s="4">
        <f>CHOOSE( CONTROL!$C$32, 15.1752, 15.1729) * CHOOSE(CONTROL!$C$15, $D$11, 100%, $F$11)</f>
        <v>15.1752</v>
      </c>
      <c r="K551" s="4"/>
      <c r="L551" s="9">
        <v>30.7165</v>
      </c>
      <c r="M551" s="9">
        <v>12.063700000000001</v>
      </c>
      <c r="N551" s="9">
        <v>4.9444999999999997</v>
      </c>
      <c r="O551" s="9">
        <v>0.37409999999999999</v>
      </c>
      <c r="P551" s="9">
        <v>1.2183999999999999</v>
      </c>
      <c r="Q551" s="9">
        <v>19.688099999999999</v>
      </c>
      <c r="R551" s="9"/>
      <c r="S551" s="11"/>
    </row>
    <row r="552" spans="1:19" ht="15.75">
      <c r="A552" s="13">
        <v>58318</v>
      </c>
      <c r="B552" s="8">
        <f>CHOOSE( CONTROL!$C$32, 14.6009, 14.5985) * CHOOSE(CONTROL!$C$15, $D$11, 100%, $F$11)</f>
        <v>14.600899999999999</v>
      </c>
      <c r="C552" s="8">
        <f>CHOOSE( CONTROL!$C$32, 14.6115, 14.6091) * CHOOSE(CONTROL!$C$15, $D$11, 100%, $F$11)</f>
        <v>14.611499999999999</v>
      </c>
      <c r="D552" s="8">
        <f>CHOOSE( CONTROL!$C$32, 14.6478, 14.6454) * CHOOSE( CONTROL!$C$15, $D$11, 100%, $F$11)</f>
        <v>14.6478</v>
      </c>
      <c r="E552" s="12">
        <f>CHOOSE( CONTROL!$C$32, 14.633, 14.6306) * CHOOSE( CONTROL!$C$15, $D$11, 100%, $F$11)</f>
        <v>14.632999999999999</v>
      </c>
      <c r="F552" s="4">
        <f>CHOOSE( CONTROL!$C$32, 15.3403, 15.3379) * CHOOSE(CONTROL!$C$15, $D$11, 100%, $F$11)</f>
        <v>15.340299999999999</v>
      </c>
      <c r="G552" s="8">
        <f>CHOOSE( CONTROL!$C$32, 14.2678, 14.2654) * CHOOSE( CONTROL!$C$15, $D$11, 100%, $F$11)</f>
        <v>14.267799999999999</v>
      </c>
      <c r="H552" s="4">
        <f>CHOOSE( CONTROL!$C$32, 15.2323, 15.2299) * CHOOSE(CONTROL!$C$15, $D$11, 100%, $F$11)</f>
        <v>15.2323</v>
      </c>
      <c r="I552" s="8">
        <f>CHOOSE( CONTROL!$C$32, 14.1224, 14.1201) * CHOOSE(CONTROL!$C$15, $D$11, 100%, $F$11)</f>
        <v>14.122400000000001</v>
      </c>
      <c r="J552" s="4">
        <f>CHOOSE( CONTROL!$C$32, 14.004, 14.0017) * CHOOSE(CONTROL!$C$15, $D$11, 100%, $F$11)</f>
        <v>14.004</v>
      </c>
      <c r="K552" s="4"/>
      <c r="L552" s="9">
        <v>30.7165</v>
      </c>
      <c r="M552" s="9">
        <v>12.063700000000001</v>
      </c>
      <c r="N552" s="9">
        <v>4.9444999999999997</v>
      </c>
      <c r="O552" s="9">
        <v>0.37409999999999999</v>
      </c>
      <c r="P552" s="9">
        <v>1.2183999999999999</v>
      </c>
      <c r="Q552" s="9">
        <v>19.688099999999999</v>
      </c>
      <c r="R552" s="9"/>
      <c r="S552" s="11"/>
    </row>
    <row r="553" spans="1:19" ht="15.75">
      <c r="A553" s="13">
        <v>58348</v>
      </c>
      <c r="B553" s="8">
        <f>CHOOSE( CONTROL!$C$32, 14.2954, 14.293) * CHOOSE(CONTROL!$C$15, $D$11, 100%, $F$11)</f>
        <v>14.295400000000001</v>
      </c>
      <c r="C553" s="8">
        <f>CHOOSE( CONTROL!$C$32, 14.306, 14.3036) * CHOOSE(CONTROL!$C$15, $D$11, 100%, $F$11)</f>
        <v>14.305999999999999</v>
      </c>
      <c r="D553" s="8">
        <f>CHOOSE( CONTROL!$C$32, 14.3422, 14.3398) * CHOOSE( CONTROL!$C$15, $D$11, 100%, $F$11)</f>
        <v>14.3422</v>
      </c>
      <c r="E553" s="12">
        <f>CHOOSE( CONTROL!$C$32, 14.3275, 14.3251) * CHOOSE( CONTROL!$C$15, $D$11, 100%, $F$11)</f>
        <v>14.327500000000001</v>
      </c>
      <c r="F553" s="4">
        <f>CHOOSE( CONTROL!$C$32, 15.0348, 15.0324) * CHOOSE(CONTROL!$C$15, $D$11, 100%, $F$11)</f>
        <v>15.034800000000001</v>
      </c>
      <c r="G553" s="8">
        <f>CHOOSE( CONTROL!$C$32, 13.969, 13.9667) * CHOOSE( CONTROL!$C$15, $D$11, 100%, $F$11)</f>
        <v>13.968999999999999</v>
      </c>
      <c r="H553" s="4">
        <f>CHOOSE( CONTROL!$C$32, 14.9336, 14.9313) * CHOOSE(CONTROL!$C$15, $D$11, 100%, $F$11)</f>
        <v>14.9336</v>
      </c>
      <c r="I553" s="8">
        <f>CHOOSE( CONTROL!$C$32, 13.8287, 13.8264) * CHOOSE(CONTROL!$C$15, $D$11, 100%, $F$11)</f>
        <v>13.8287</v>
      </c>
      <c r="J553" s="4">
        <f>CHOOSE( CONTROL!$C$32, 13.7107, 13.7084) * CHOOSE(CONTROL!$C$15, $D$11, 100%, $F$11)</f>
        <v>13.710699999999999</v>
      </c>
      <c r="K553" s="4"/>
      <c r="L553" s="9">
        <v>29.7257</v>
      </c>
      <c r="M553" s="9">
        <v>11.6745</v>
      </c>
      <c r="N553" s="9">
        <v>4.7850000000000001</v>
      </c>
      <c r="O553" s="9">
        <v>0.36199999999999999</v>
      </c>
      <c r="P553" s="9">
        <v>1.1791</v>
      </c>
      <c r="Q553" s="9">
        <v>19.053000000000001</v>
      </c>
      <c r="R553" s="9"/>
      <c r="S553" s="11"/>
    </row>
    <row r="554" spans="1:19" ht="15.75">
      <c r="A554" s="13">
        <v>58379</v>
      </c>
      <c r="B554" s="8">
        <f>14.9274 * CHOOSE(CONTROL!$C$15, $D$11, 100%, $F$11)</f>
        <v>14.9274</v>
      </c>
      <c r="C554" s="8">
        <f>14.9382 * CHOOSE(CONTROL!$C$15, $D$11, 100%, $F$11)</f>
        <v>14.9382</v>
      </c>
      <c r="D554" s="8">
        <f>14.9757 * CHOOSE( CONTROL!$C$15, $D$11, 100%, $F$11)</f>
        <v>14.9757</v>
      </c>
      <c r="E554" s="12">
        <f>14.9622 * CHOOSE( CONTROL!$C$15, $D$11, 100%, $F$11)</f>
        <v>14.962199999999999</v>
      </c>
      <c r="F554" s="4">
        <f>15.6667 * CHOOSE(CONTROL!$C$15, $D$11, 100%, $F$11)</f>
        <v>15.666700000000001</v>
      </c>
      <c r="G554" s="8">
        <f>14.5866 * CHOOSE( CONTROL!$C$15, $D$11, 100%, $F$11)</f>
        <v>14.586600000000001</v>
      </c>
      <c r="H554" s="4">
        <f>15.5514 * CHOOSE(CONTROL!$C$15, $D$11, 100%, $F$11)</f>
        <v>15.551399999999999</v>
      </c>
      <c r="I554" s="8">
        <f>14.4364 * CHOOSE(CONTROL!$C$15, $D$11, 100%, $F$11)</f>
        <v>14.436400000000001</v>
      </c>
      <c r="J554" s="4">
        <f>14.3174 * CHOOSE(CONTROL!$C$15, $D$11, 100%, $F$11)</f>
        <v>14.317399999999999</v>
      </c>
      <c r="K554" s="4"/>
      <c r="L554" s="9">
        <v>31.095300000000002</v>
      </c>
      <c r="M554" s="9">
        <v>12.063700000000001</v>
      </c>
      <c r="N554" s="9">
        <v>4.9444999999999997</v>
      </c>
      <c r="O554" s="9">
        <v>0.37409999999999999</v>
      </c>
      <c r="P554" s="9">
        <v>1.2183999999999999</v>
      </c>
      <c r="Q554" s="9">
        <v>19.688099999999999</v>
      </c>
      <c r="R554" s="9"/>
      <c r="S554" s="11"/>
    </row>
    <row r="555" spans="1:19" ht="15.75">
      <c r="A555" s="13">
        <v>58409</v>
      </c>
      <c r="B555" s="8">
        <f>16.0982 * CHOOSE(CONTROL!$C$15, $D$11, 100%, $F$11)</f>
        <v>16.098199999999999</v>
      </c>
      <c r="C555" s="8">
        <f>16.109 * CHOOSE(CONTROL!$C$15, $D$11, 100%, $F$11)</f>
        <v>16.109000000000002</v>
      </c>
      <c r="D555" s="8">
        <f>16.0917 * CHOOSE( CONTROL!$C$15, $D$11, 100%, $F$11)</f>
        <v>16.091699999999999</v>
      </c>
      <c r="E555" s="12">
        <f>16.0969 * CHOOSE( CONTROL!$C$15, $D$11, 100%, $F$11)</f>
        <v>16.096900000000002</v>
      </c>
      <c r="F555" s="4">
        <f>16.7567 * CHOOSE(CONTROL!$C$15, $D$11, 100%, $F$11)</f>
        <v>16.756699999999999</v>
      </c>
      <c r="G555" s="8">
        <f>15.7379 * CHOOSE( CONTROL!$C$15, $D$11, 100%, $F$11)</f>
        <v>15.7379</v>
      </c>
      <c r="H555" s="4">
        <f>16.6171 * CHOOSE(CONTROL!$C$15, $D$11, 100%, $F$11)</f>
        <v>16.617100000000001</v>
      </c>
      <c r="I555" s="8">
        <f>15.5982 * CHOOSE(CONTROL!$C$15, $D$11, 100%, $F$11)</f>
        <v>15.5982</v>
      </c>
      <c r="J555" s="4">
        <f>15.4414 * CHOOSE(CONTROL!$C$15, $D$11, 100%, $F$11)</f>
        <v>15.4414</v>
      </c>
      <c r="K555" s="4"/>
      <c r="L555" s="9">
        <v>28.360600000000002</v>
      </c>
      <c r="M555" s="9">
        <v>11.6745</v>
      </c>
      <c r="N555" s="9">
        <v>4.7850000000000001</v>
      </c>
      <c r="O555" s="9">
        <v>0.36199999999999999</v>
      </c>
      <c r="P555" s="9">
        <v>1.2509999999999999</v>
      </c>
      <c r="Q555" s="9">
        <v>19.053000000000001</v>
      </c>
      <c r="R555" s="9"/>
      <c r="S555" s="11"/>
    </row>
    <row r="556" spans="1:19" ht="15.75">
      <c r="A556" s="13">
        <v>58440</v>
      </c>
      <c r="B556" s="8">
        <f>16.0689 * CHOOSE(CONTROL!$C$15, $D$11, 100%, $F$11)</f>
        <v>16.068899999999999</v>
      </c>
      <c r="C556" s="8">
        <f>16.0797 * CHOOSE(CONTROL!$C$15, $D$11, 100%, $F$11)</f>
        <v>16.079699999999999</v>
      </c>
      <c r="D556" s="8">
        <f>16.0641 * CHOOSE( CONTROL!$C$15, $D$11, 100%, $F$11)</f>
        <v>16.0641</v>
      </c>
      <c r="E556" s="12">
        <f>16.0687 * CHOOSE( CONTROL!$C$15, $D$11, 100%, $F$11)</f>
        <v>16.0687</v>
      </c>
      <c r="F556" s="4">
        <f>16.7274 * CHOOSE(CONTROL!$C$15, $D$11, 100%, $F$11)</f>
        <v>16.727399999999999</v>
      </c>
      <c r="G556" s="8">
        <f>15.7105 * CHOOSE( CONTROL!$C$15, $D$11, 100%, $F$11)</f>
        <v>15.7105</v>
      </c>
      <c r="H556" s="4">
        <f>16.5885 * CHOOSE(CONTROL!$C$15, $D$11, 100%, $F$11)</f>
        <v>16.5885</v>
      </c>
      <c r="I556" s="8">
        <f>15.5753 * CHOOSE(CONTROL!$C$15, $D$11, 100%, $F$11)</f>
        <v>15.5753</v>
      </c>
      <c r="J556" s="4">
        <f>15.4133 * CHOOSE(CONTROL!$C$15, $D$11, 100%, $F$11)</f>
        <v>15.4133</v>
      </c>
      <c r="K556" s="4"/>
      <c r="L556" s="9">
        <v>29.306000000000001</v>
      </c>
      <c r="M556" s="9">
        <v>12.063700000000001</v>
      </c>
      <c r="N556" s="9">
        <v>4.9444999999999997</v>
      </c>
      <c r="O556" s="9">
        <v>0.37409999999999999</v>
      </c>
      <c r="P556" s="9">
        <v>1.2927</v>
      </c>
      <c r="Q556" s="9">
        <v>19.688099999999999</v>
      </c>
      <c r="R556" s="9"/>
      <c r="S556" s="11"/>
    </row>
    <row r="557" spans="1:19" ht="15.75">
      <c r="A557" s="13">
        <v>58471</v>
      </c>
      <c r="B557" s="8">
        <f>16.5425 * CHOOSE(CONTROL!$C$15, $D$11, 100%, $F$11)</f>
        <v>16.5425</v>
      </c>
      <c r="C557" s="8">
        <f>16.5532 * CHOOSE(CONTROL!$C$15, $D$11, 100%, $F$11)</f>
        <v>16.5532</v>
      </c>
      <c r="D557" s="8">
        <f>16.5346 * CHOOSE( CONTROL!$C$15, $D$11, 100%, $F$11)</f>
        <v>16.534600000000001</v>
      </c>
      <c r="E557" s="12">
        <f>16.5403 * CHOOSE( CONTROL!$C$15, $D$11, 100%, $F$11)</f>
        <v>16.540299999999998</v>
      </c>
      <c r="F557" s="4">
        <f>17.201 * CHOOSE(CONTROL!$C$15, $D$11, 100%, $F$11)</f>
        <v>17.201000000000001</v>
      </c>
      <c r="G557" s="8">
        <f>16.1659 * CHOOSE( CONTROL!$C$15, $D$11, 100%, $F$11)</f>
        <v>16.165900000000001</v>
      </c>
      <c r="H557" s="4">
        <f>17.0515 * CHOOSE(CONTROL!$C$15, $D$11, 100%, $F$11)</f>
        <v>17.051500000000001</v>
      </c>
      <c r="I557" s="8">
        <f>15.995 * CHOOSE(CONTROL!$C$15, $D$11, 100%, $F$11)</f>
        <v>15.994999999999999</v>
      </c>
      <c r="J557" s="4">
        <f>15.868 * CHOOSE(CONTROL!$C$15, $D$11, 100%, $F$11)</f>
        <v>15.868</v>
      </c>
      <c r="K557" s="4"/>
      <c r="L557" s="9">
        <v>29.306000000000001</v>
      </c>
      <c r="M557" s="9">
        <v>12.063700000000001</v>
      </c>
      <c r="N557" s="9">
        <v>4.9444999999999997</v>
      </c>
      <c r="O557" s="9">
        <v>0.37409999999999999</v>
      </c>
      <c r="P557" s="9">
        <v>1.2927</v>
      </c>
      <c r="Q557" s="9">
        <v>19.688099999999999</v>
      </c>
      <c r="R557" s="9"/>
      <c r="S557" s="11"/>
    </row>
    <row r="558" spans="1:19" ht="15.75">
      <c r="A558" s="13">
        <v>58499</v>
      </c>
      <c r="B558" s="8">
        <f>15.474 * CHOOSE(CONTROL!$C$15, $D$11, 100%, $F$11)</f>
        <v>15.474</v>
      </c>
      <c r="C558" s="8">
        <f>15.4848 * CHOOSE(CONTROL!$C$15, $D$11, 100%, $F$11)</f>
        <v>15.4848</v>
      </c>
      <c r="D558" s="8">
        <f>15.4661 * CHOOSE( CONTROL!$C$15, $D$11, 100%, $F$11)</f>
        <v>15.466100000000001</v>
      </c>
      <c r="E558" s="12">
        <f>15.4718 * CHOOSE( CONTROL!$C$15, $D$11, 100%, $F$11)</f>
        <v>15.4718</v>
      </c>
      <c r="F558" s="4">
        <f>16.1325 * CHOOSE(CONTROL!$C$15, $D$11, 100%, $F$11)</f>
        <v>16.1325</v>
      </c>
      <c r="G558" s="8">
        <f>15.1212 * CHOOSE( CONTROL!$C$15, $D$11, 100%, $F$11)</f>
        <v>15.1212</v>
      </c>
      <c r="H558" s="4">
        <f>16.0069 * CHOOSE(CONTROL!$C$15, $D$11, 100%, $F$11)</f>
        <v>16.006900000000002</v>
      </c>
      <c r="I558" s="8">
        <f>14.9684 * CHOOSE(CONTROL!$C$15, $D$11, 100%, $F$11)</f>
        <v>14.968400000000001</v>
      </c>
      <c r="J558" s="4">
        <f>14.8421 * CHOOSE(CONTROL!$C$15, $D$11, 100%, $F$11)</f>
        <v>14.8421</v>
      </c>
      <c r="K558" s="4"/>
      <c r="L558" s="9">
        <v>27.415299999999998</v>
      </c>
      <c r="M558" s="9">
        <v>11.285299999999999</v>
      </c>
      <c r="N558" s="9">
        <v>4.6254999999999997</v>
      </c>
      <c r="O558" s="9">
        <v>0.34989999999999999</v>
      </c>
      <c r="P558" s="9">
        <v>1.2093</v>
      </c>
      <c r="Q558" s="9">
        <v>18.417899999999999</v>
      </c>
      <c r="R558" s="9"/>
      <c r="S558" s="11"/>
    </row>
    <row r="559" spans="1:19" ht="15.75">
      <c r="A559" s="13">
        <v>58531</v>
      </c>
      <c r="B559" s="8">
        <f>15.1449 * CHOOSE(CONTROL!$C$15, $D$11, 100%, $F$11)</f>
        <v>15.1449</v>
      </c>
      <c r="C559" s="8">
        <f>15.1557 * CHOOSE(CONTROL!$C$15, $D$11, 100%, $F$11)</f>
        <v>15.1557</v>
      </c>
      <c r="D559" s="8">
        <f>15.1365 * CHOOSE( CONTROL!$C$15, $D$11, 100%, $F$11)</f>
        <v>15.1365</v>
      </c>
      <c r="E559" s="12">
        <f>15.1424 * CHOOSE( CONTROL!$C$15, $D$11, 100%, $F$11)</f>
        <v>15.1424</v>
      </c>
      <c r="F559" s="4">
        <f>15.8034 * CHOOSE(CONTROL!$C$15, $D$11, 100%, $F$11)</f>
        <v>15.8034</v>
      </c>
      <c r="G559" s="8">
        <f>14.7991 * CHOOSE( CONTROL!$C$15, $D$11, 100%, $F$11)</f>
        <v>14.799099999999999</v>
      </c>
      <c r="H559" s="4">
        <f>15.6851 * CHOOSE(CONTROL!$C$15, $D$11, 100%, $F$11)</f>
        <v>15.6851</v>
      </c>
      <c r="I559" s="8">
        <f>14.6508 * CHOOSE(CONTROL!$C$15, $D$11, 100%, $F$11)</f>
        <v>14.6508</v>
      </c>
      <c r="J559" s="4">
        <f>14.5262 * CHOOSE(CONTROL!$C$15, $D$11, 100%, $F$11)</f>
        <v>14.526199999999999</v>
      </c>
      <c r="K559" s="4"/>
      <c r="L559" s="9">
        <v>29.306000000000001</v>
      </c>
      <c r="M559" s="9">
        <v>12.063700000000001</v>
      </c>
      <c r="N559" s="9">
        <v>4.9444999999999997</v>
      </c>
      <c r="O559" s="9">
        <v>0.37409999999999999</v>
      </c>
      <c r="P559" s="9">
        <v>1.2927</v>
      </c>
      <c r="Q559" s="9">
        <v>19.688099999999999</v>
      </c>
      <c r="R559" s="9"/>
      <c r="S559" s="11"/>
    </row>
    <row r="560" spans="1:19" ht="15.75">
      <c r="A560" s="13">
        <v>58561</v>
      </c>
      <c r="B560" s="8">
        <f>15.3748 * CHOOSE(CONTROL!$C$15, $D$11, 100%, $F$11)</f>
        <v>15.3748</v>
      </c>
      <c r="C560" s="8">
        <f>15.3856 * CHOOSE(CONTROL!$C$15, $D$11, 100%, $F$11)</f>
        <v>15.3856</v>
      </c>
      <c r="D560" s="8">
        <f>15.4226 * CHOOSE( CONTROL!$C$15, $D$11, 100%, $F$11)</f>
        <v>15.422599999999999</v>
      </c>
      <c r="E560" s="12">
        <f>15.4091 * CHOOSE( CONTROL!$C$15, $D$11, 100%, $F$11)</f>
        <v>15.4091</v>
      </c>
      <c r="F560" s="4">
        <f>16.1141 * CHOOSE(CONTROL!$C$15, $D$11, 100%, $F$11)</f>
        <v>16.114100000000001</v>
      </c>
      <c r="G560" s="8">
        <f>15.0232 * CHOOSE( CONTROL!$C$15, $D$11, 100%, $F$11)</f>
        <v>15.023199999999999</v>
      </c>
      <c r="H560" s="4">
        <f>15.9889 * CHOOSE(CONTROL!$C$15, $D$11, 100%, $F$11)</f>
        <v>15.988899999999999</v>
      </c>
      <c r="I560" s="8">
        <f>14.8635 * CHOOSE(CONTROL!$C$15, $D$11, 100%, $F$11)</f>
        <v>14.8635</v>
      </c>
      <c r="J560" s="4">
        <f>14.747 * CHOOSE(CONTROL!$C$15, $D$11, 100%, $F$11)</f>
        <v>14.747</v>
      </c>
      <c r="K560" s="4"/>
      <c r="L560" s="9">
        <v>30.092199999999998</v>
      </c>
      <c r="M560" s="9">
        <v>11.6745</v>
      </c>
      <c r="N560" s="9">
        <v>4.7850000000000001</v>
      </c>
      <c r="O560" s="9">
        <v>0.36199999999999999</v>
      </c>
      <c r="P560" s="9">
        <v>1.1791</v>
      </c>
      <c r="Q560" s="9">
        <v>19.053000000000001</v>
      </c>
      <c r="R560" s="9"/>
      <c r="S560" s="11"/>
    </row>
    <row r="561" spans="1:19" ht="15.75">
      <c r="A561" s="13">
        <v>58592</v>
      </c>
      <c r="B561" s="8">
        <f>CHOOSE( CONTROL!$C$32, 15.7864, 15.784) * CHOOSE(CONTROL!$C$15, $D$11, 100%, $F$11)</f>
        <v>15.7864</v>
      </c>
      <c r="C561" s="8">
        <f>CHOOSE( CONTROL!$C$32, 15.797, 15.7946) * CHOOSE(CONTROL!$C$15, $D$11, 100%, $F$11)</f>
        <v>15.797000000000001</v>
      </c>
      <c r="D561" s="8">
        <f>CHOOSE( CONTROL!$C$32, 15.8328, 15.8304) * CHOOSE( CONTROL!$C$15, $D$11, 100%, $F$11)</f>
        <v>15.832800000000001</v>
      </c>
      <c r="E561" s="12">
        <f>CHOOSE( CONTROL!$C$32, 15.8182, 15.8158) * CHOOSE( CONTROL!$C$15, $D$11, 100%, $F$11)</f>
        <v>15.818199999999999</v>
      </c>
      <c r="F561" s="4">
        <f>CHOOSE( CONTROL!$C$32, 16.5258, 16.5234) * CHOOSE(CONTROL!$C$15, $D$11, 100%, $F$11)</f>
        <v>16.5258</v>
      </c>
      <c r="G561" s="8">
        <f>CHOOSE( CONTROL!$C$32, 15.4262, 15.4238) * CHOOSE( CONTROL!$C$15, $D$11, 100%, $F$11)</f>
        <v>15.4262</v>
      </c>
      <c r="H561" s="4">
        <f>CHOOSE( CONTROL!$C$32, 16.3914, 16.389) * CHOOSE(CONTROL!$C$15, $D$11, 100%, $F$11)</f>
        <v>16.391400000000001</v>
      </c>
      <c r="I561" s="8">
        <f>CHOOSE( CONTROL!$C$32, 15.259, 15.2567) * CHOOSE(CONTROL!$C$15, $D$11, 100%, $F$11)</f>
        <v>15.259</v>
      </c>
      <c r="J561" s="4">
        <f>CHOOSE( CONTROL!$C$32, 15.1422, 15.1399) * CHOOSE(CONTROL!$C$15, $D$11, 100%, $F$11)</f>
        <v>15.142200000000001</v>
      </c>
      <c r="K561" s="4"/>
      <c r="L561" s="9">
        <v>30.7165</v>
      </c>
      <c r="M561" s="9">
        <v>12.063700000000001</v>
      </c>
      <c r="N561" s="9">
        <v>4.9444999999999997</v>
      </c>
      <c r="O561" s="9">
        <v>0.37409999999999999</v>
      </c>
      <c r="P561" s="9">
        <v>1.2183999999999999</v>
      </c>
      <c r="Q561" s="9">
        <v>19.688099999999999</v>
      </c>
      <c r="R561" s="9"/>
      <c r="S561" s="11"/>
    </row>
    <row r="562" spans="1:19" ht="15.75">
      <c r="A562" s="13">
        <v>58622</v>
      </c>
      <c r="B562" s="8">
        <f>CHOOSE( CONTROL!$C$32, 15.5329, 15.5305) * CHOOSE(CONTROL!$C$15, $D$11, 100%, $F$11)</f>
        <v>15.5329</v>
      </c>
      <c r="C562" s="8">
        <f>CHOOSE( CONTROL!$C$32, 15.5435, 15.5411) * CHOOSE(CONTROL!$C$15, $D$11, 100%, $F$11)</f>
        <v>15.5435</v>
      </c>
      <c r="D562" s="8">
        <f>CHOOSE( CONTROL!$C$32, 15.5795, 15.5771) * CHOOSE( CONTROL!$C$15, $D$11, 100%, $F$11)</f>
        <v>15.579499999999999</v>
      </c>
      <c r="E562" s="12">
        <f>CHOOSE( CONTROL!$C$32, 15.5648, 15.5624) * CHOOSE( CONTROL!$C$15, $D$11, 100%, $F$11)</f>
        <v>15.5648</v>
      </c>
      <c r="F562" s="4">
        <f>CHOOSE( CONTROL!$C$32, 16.2722, 16.2699) * CHOOSE(CONTROL!$C$15, $D$11, 100%, $F$11)</f>
        <v>16.272200000000002</v>
      </c>
      <c r="G562" s="8">
        <f>CHOOSE( CONTROL!$C$32, 15.1786, 15.1763) * CHOOSE( CONTROL!$C$15, $D$11, 100%, $F$11)</f>
        <v>15.178599999999999</v>
      </c>
      <c r="H562" s="4">
        <f>CHOOSE( CONTROL!$C$32, 16.1435, 16.1411) * CHOOSE(CONTROL!$C$15, $D$11, 100%, $F$11)</f>
        <v>16.1435</v>
      </c>
      <c r="I562" s="8">
        <f>CHOOSE( CONTROL!$C$32, 15.0164, 15.0141) * CHOOSE(CONTROL!$C$15, $D$11, 100%, $F$11)</f>
        <v>15.016400000000001</v>
      </c>
      <c r="J562" s="4">
        <f>CHOOSE( CONTROL!$C$32, 14.8988, 14.8965) * CHOOSE(CONTROL!$C$15, $D$11, 100%, $F$11)</f>
        <v>14.8988</v>
      </c>
      <c r="K562" s="4"/>
      <c r="L562" s="9">
        <v>29.7257</v>
      </c>
      <c r="M562" s="9">
        <v>11.6745</v>
      </c>
      <c r="N562" s="9">
        <v>4.7850000000000001</v>
      </c>
      <c r="O562" s="9">
        <v>0.36199999999999999</v>
      </c>
      <c r="P562" s="9">
        <v>1.1791</v>
      </c>
      <c r="Q562" s="9">
        <v>19.053000000000001</v>
      </c>
      <c r="R562" s="9"/>
      <c r="S562" s="11"/>
    </row>
    <row r="563" spans="1:19" ht="15.75">
      <c r="A563" s="13">
        <v>58653</v>
      </c>
      <c r="B563" s="8">
        <f>CHOOSE( CONTROL!$C$32, 16.2005, 16.1981) * CHOOSE(CONTROL!$C$15, $D$11, 100%, $F$11)</f>
        <v>16.200500000000002</v>
      </c>
      <c r="C563" s="8">
        <f>CHOOSE( CONTROL!$C$32, 16.2111, 16.2087) * CHOOSE(CONTROL!$C$15, $D$11, 100%, $F$11)</f>
        <v>16.211099999999998</v>
      </c>
      <c r="D563" s="8">
        <f>CHOOSE( CONTROL!$C$32, 16.2473, 16.2449) * CHOOSE( CONTROL!$C$15, $D$11, 100%, $F$11)</f>
        <v>16.247299999999999</v>
      </c>
      <c r="E563" s="12">
        <f>CHOOSE( CONTROL!$C$32, 16.2326, 16.2302) * CHOOSE( CONTROL!$C$15, $D$11, 100%, $F$11)</f>
        <v>16.232600000000001</v>
      </c>
      <c r="F563" s="4">
        <f>CHOOSE( CONTROL!$C$32, 16.9399, 16.9375) * CHOOSE(CONTROL!$C$15, $D$11, 100%, $F$11)</f>
        <v>16.939900000000002</v>
      </c>
      <c r="G563" s="8">
        <f>CHOOSE( CONTROL!$C$32, 15.8317, 15.8293) * CHOOSE( CONTROL!$C$15, $D$11, 100%, $F$11)</f>
        <v>15.8317</v>
      </c>
      <c r="H563" s="4">
        <f>CHOOSE( CONTROL!$C$32, 16.7962, 16.7939) * CHOOSE(CONTROL!$C$15, $D$11, 100%, $F$11)</f>
        <v>16.796199999999999</v>
      </c>
      <c r="I563" s="8">
        <f>CHOOSE( CONTROL!$C$32, 15.6587, 15.6564) * CHOOSE(CONTROL!$C$15, $D$11, 100%, $F$11)</f>
        <v>15.6587</v>
      </c>
      <c r="J563" s="4">
        <f>CHOOSE( CONTROL!$C$32, 15.5398, 15.5375) * CHOOSE(CONTROL!$C$15, $D$11, 100%, $F$11)</f>
        <v>15.5398</v>
      </c>
      <c r="K563" s="4"/>
      <c r="L563" s="9">
        <v>30.7165</v>
      </c>
      <c r="M563" s="9">
        <v>12.063700000000001</v>
      </c>
      <c r="N563" s="9">
        <v>4.9444999999999997</v>
      </c>
      <c r="O563" s="9">
        <v>0.37409999999999999</v>
      </c>
      <c r="P563" s="9">
        <v>1.2183999999999999</v>
      </c>
      <c r="Q563" s="9">
        <v>19.688099999999999</v>
      </c>
      <c r="R563" s="9"/>
      <c r="S563" s="11"/>
    </row>
    <row r="564" spans="1:19" ht="15.75">
      <c r="A564" s="13">
        <v>58684</v>
      </c>
      <c r="B564" s="8">
        <f>CHOOSE( CONTROL!$C$32, 14.9513, 14.9489) * CHOOSE(CONTROL!$C$15, $D$11, 100%, $F$11)</f>
        <v>14.9513</v>
      </c>
      <c r="C564" s="8">
        <f>CHOOSE( CONTROL!$C$32, 14.9619, 14.9595) * CHOOSE(CONTROL!$C$15, $D$11, 100%, $F$11)</f>
        <v>14.9619</v>
      </c>
      <c r="D564" s="8">
        <f>CHOOSE( CONTROL!$C$32, 14.9982, 14.9958) * CHOOSE( CONTROL!$C$15, $D$11, 100%, $F$11)</f>
        <v>14.998200000000001</v>
      </c>
      <c r="E564" s="12">
        <f>CHOOSE( CONTROL!$C$32, 14.9834, 14.981) * CHOOSE( CONTROL!$C$15, $D$11, 100%, $F$11)</f>
        <v>14.9834</v>
      </c>
      <c r="F564" s="4">
        <f>CHOOSE( CONTROL!$C$32, 15.6907, 15.6883) * CHOOSE(CONTROL!$C$15, $D$11, 100%, $F$11)</f>
        <v>15.6907</v>
      </c>
      <c r="G564" s="8">
        <f>CHOOSE( CONTROL!$C$32, 14.6104, 14.608) * CHOOSE( CONTROL!$C$15, $D$11, 100%, $F$11)</f>
        <v>14.6104</v>
      </c>
      <c r="H564" s="4">
        <f>CHOOSE( CONTROL!$C$32, 15.5749, 15.5725) * CHOOSE(CONTROL!$C$15, $D$11, 100%, $F$11)</f>
        <v>15.5749</v>
      </c>
      <c r="I564" s="8">
        <f>CHOOSE( CONTROL!$C$32, 14.459, 14.4567) * CHOOSE(CONTROL!$C$15, $D$11, 100%, $F$11)</f>
        <v>14.459</v>
      </c>
      <c r="J564" s="4">
        <f>CHOOSE( CONTROL!$C$32, 14.3404, 14.3381) * CHOOSE(CONTROL!$C$15, $D$11, 100%, $F$11)</f>
        <v>14.340400000000001</v>
      </c>
      <c r="K564" s="4"/>
      <c r="L564" s="9">
        <v>30.7165</v>
      </c>
      <c r="M564" s="9">
        <v>12.063700000000001</v>
      </c>
      <c r="N564" s="9">
        <v>4.9444999999999997</v>
      </c>
      <c r="O564" s="9">
        <v>0.37409999999999999</v>
      </c>
      <c r="P564" s="9">
        <v>1.2183999999999999</v>
      </c>
      <c r="Q564" s="9">
        <v>19.688099999999999</v>
      </c>
      <c r="R564" s="9"/>
      <c r="S564" s="11"/>
    </row>
    <row r="565" spans="1:19" ht="15.75">
      <c r="A565" s="13">
        <v>58714</v>
      </c>
      <c r="B565" s="8">
        <f>CHOOSE( CONTROL!$C$32, 14.6385, 14.6361) * CHOOSE(CONTROL!$C$15, $D$11, 100%, $F$11)</f>
        <v>14.638500000000001</v>
      </c>
      <c r="C565" s="8">
        <f>CHOOSE( CONTROL!$C$32, 14.649, 14.6467) * CHOOSE(CONTROL!$C$15, $D$11, 100%, $F$11)</f>
        <v>14.648999999999999</v>
      </c>
      <c r="D565" s="8">
        <f>CHOOSE( CONTROL!$C$32, 14.6853, 14.6829) * CHOOSE( CONTROL!$C$15, $D$11, 100%, $F$11)</f>
        <v>14.6853</v>
      </c>
      <c r="E565" s="12">
        <f>CHOOSE( CONTROL!$C$32, 14.6705, 14.6682) * CHOOSE( CONTROL!$C$15, $D$11, 100%, $F$11)</f>
        <v>14.670500000000001</v>
      </c>
      <c r="F565" s="4">
        <f>CHOOSE( CONTROL!$C$32, 15.3778, 15.3754) * CHOOSE(CONTROL!$C$15, $D$11, 100%, $F$11)</f>
        <v>15.377800000000001</v>
      </c>
      <c r="G565" s="8">
        <f>CHOOSE( CONTROL!$C$32, 14.3044, 14.3021) * CHOOSE( CONTROL!$C$15, $D$11, 100%, $F$11)</f>
        <v>14.304399999999999</v>
      </c>
      <c r="H565" s="4">
        <f>CHOOSE( CONTROL!$C$32, 15.269, 15.2667) * CHOOSE(CONTROL!$C$15, $D$11, 100%, $F$11)</f>
        <v>15.269</v>
      </c>
      <c r="I565" s="8">
        <f>CHOOSE( CONTROL!$C$32, 14.1582, 14.1559) * CHOOSE(CONTROL!$C$15, $D$11, 100%, $F$11)</f>
        <v>14.158200000000001</v>
      </c>
      <c r="J565" s="4">
        <f>CHOOSE( CONTROL!$C$32, 14.0401, 14.0378) * CHOOSE(CONTROL!$C$15, $D$11, 100%, $F$11)</f>
        <v>14.040100000000001</v>
      </c>
      <c r="K565" s="4"/>
      <c r="L565" s="9">
        <v>29.7257</v>
      </c>
      <c r="M565" s="9">
        <v>11.6745</v>
      </c>
      <c r="N565" s="9">
        <v>4.7850000000000001</v>
      </c>
      <c r="O565" s="9">
        <v>0.36199999999999999</v>
      </c>
      <c r="P565" s="9">
        <v>1.1791</v>
      </c>
      <c r="Q565" s="9">
        <v>19.053000000000001</v>
      </c>
      <c r="R565" s="9"/>
      <c r="S565" s="11"/>
    </row>
    <row r="566" spans="1:19" ht="15.75">
      <c r="A566" s="13">
        <v>58745</v>
      </c>
      <c r="B566" s="8">
        <f>15.2857 * CHOOSE(CONTROL!$C$15, $D$11, 100%, $F$11)</f>
        <v>15.2857</v>
      </c>
      <c r="C566" s="8">
        <f>15.2965 * CHOOSE(CONTROL!$C$15, $D$11, 100%, $F$11)</f>
        <v>15.2965</v>
      </c>
      <c r="D566" s="8">
        <f>15.334 * CHOOSE( CONTROL!$C$15, $D$11, 100%, $F$11)</f>
        <v>15.334</v>
      </c>
      <c r="E566" s="12">
        <f>15.3205 * CHOOSE( CONTROL!$C$15, $D$11, 100%, $F$11)</f>
        <v>15.320499999999999</v>
      </c>
      <c r="F566" s="4">
        <f>16.025 * CHOOSE(CONTROL!$C$15, $D$11, 100%, $F$11)</f>
        <v>16.024999999999999</v>
      </c>
      <c r="G566" s="8">
        <f>14.9369 * CHOOSE( CONTROL!$C$15, $D$11, 100%, $F$11)</f>
        <v>14.9369</v>
      </c>
      <c r="H566" s="4">
        <f>15.9017 * CHOOSE(CONTROL!$C$15, $D$11, 100%, $F$11)</f>
        <v>15.9017</v>
      </c>
      <c r="I566" s="8">
        <f>14.7806 * CHOOSE(CONTROL!$C$15, $D$11, 100%, $F$11)</f>
        <v>14.7806</v>
      </c>
      <c r="J566" s="4">
        <f>14.6614 * CHOOSE(CONTROL!$C$15, $D$11, 100%, $F$11)</f>
        <v>14.6614</v>
      </c>
      <c r="K566" s="4"/>
      <c r="L566" s="9">
        <v>31.095300000000002</v>
      </c>
      <c r="M566" s="9">
        <v>12.063700000000001</v>
      </c>
      <c r="N566" s="9">
        <v>4.9444999999999997</v>
      </c>
      <c r="O566" s="9">
        <v>0.37409999999999999</v>
      </c>
      <c r="P566" s="9">
        <v>1.2183999999999999</v>
      </c>
      <c r="Q566" s="9">
        <v>19.688099999999999</v>
      </c>
      <c r="R566" s="9"/>
      <c r="S566" s="11"/>
    </row>
    <row r="567" spans="1:19" ht="15.75">
      <c r="A567" s="13">
        <v>58775</v>
      </c>
      <c r="B567" s="8">
        <f>16.4846 * CHOOSE(CONTROL!$C$15, $D$11, 100%, $F$11)</f>
        <v>16.4846</v>
      </c>
      <c r="C567" s="8">
        <f>16.4954 * CHOOSE(CONTROL!$C$15, $D$11, 100%, $F$11)</f>
        <v>16.4954</v>
      </c>
      <c r="D567" s="8">
        <f>16.4781 * CHOOSE( CONTROL!$C$15, $D$11, 100%, $F$11)</f>
        <v>16.478100000000001</v>
      </c>
      <c r="E567" s="12">
        <f>16.4833 * CHOOSE( CONTROL!$C$15, $D$11, 100%, $F$11)</f>
        <v>16.4833</v>
      </c>
      <c r="F567" s="4">
        <f>17.1431 * CHOOSE(CONTROL!$C$15, $D$11, 100%, $F$11)</f>
        <v>17.1431</v>
      </c>
      <c r="G567" s="8">
        <f>16.1157 * CHOOSE( CONTROL!$C$15, $D$11, 100%, $F$11)</f>
        <v>16.1157</v>
      </c>
      <c r="H567" s="4">
        <f>16.995 * CHOOSE(CONTROL!$C$15, $D$11, 100%, $F$11)</f>
        <v>16.995000000000001</v>
      </c>
      <c r="I567" s="8">
        <f>15.9694 * CHOOSE(CONTROL!$C$15, $D$11, 100%, $F$11)</f>
        <v>15.9694</v>
      </c>
      <c r="J567" s="4">
        <f>15.8124 * CHOOSE(CONTROL!$C$15, $D$11, 100%, $F$11)</f>
        <v>15.8124</v>
      </c>
      <c r="K567" s="4"/>
      <c r="L567" s="9">
        <v>28.360600000000002</v>
      </c>
      <c r="M567" s="9">
        <v>11.6745</v>
      </c>
      <c r="N567" s="9">
        <v>4.7850000000000001</v>
      </c>
      <c r="O567" s="9">
        <v>0.36199999999999999</v>
      </c>
      <c r="P567" s="9">
        <v>1.2509999999999999</v>
      </c>
      <c r="Q567" s="9">
        <v>19.053000000000001</v>
      </c>
      <c r="R567" s="9"/>
      <c r="S567" s="11"/>
    </row>
    <row r="568" spans="1:19" ht="15.75">
      <c r="A568" s="13">
        <v>58806</v>
      </c>
      <c r="B568" s="8">
        <f>16.4547 * CHOOSE(CONTROL!$C$15, $D$11, 100%, $F$11)</f>
        <v>16.454699999999999</v>
      </c>
      <c r="C568" s="8">
        <f>16.4654 * CHOOSE(CONTROL!$C$15, $D$11, 100%, $F$11)</f>
        <v>16.465399999999999</v>
      </c>
      <c r="D568" s="8">
        <f>16.4499 * CHOOSE( CONTROL!$C$15, $D$11, 100%, $F$11)</f>
        <v>16.4499</v>
      </c>
      <c r="E568" s="12">
        <f>16.4544 * CHOOSE( CONTROL!$C$15, $D$11, 100%, $F$11)</f>
        <v>16.4544</v>
      </c>
      <c r="F568" s="4">
        <f>17.1132 * CHOOSE(CONTROL!$C$15, $D$11, 100%, $F$11)</f>
        <v>17.113199999999999</v>
      </c>
      <c r="G568" s="8">
        <f>16.0876 * CHOOSE( CONTROL!$C$15, $D$11, 100%, $F$11)</f>
        <v>16.087599999999998</v>
      </c>
      <c r="H568" s="4">
        <f>16.9657 * CHOOSE(CONTROL!$C$15, $D$11, 100%, $F$11)</f>
        <v>16.965699999999998</v>
      </c>
      <c r="I568" s="8">
        <f>15.9458 * CHOOSE(CONTROL!$C$15, $D$11, 100%, $F$11)</f>
        <v>15.9458</v>
      </c>
      <c r="J568" s="4">
        <f>15.7837 * CHOOSE(CONTROL!$C$15, $D$11, 100%, $F$11)</f>
        <v>15.7837</v>
      </c>
      <c r="K568" s="4"/>
      <c r="L568" s="9">
        <v>29.306000000000001</v>
      </c>
      <c r="M568" s="9">
        <v>12.063700000000001</v>
      </c>
      <c r="N568" s="9">
        <v>4.9444999999999997</v>
      </c>
      <c r="O568" s="9">
        <v>0.37409999999999999</v>
      </c>
      <c r="P568" s="9">
        <v>1.2927</v>
      </c>
      <c r="Q568" s="9">
        <v>19.688099999999999</v>
      </c>
      <c r="R568" s="9"/>
      <c r="S568" s="11"/>
    </row>
    <row r="569" spans="1:19" ht="15.75">
      <c r="A569" s="13">
        <v>58837</v>
      </c>
      <c r="B569" s="8">
        <f>16.9396 * CHOOSE(CONTROL!$C$15, $D$11, 100%, $F$11)</f>
        <v>16.939599999999999</v>
      </c>
      <c r="C569" s="8">
        <f>16.9504 * CHOOSE(CONTROL!$C$15, $D$11, 100%, $F$11)</f>
        <v>16.950399999999998</v>
      </c>
      <c r="D569" s="8">
        <f>16.9317 * CHOOSE( CONTROL!$C$15, $D$11, 100%, $F$11)</f>
        <v>16.931699999999999</v>
      </c>
      <c r="E569" s="12">
        <f>16.9374 * CHOOSE( CONTROL!$C$15, $D$11, 100%, $F$11)</f>
        <v>16.9374</v>
      </c>
      <c r="F569" s="4">
        <f>17.5981 * CHOOSE(CONTROL!$C$15, $D$11, 100%, $F$11)</f>
        <v>17.598099999999999</v>
      </c>
      <c r="G569" s="8">
        <f>16.5542 * CHOOSE( CONTROL!$C$15, $D$11, 100%, $F$11)</f>
        <v>16.554200000000002</v>
      </c>
      <c r="H569" s="4">
        <f>17.4398 * CHOOSE(CONTROL!$C$15, $D$11, 100%, $F$11)</f>
        <v>17.439800000000002</v>
      </c>
      <c r="I569" s="8">
        <f>16.3765 * CHOOSE(CONTROL!$C$15, $D$11, 100%, $F$11)</f>
        <v>16.3765</v>
      </c>
      <c r="J569" s="4">
        <f>16.2492 * CHOOSE(CONTROL!$C$15, $D$11, 100%, $F$11)</f>
        <v>16.249199999999998</v>
      </c>
      <c r="K569" s="4"/>
      <c r="L569" s="9">
        <v>29.306000000000001</v>
      </c>
      <c r="M569" s="9">
        <v>12.063700000000001</v>
      </c>
      <c r="N569" s="9">
        <v>4.9444999999999997</v>
      </c>
      <c r="O569" s="9">
        <v>0.37409999999999999</v>
      </c>
      <c r="P569" s="9">
        <v>1.2927</v>
      </c>
      <c r="Q569" s="9">
        <v>19.688099999999999</v>
      </c>
      <c r="R569" s="9"/>
      <c r="S569" s="11"/>
    </row>
    <row r="570" spans="1:19" ht="15.75">
      <c r="A570" s="13">
        <v>58865</v>
      </c>
      <c r="B570" s="8">
        <f>15.8455 * CHOOSE(CONTROL!$C$15, $D$11, 100%, $F$11)</f>
        <v>15.845499999999999</v>
      </c>
      <c r="C570" s="8">
        <f>15.8562 * CHOOSE(CONTROL!$C$15, $D$11, 100%, $F$11)</f>
        <v>15.856199999999999</v>
      </c>
      <c r="D570" s="8">
        <f>15.8375 * CHOOSE( CONTROL!$C$15, $D$11, 100%, $F$11)</f>
        <v>15.8375</v>
      </c>
      <c r="E570" s="12">
        <f>15.8432 * CHOOSE( CONTROL!$C$15, $D$11, 100%, $F$11)</f>
        <v>15.8432</v>
      </c>
      <c r="F570" s="4">
        <f>16.504 * CHOOSE(CONTROL!$C$15, $D$11, 100%, $F$11)</f>
        <v>16.504000000000001</v>
      </c>
      <c r="G570" s="8">
        <f>15.4844 * CHOOSE( CONTROL!$C$15, $D$11, 100%, $F$11)</f>
        <v>15.484400000000001</v>
      </c>
      <c r="H570" s="4">
        <f>16.37 * CHOOSE(CONTROL!$C$15, $D$11, 100%, $F$11)</f>
        <v>16.37</v>
      </c>
      <c r="I570" s="8">
        <f>15.3252 * CHOOSE(CONTROL!$C$15, $D$11, 100%, $F$11)</f>
        <v>15.325200000000001</v>
      </c>
      <c r="J570" s="4">
        <f>15.1988 * CHOOSE(CONTROL!$C$15, $D$11, 100%, $F$11)</f>
        <v>15.1988</v>
      </c>
      <c r="K570" s="4"/>
      <c r="L570" s="9">
        <v>26.469899999999999</v>
      </c>
      <c r="M570" s="9">
        <v>10.8962</v>
      </c>
      <c r="N570" s="9">
        <v>4.4660000000000002</v>
      </c>
      <c r="O570" s="9">
        <v>0.33789999999999998</v>
      </c>
      <c r="P570" s="9">
        <v>1.1676</v>
      </c>
      <c r="Q570" s="9">
        <v>17.782800000000002</v>
      </c>
      <c r="R570" s="9"/>
      <c r="S570" s="11"/>
    </row>
    <row r="571" spans="1:19" ht="15.75">
      <c r="A571" s="13">
        <v>58893</v>
      </c>
      <c r="B571" s="8">
        <f>15.5085 * CHOOSE(CONTROL!$C$15, $D$11, 100%, $F$11)</f>
        <v>15.5085</v>
      </c>
      <c r="C571" s="8">
        <f>15.5192 * CHOOSE(CONTROL!$C$15, $D$11, 100%, $F$11)</f>
        <v>15.5192</v>
      </c>
      <c r="D571" s="8">
        <f>15.5 * CHOOSE( CONTROL!$C$15, $D$11, 100%, $F$11)</f>
        <v>15.5</v>
      </c>
      <c r="E571" s="12">
        <f>15.5059 * CHOOSE( CONTROL!$C$15, $D$11, 100%, $F$11)</f>
        <v>15.5059</v>
      </c>
      <c r="F571" s="4">
        <f>16.167 * CHOOSE(CONTROL!$C$15, $D$11, 100%, $F$11)</f>
        <v>16.167000000000002</v>
      </c>
      <c r="G571" s="8">
        <f>15.1546 * CHOOSE( CONTROL!$C$15, $D$11, 100%, $F$11)</f>
        <v>15.1546</v>
      </c>
      <c r="H571" s="4">
        <f>16.0406 * CHOOSE(CONTROL!$C$15, $D$11, 100%, $F$11)</f>
        <v>16.040600000000001</v>
      </c>
      <c r="I571" s="8">
        <f>15 * CHOOSE(CONTROL!$C$15, $D$11, 100%, $F$11)</f>
        <v>15</v>
      </c>
      <c r="J571" s="4">
        <f>14.8752 * CHOOSE(CONTROL!$C$15, $D$11, 100%, $F$11)</f>
        <v>14.8752</v>
      </c>
      <c r="K571" s="4"/>
      <c r="L571" s="9">
        <v>29.306000000000001</v>
      </c>
      <c r="M571" s="9">
        <v>12.063700000000001</v>
      </c>
      <c r="N571" s="9">
        <v>4.9444999999999997</v>
      </c>
      <c r="O571" s="9">
        <v>0.37409999999999999</v>
      </c>
      <c r="P571" s="9">
        <v>1.2927</v>
      </c>
      <c r="Q571" s="9">
        <v>19.688099999999999</v>
      </c>
      <c r="R571" s="9"/>
      <c r="S571" s="11"/>
    </row>
    <row r="572" spans="1:19" ht="15.75">
      <c r="A572" s="13">
        <v>58926</v>
      </c>
      <c r="B572" s="8">
        <f>15.7439 * CHOOSE(CONTROL!$C$15, $D$11, 100%, $F$11)</f>
        <v>15.7439</v>
      </c>
      <c r="C572" s="8">
        <f>15.7547 * CHOOSE(CONTROL!$C$15, $D$11, 100%, $F$11)</f>
        <v>15.7547</v>
      </c>
      <c r="D572" s="8">
        <f>15.7916 * CHOOSE( CONTROL!$C$15, $D$11, 100%, $F$11)</f>
        <v>15.791600000000001</v>
      </c>
      <c r="E572" s="12">
        <f>15.7782 * CHOOSE( CONTROL!$C$15, $D$11, 100%, $F$11)</f>
        <v>15.7782</v>
      </c>
      <c r="F572" s="4">
        <f>16.4832 * CHOOSE(CONTROL!$C$15, $D$11, 100%, $F$11)</f>
        <v>16.4832</v>
      </c>
      <c r="G572" s="8">
        <f>15.384 * CHOOSE( CONTROL!$C$15, $D$11, 100%, $F$11)</f>
        <v>15.384</v>
      </c>
      <c r="H572" s="4">
        <f>16.3497 * CHOOSE(CONTROL!$C$15, $D$11, 100%, $F$11)</f>
        <v>16.349699999999999</v>
      </c>
      <c r="I572" s="8">
        <f>15.218 * CHOOSE(CONTROL!$C$15, $D$11, 100%, $F$11)</f>
        <v>15.218</v>
      </c>
      <c r="J572" s="4">
        <f>15.1013 * CHOOSE(CONTROL!$C$15, $D$11, 100%, $F$11)</f>
        <v>15.1013</v>
      </c>
      <c r="K572" s="4"/>
      <c r="L572" s="9">
        <v>30.092199999999998</v>
      </c>
      <c r="M572" s="9">
        <v>11.6745</v>
      </c>
      <c r="N572" s="9">
        <v>4.7850000000000001</v>
      </c>
      <c r="O572" s="9">
        <v>0.36199999999999999</v>
      </c>
      <c r="P572" s="9">
        <v>1.1791</v>
      </c>
      <c r="Q572" s="9">
        <v>19.053000000000001</v>
      </c>
      <c r="R572" s="9"/>
      <c r="S572" s="11"/>
    </row>
    <row r="573" spans="1:19" ht="15.75">
      <c r="A573" s="13">
        <v>58957</v>
      </c>
      <c r="B573" s="8">
        <f>CHOOSE( CONTROL!$C$32, 16.1653, 16.1629) * CHOOSE(CONTROL!$C$15, $D$11, 100%, $F$11)</f>
        <v>16.165299999999998</v>
      </c>
      <c r="C573" s="8">
        <f>CHOOSE( CONTROL!$C$32, 16.1759, 16.1735) * CHOOSE(CONTROL!$C$15, $D$11, 100%, $F$11)</f>
        <v>16.175899999999999</v>
      </c>
      <c r="D573" s="8">
        <f>CHOOSE( CONTROL!$C$32, 16.2117, 16.2093) * CHOOSE( CONTROL!$C$15, $D$11, 100%, $F$11)</f>
        <v>16.2117</v>
      </c>
      <c r="E573" s="12">
        <f>CHOOSE( CONTROL!$C$32, 16.1971, 16.1947) * CHOOSE( CONTROL!$C$15, $D$11, 100%, $F$11)</f>
        <v>16.197099999999999</v>
      </c>
      <c r="F573" s="4">
        <f>CHOOSE( CONTROL!$C$32, 16.9047, 16.9023) * CHOOSE(CONTROL!$C$15, $D$11, 100%, $F$11)</f>
        <v>16.904699999999998</v>
      </c>
      <c r="G573" s="8">
        <f>CHOOSE( CONTROL!$C$32, 15.7966, 15.7943) * CHOOSE( CONTROL!$C$15, $D$11, 100%, $F$11)</f>
        <v>15.7966</v>
      </c>
      <c r="H573" s="4">
        <f>CHOOSE( CONTROL!$C$32, 16.7618, 16.7595) * CHOOSE(CONTROL!$C$15, $D$11, 100%, $F$11)</f>
        <v>16.761800000000001</v>
      </c>
      <c r="I573" s="8">
        <f>CHOOSE( CONTROL!$C$32, 15.623, 15.6207) * CHOOSE(CONTROL!$C$15, $D$11, 100%, $F$11)</f>
        <v>15.622999999999999</v>
      </c>
      <c r="J573" s="4">
        <f>CHOOSE( CONTROL!$C$32, 15.506, 15.5037) * CHOOSE(CONTROL!$C$15, $D$11, 100%, $F$11)</f>
        <v>15.506</v>
      </c>
      <c r="K573" s="4"/>
      <c r="L573" s="9">
        <v>30.7165</v>
      </c>
      <c r="M573" s="9">
        <v>12.063700000000001</v>
      </c>
      <c r="N573" s="9">
        <v>4.9444999999999997</v>
      </c>
      <c r="O573" s="9">
        <v>0.37409999999999999</v>
      </c>
      <c r="P573" s="9">
        <v>1.2183999999999999</v>
      </c>
      <c r="Q573" s="9">
        <v>19.688099999999999</v>
      </c>
      <c r="R573" s="9"/>
      <c r="S573" s="11"/>
    </row>
    <row r="574" spans="1:19" ht="15.75">
      <c r="A574" s="13">
        <v>58987</v>
      </c>
      <c r="B574" s="8">
        <f>CHOOSE( CONTROL!$C$32, 15.9057, 15.9033) * CHOOSE(CONTROL!$C$15, $D$11, 100%, $F$11)</f>
        <v>15.9057</v>
      </c>
      <c r="C574" s="8">
        <f>CHOOSE( CONTROL!$C$32, 15.9163, 15.9139) * CHOOSE(CONTROL!$C$15, $D$11, 100%, $F$11)</f>
        <v>15.9163</v>
      </c>
      <c r="D574" s="8">
        <f>CHOOSE( CONTROL!$C$32, 15.9523, 15.9499) * CHOOSE( CONTROL!$C$15, $D$11, 100%, $F$11)</f>
        <v>15.952299999999999</v>
      </c>
      <c r="E574" s="12">
        <f>CHOOSE( CONTROL!$C$32, 15.9376, 15.9352) * CHOOSE( CONTROL!$C$15, $D$11, 100%, $F$11)</f>
        <v>15.9376</v>
      </c>
      <c r="F574" s="4">
        <f>CHOOSE( CONTROL!$C$32, 16.645, 16.6427) * CHOOSE(CONTROL!$C$15, $D$11, 100%, $F$11)</f>
        <v>16.645</v>
      </c>
      <c r="G574" s="8">
        <f>CHOOSE( CONTROL!$C$32, 15.5431, 15.5407) * CHOOSE( CONTROL!$C$15, $D$11, 100%, $F$11)</f>
        <v>15.543100000000001</v>
      </c>
      <c r="H574" s="4">
        <f>CHOOSE( CONTROL!$C$32, 16.508, 16.5056) * CHOOSE(CONTROL!$C$15, $D$11, 100%, $F$11)</f>
        <v>16.507999999999999</v>
      </c>
      <c r="I574" s="8">
        <f>CHOOSE( CONTROL!$C$32, 15.3745, 15.3722) * CHOOSE(CONTROL!$C$15, $D$11, 100%, $F$11)</f>
        <v>15.374499999999999</v>
      </c>
      <c r="J574" s="4">
        <f>CHOOSE( CONTROL!$C$32, 15.2567, 15.2544) * CHOOSE(CONTROL!$C$15, $D$11, 100%, $F$11)</f>
        <v>15.2567</v>
      </c>
      <c r="K574" s="4"/>
      <c r="L574" s="9">
        <v>29.7257</v>
      </c>
      <c r="M574" s="9">
        <v>11.6745</v>
      </c>
      <c r="N574" s="9">
        <v>4.7850000000000001</v>
      </c>
      <c r="O574" s="9">
        <v>0.36199999999999999</v>
      </c>
      <c r="P574" s="9">
        <v>1.1791</v>
      </c>
      <c r="Q574" s="9">
        <v>19.053000000000001</v>
      </c>
      <c r="R574" s="9"/>
      <c r="S574" s="11"/>
    </row>
    <row r="575" spans="1:19" ht="15.75">
      <c r="A575" s="13">
        <v>59018</v>
      </c>
      <c r="B575" s="8">
        <f>CHOOSE( CONTROL!$C$32, 16.5894, 16.587) * CHOOSE(CONTROL!$C$15, $D$11, 100%, $F$11)</f>
        <v>16.589400000000001</v>
      </c>
      <c r="C575" s="8">
        <f>CHOOSE( CONTROL!$C$32, 16.5999, 16.5975) * CHOOSE(CONTROL!$C$15, $D$11, 100%, $F$11)</f>
        <v>16.599900000000002</v>
      </c>
      <c r="D575" s="8">
        <f>CHOOSE( CONTROL!$C$32, 16.6362, 16.6338) * CHOOSE( CONTROL!$C$15, $D$11, 100%, $F$11)</f>
        <v>16.636199999999999</v>
      </c>
      <c r="E575" s="12">
        <f>CHOOSE( CONTROL!$C$32, 16.6214, 16.619) * CHOOSE( CONTROL!$C$15, $D$11, 100%, $F$11)</f>
        <v>16.621400000000001</v>
      </c>
      <c r="F575" s="4">
        <f>CHOOSE( CONTROL!$C$32, 17.3287, 17.3263) * CHOOSE(CONTROL!$C$15, $D$11, 100%, $F$11)</f>
        <v>17.328700000000001</v>
      </c>
      <c r="G575" s="8">
        <f>CHOOSE( CONTROL!$C$32, 16.2118, 16.2095) * CHOOSE( CONTROL!$C$15, $D$11, 100%, $F$11)</f>
        <v>16.2118</v>
      </c>
      <c r="H575" s="4">
        <f>CHOOSE( CONTROL!$C$32, 17.1764, 17.1741) * CHOOSE(CONTROL!$C$15, $D$11, 100%, $F$11)</f>
        <v>17.176400000000001</v>
      </c>
      <c r="I575" s="8">
        <f>CHOOSE( CONTROL!$C$32, 16.0323, 16.03) * CHOOSE(CONTROL!$C$15, $D$11, 100%, $F$11)</f>
        <v>16.032299999999999</v>
      </c>
      <c r="J575" s="4">
        <f>CHOOSE( CONTROL!$C$32, 15.9131, 15.9108) * CHOOSE(CONTROL!$C$15, $D$11, 100%, $F$11)</f>
        <v>15.9131</v>
      </c>
      <c r="K575" s="4"/>
      <c r="L575" s="9">
        <v>30.7165</v>
      </c>
      <c r="M575" s="9">
        <v>12.063700000000001</v>
      </c>
      <c r="N575" s="9">
        <v>4.9444999999999997</v>
      </c>
      <c r="O575" s="9">
        <v>0.37409999999999999</v>
      </c>
      <c r="P575" s="9">
        <v>1.2183999999999999</v>
      </c>
      <c r="Q575" s="9">
        <v>19.688099999999999</v>
      </c>
      <c r="R575" s="9"/>
      <c r="S575" s="11"/>
    </row>
    <row r="576" spans="1:19" ht="15.75">
      <c r="A576" s="13">
        <v>59049</v>
      </c>
      <c r="B576" s="8">
        <f>CHOOSE( CONTROL!$C$32, 15.3101, 15.3077) * CHOOSE(CONTROL!$C$15, $D$11, 100%, $F$11)</f>
        <v>15.3101</v>
      </c>
      <c r="C576" s="8">
        <f>CHOOSE( CONTROL!$C$32, 15.3207, 15.3183) * CHOOSE(CONTROL!$C$15, $D$11, 100%, $F$11)</f>
        <v>15.3207</v>
      </c>
      <c r="D576" s="8">
        <f>CHOOSE( CONTROL!$C$32, 15.357, 15.3546) * CHOOSE( CONTROL!$C$15, $D$11, 100%, $F$11)</f>
        <v>15.356999999999999</v>
      </c>
      <c r="E576" s="12">
        <f>CHOOSE( CONTROL!$C$32, 15.3422, 15.3398) * CHOOSE( CONTROL!$C$15, $D$11, 100%, $F$11)</f>
        <v>15.3422</v>
      </c>
      <c r="F576" s="4">
        <f>CHOOSE( CONTROL!$C$32, 16.0495, 16.0471) * CHOOSE(CONTROL!$C$15, $D$11, 100%, $F$11)</f>
        <v>16.049499999999998</v>
      </c>
      <c r="G576" s="8">
        <f>CHOOSE( CONTROL!$C$32, 14.9612, 14.9589) * CHOOSE( CONTROL!$C$15, $D$11, 100%, $F$11)</f>
        <v>14.9612</v>
      </c>
      <c r="H576" s="4">
        <f>CHOOSE( CONTROL!$C$32, 15.9257, 15.9234) * CHOOSE(CONTROL!$C$15, $D$11, 100%, $F$11)</f>
        <v>15.925700000000001</v>
      </c>
      <c r="I576" s="8">
        <f>CHOOSE( CONTROL!$C$32, 14.8037, 14.8014) * CHOOSE(CONTROL!$C$15, $D$11, 100%, $F$11)</f>
        <v>14.803699999999999</v>
      </c>
      <c r="J576" s="4">
        <f>CHOOSE( CONTROL!$C$32, 14.6849, 14.6826) * CHOOSE(CONTROL!$C$15, $D$11, 100%, $F$11)</f>
        <v>14.684900000000001</v>
      </c>
      <c r="K576" s="4"/>
      <c r="L576" s="9">
        <v>30.7165</v>
      </c>
      <c r="M576" s="9">
        <v>12.063700000000001</v>
      </c>
      <c r="N576" s="9">
        <v>4.9444999999999997</v>
      </c>
      <c r="O576" s="9">
        <v>0.37409999999999999</v>
      </c>
      <c r="P576" s="9">
        <v>1.2183999999999999</v>
      </c>
      <c r="Q576" s="9">
        <v>19.688099999999999</v>
      </c>
      <c r="R576" s="9"/>
      <c r="S576" s="11"/>
    </row>
    <row r="577" spans="1:19" ht="15.75">
      <c r="A577" s="13">
        <v>59079</v>
      </c>
      <c r="B577" s="8">
        <f>CHOOSE( CONTROL!$C$32, 14.9898, 14.9874) * CHOOSE(CONTROL!$C$15, $D$11, 100%, $F$11)</f>
        <v>14.989800000000001</v>
      </c>
      <c r="C577" s="8">
        <f>CHOOSE( CONTROL!$C$32, 15.0004, 14.998) * CHOOSE(CONTROL!$C$15, $D$11, 100%, $F$11)</f>
        <v>15.000400000000001</v>
      </c>
      <c r="D577" s="8">
        <f>CHOOSE( CONTROL!$C$32, 15.0366, 15.0342) * CHOOSE( CONTROL!$C$15, $D$11, 100%, $F$11)</f>
        <v>15.0366</v>
      </c>
      <c r="E577" s="12">
        <f>CHOOSE( CONTROL!$C$32, 15.0219, 15.0195) * CHOOSE( CONTROL!$C$15, $D$11, 100%, $F$11)</f>
        <v>15.0219</v>
      </c>
      <c r="F577" s="4">
        <f>CHOOSE( CONTROL!$C$32, 15.7291, 15.7268) * CHOOSE(CONTROL!$C$15, $D$11, 100%, $F$11)</f>
        <v>15.729100000000001</v>
      </c>
      <c r="G577" s="8">
        <f>CHOOSE( CONTROL!$C$32, 14.6479, 14.6456) * CHOOSE( CONTROL!$C$15, $D$11, 100%, $F$11)</f>
        <v>14.6479</v>
      </c>
      <c r="H577" s="4">
        <f>CHOOSE( CONTROL!$C$32, 15.6125, 15.6102) * CHOOSE(CONTROL!$C$15, $D$11, 100%, $F$11)</f>
        <v>15.612500000000001</v>
      </c>
      <c r="I577" s="8">
        <f>CHOOSE( CONTROL!$C$32, 14.4957, 14.4934) * CHOOSE(CONTROL!$C$15, $D$11, 100%, $F$11)</f>
        <v>14.495699999999999</v>
      </c>
      <c r="J577" s="4">
        <f>CHOOSE( CONTROL!$C$32, 14.3774, 14.3751) * CHOOSE(CONTROL!$C$15, $D$11, 100%, $F$11)</f>
        <v>14.3774</v>
      </c>
      <c r="K577" s="4"/>
      <c r="L577" s="9">
        <v>29.7257</v>
      </c>
      <c r="M577" s="9">
        <v>11.6745</v>
      </c>
      <c r="N577" s="9">
        <v>4.7850000000000001</v>
      </c>
      <c r="O577" s="9">
        <v>0.36199999999999999</v>
      </c>
      <c r="P577" s="9">
        <v>1.1791</v>
      </c>
      <c r="Q577" s="9">
        <v>19.053000000000001</v>
      </c>
      <c r="R577" s="9"/>
      <c r="S577" s="11"/>
    </row>
    <row r="578" spans="1:19" ht="15.75">
      <c r="A578" s="13">
        <v>59110</v>
      </c>
      <c r="B578" s="8">
        <f>15.6526 * CHOOSE(CONTROL!$C$15, $D$11, 100%, $F$11)</f>
        <v>15.6526</v>
      </c>
      <c r="C578" s="8">
        <f>15.6634 * CHOOSE(CONTROL!$C$15, $D$11, 100%, $F$11)</f>
        <v>15.663399999999999</v>
      </c>
      <c r="D578" s="8">
        <f>15.7009 * CHOOSE( CONTROL!$C$15, $D$11, 100%, $F$11)</f>
        <v>15.700900000000001</v>
      </c>
      <c r="E578" s="12">
        <f>15.6874 * CHOOSE( CONTROL!$C$15, $D$11, 100%, $F$11)</f>
        <v>15.6874</v>
      </c>
      <c r="F578" s="4">
        <f>16.3919 * CHOOSE(CONTROL!$C$15, $D$11, 100%, $F$11)</f>
        <v>16.3919</v>
      </c>
      <c r="G578" s="8">
        <f>15.2956 * CHOOSE( CONTROL!$C$15, $D$11, 100%, $F$11)</f>
        <v>15.2956</v>
      </c>
      <c r="H578" s="4">
        <f>16.2605 * CHOOSE(CONTROL!$C$15, $D$11, 100%, $F$11)</f>
        <v>16.2605</v>
      </c>
      <c r="I578" s="8">
        <f>15.133 * CHOOSE(CONTROL!$C$15, $D$11, 100%, $F$11)</f>
        <v>15.132999999999999</v>
      </c>
      <c r="J578" s="4">
        <f>15.0137 * CHOOSE(CONTROL!$C$15, $D$11, 100%, $F$11)</f>
        <v>15.0137</v>
      </c>
      <c r="K578" s="4"/>
      <c r="L578" s="9">
        <v>31.095300000000002</v>
      </c>
      <c r="M578" s="9">
        <v>12.063700000000001</v>
      </c>
      <c r="N578" s="9">
        <v>4.9444999999999997</v>
      </c>
      <c r="O578" s="9">
        <v>0.37409999999999999</v>
      </c>
      <c r="P578" s="9">
        <v>1.2183999999999999</v>
      </c>
      <c r="Q578" s="9">
        <v>19.688099999999999</v>
      </c>
      <c r="R578" s="9"/>
      <c r="S578" s="11"/>
    </row>
    <row r="579" spans="1:19" ht="15.75">
      <c r="A579" s="13">
        <v>59140</v>
      </c>
      <c r="B579" s="8">
        <f>16.8804 * CHOOSE(CONTROL!$C$15, $D$11, 100%, $F$11)</f>
        <v>16.880400000000002</v>
      </c>
      <c r="C579" s="8">
        <f>16.8911 * CHOOSE(CONTROL!$C$15, $D$11, 100%, $F$11)</f>
        <v>16.891100000000002</v>
      </c>
      <c r="D579" s="8">
        <f>16.8739 * CHOOSE( CONTROL!$C$15, $D$11, 100%, $F$11)</f>
        <v>16.873899999999999</v>
      </c>
      <c r="E579" s="12">
        <f>16.879 * CHOOSE( CONTROL!$C$15, $D$11, 100%, $F$11)</f>
        <v>16.879000000000001</v>
      </c>
      <c r="F579" s="4">
        <f>17.5389 * CHOOSE(CONTROL!$C$15, $D$11, 100%, $F$11)</f>
        <v>17.538900000000002</v>
      </c>
      <c r="G579" s="8">
        <f>16.5026 * CHOOSE( CONTROL!$C$15, $D$11, 100%, $F$11)</f>
        <v>16.502600000000001</v>
      </c>
      <c r="H579" s="4">
        <f>17.3819 * CHOOSE(CONTROL!$C$15, $D$11, 100%, $F$11)</f>
        <v>17.381900000000002</v>
      </c>
      <c r="I579" s="8">
        <f>16.3495 * CHOOSE(CONTROL!$C$15, $D$11, 100%, $F$11)</f>
        <v>16.349499999999999</v>
      </c>
      <c r="J579" s="4">
        <f>16.1924 * CHOOSE(CONTROL!$C$15, $D$11, 100%, $F$11)</f>
        <v>16.192399999999999</v>
      </c>
      <c r="K579" s="4"/>
      <c r="L579" s="9">
        <v>28.360600000000002</v>
      </c>
      <c r="M579" s="9">
        <v>11.6745</v>
      </c>
      <c r="N579" s="9">
        <v>4.7850000000000001</v>
      </c>
      <c r="O579" s="9">
        <v>0.36199999999999999</v>
      </c>
      <c r="P579" s="9">
        <v>1.2509999999999999</v>
      </c>
      <c r="Q579" s="9">
        <v>19.053000000000001</v>
      </c>
      <c r="R579" s="9"/>
      <c r="S579" s="11"/>
    </row>
    <row r="580" spans="1:19" ht="15.75">
      <c r="A580" s="13">
        <v>59171</v>
      </c>
      <c r="B580" s="8">
        <f>16.8497 * CHOOSE(CONTROL!$C$15, $D$11, 100%, $F$11)</f>
        <v>16.849699999999999</v>
      </c>
      <c r="C580" s="8">
        <f>16.8604 * CHOOSE(CONTROL!$C$15, $D$11, 100%, $F$11)</f>
        <v>16.860399999999998</v>
      </c>
      <c r="D580" s="8">
        <f>16.8449 * CHOOSE( CONTROL!$C$15, $D$11, 100%, $F$11)</f>
        <v>16.844899999999999</v>
      </c>
      <c r="E580" s="12">
        <f>16.8494 * CHOOSE( CONTROL!$C$15, $D$11, 100%, $F$11)</f>
        <v>16.849399999999999</v>
      </c>
      <c r="F580" s="4">
        <f>17.5082 * CHOOSE(CONTROL!$C$15, $D$11, 100%, $F$11)</f>
        <v>17.508199999999999</v>
      </c>
      <c r="G580" s="8">
        <f>16.4738 * CHOOSE( CONTROL!$C$15, $D$11, 100%, $F$11)</f>
        <v>16.473800000000001</v>
      </c>
      <c r="H580" s="4">
        <f>17.3519 * CHOOSE(CONTROL!$C$15, $D$11, 100%, $F$11)</f>
        <v>17.351900000000001</v>
      </c>
      <c r="I580" s="8">
        <f>16.3252 * CHOOSE(CONTROL!$C$15, $D$11, 100%, $F$11)</f>
        <v>16.325199999999999</v>
      </c>
      <c r="J580" s="4">
        <f>16.1629 * CHOOSE(CONTROL!$C$15, $D$11, 100%, $F$11)</f>
        <v>16.1629</v>
      </c>
      <c r="K580" s="4"/>
      <c r="L580" s="9">
        <v>29.306000000000001</v>
      </c>
      <c r="M580" s="9">
        <v>12.063700000000001</v>
      </c>
      <c r="N580" s="9">
        <v>4.9444999999999997</v>
      </c>
      <c r="O580" s="9">
        <v>0.37409999999999999</v>
      </c>
      <c r="P580" s="9">
        <v>1.2927</v>
      </c>
      <c r="Q580" s="9">
        <v>19.688099999999999</v>
      </c>
      <c r="R580" s="9"/>
      <c r="S580" s="11"/>
    </row>
    <row r="581" spans="1:19" ht="15.75">
      <c r="A581" s="13">
        <v>59202</v>
      </c>
      <c r="B581" s="8">
        <f>17.3462 * CHOOSE(CONTROL!$C$15, $D$11, 100%, $F$11)</f>
        <v>17.3462</v>
      </c>
      <c r="C581" s="8">
        <f>17.357 * CHOOSE(CONTROL!$C$15, $D$11, 100%, $F$11)</f>
        <v>17.356999999999999</v>
      </c>
      <c r="D581" s="8">
        <f>17.3384 * CHOOSE( CONTROL!$C$15, $D$11, 100%, $F$11)</f>
        <v>17.3384</v>
      </c>
      <c r="E581" s="12">
        <f>17.3441 * CHOOSE( CONTROL!$C$15, $D$11, 100%, $F$11)</f>
        <v>17.344100000000001</v>
      </c>
      <c r="F581" s="4">
        <f>18.0048 * CHOOSE(CONTROL!$C$15, $D$11, 100%, $F$11)</f>
        <v>18.004799999999999</v>
      </c>
      <c r="G581" s="8">
        <f>16.9518 * CHOOSE( CONTROL!$C$15, $D$11, 100%, $F$11)</f>
        <v>16.951799999999999</v>
      </c>
      <c r="H581" s="4">
        <f>17.8374 * CHOOSE(CONTROL!$C$15, $D$11, 100%, $F$11)</f>
        <v>17.837399999999999</v>
      </c>
      <c r="I581" s="8">
        <f>16.7671 * CHOOSE(CONTROL!$C$15, $D$11, 100%, $F$11)</f>
        <v>16.767099999999999</v>
      </c>
      <c r="J581" s="4">
        <f>16.6397 * CHOOSE(CONTROL!$C$15, $D$11, 100%, $F$11)</f>
        <v>16.639700000000001</v>
      </c>
      <c r="K581" s="4"/>
      <c r="L581" s="9">
        <v>29.306000000000001</v>
      </c>
      <c r="M581" s="9">
        <v>12.063700000000001</v>
      </c>
      <c r="N581" s="9">
        <v>4.9444999999999997</v>
      </c>
      <c r="O581" s="9">
        <v>0.37409999999999999</v>
      </c>
      <c r="P581" s="9">
        <v>1.2927</v>
      </c>
      <c r="Q581" s="9">
        <v>19.688099999999999</v>
      </c>
      <c r="R581" s="9"/>
      <c r="S581" s="11"/>
    </row>
    <row r="582" spans="1:19" ht="15.75">
      <c r="A582" s="13">
        <v>59230</v>
      </c>
      <c r="B582" s="8">
        <f>16.2258 * CHOOSE(CONTROL!$C$15, $D$11, 100%, $F$11)</f>
        <v>16.2258</v>
      </c>
      <c r="C582" s="8">
        <f>16.2366 * CHOOSE(CONTROL!$C$15, $D$11, 100%, $F$11)</f>
        <v>16.236599999999999</v>
      </c>
      <c r="D582" s="8">
        <f>16.2179 * CHOOSE( CONTROL!$C$15, $D$11, 100%, $F$11)</f>
        <v>16.2179</v>
      </c>
      <c r="E582" s="12">
        <f>16.2236 * CHOOSE( CONTROL!$C$15, $D$11, 100%, $F$11)</f>
        <v>16.223600000000001</v>
      </c>
      <c r="F582" s="4">
        <f>16.8843 * CHOOSE(CONTROL!$C$15, $D$11, 100%, $F$11)</f>
        <v>16.8843</v>
      </c>
      <c r="G582" s="8">
        <f>15.8563 * CHOOSE( CONTROL!$C$15, $D$11, 100%, $F$11)</f>
        <v>15.856299999999999</v>
      </c>
      <c r="H582" s="4">
        <f>16.7419 * CHOOSE(CONTROL!$C$15, $D$11, 100%, $F$11)</f>
        <v>16.741900000000001</v>
      </c>
      <c r="I582" s="8">
        <f>15.6905 * CHOOSE(CONTROL!$C$15, $D$11, 100%, $F$11)</f>
        <v>15.6905</v>
      </c>
      <c r="J582" s="4">
        <f>15.5639 * CHOOSE(CONTROL!$C$15, $D$11, 100%, $F$11)</f>
        <v>15.5639</v>
      </c>
      <c r="K582" s="4"/>
      <c r="L582" s="9">
        <v>26.469899999999999</v>
      </c>
      <c r="M582" s="9">
        <v>10.8962</v>
      </c>
      <c r="N582" s="9">
        <v>4.4660000000000002</v>
      </c>
      <c r="O582" s="9">
        <v>0.33789999999999998</v>
      </c>
      <c r="P582" s="9">
        <v>1.1676</v>
      </c>
      <c r="Q582" s="9">
        <v>17.782800000000002</v>
      </c>
      <c r="R582" s="9"/>
      <c r="S582" s="11"/>
    </row>
    <row r="583" spans="1:19" ht="15.75">
      <c r="A583" s="13">
        <v>59261</v>
      </c>
      <c r="B583" s="8">
        <f>15.8807 * CHOOSE(CONTROL!$C$15, $D$11, 100%, $F$11)</f>
        <v>15.880699999999999</v>
      </c>
      <c r="C583" s="8">
        <f>15.8915 * CHOOSE(CONTROL!$C$15, $D$11, 100%, $F$11)</f>
        <v>15.891500000000001</v>
      </c>
      <c r="D583" s="8">
        <f>15.8723 * CHOOSE( CONTROL!$C$15, $D$11, 100%, $F$11)</f>
        <v>15.872299999999999</v>
      </c>
      <c r="E583" s="12">
        <f>15.8782 * CHOOSE( CONTROL!$C$15, $D$11, 100%, $F$11)</f>
        <v>15.8782</v>
      </c>
      <c r="F583" s="4">
        <f>16.5392 * CHOOSE(CONTROL!$C$15, $D$11, 100%, $F$11)</f>
        <v>16.539200000000001</v>
      </c>
      <c r="G583" s="8">
        <f>15.5185 * CHOOSE( CONTROL!$C$15, $D$11, 100%, $F$11)</f>
        <v>15.5185</v>
      </c>
      <c r="H583" s="4">
        <f>16.4045 * CHOOSE(CONTROL!$C$15, $D$11, 100%, $F$11)</f>
        <v>16.404499999999999</v>
      </c>
      <c r="I583" s="8">
        <f>15.3576 * CHOOSE(CONTROL!$C$15, $D$11, 100%, $F$11)</f>
        <v>15.3576</v>
      </c>
      <c r="J583" s="4">
        <f>15.2326 * CHOOSE(CONTROL!$C$15, $D$11, 100%, $F$11)</f>
        <v>15.2326</v>
      </c>
      <c r="K583" s="4"/>
      <c r="L583" s="9">
        <v>29.306000000000001</v>
      </c>
      <c r="M583" s="9">
        <v>12.063700000000001</v>
      </c>
      <c r="N583" s="9">
        <v>4.9444999999999997</v>
      </c>
      <c r="O583" s="9">
        <v>0.37409999999999999</v>
      </c>
      <c r="P583" s="9">
        <v>1.2927</v>
      </c>
      <c r="Q583" s="9">
        <v>19.688099999999999</v>
      </c>
      <c r="R583" s="9"/>
      <c r="S583" s="11"/>
    </row>
    <row r="584" spans="1:19" ht="15.75">
      <c r="A584" s="13">
        <v>59291</v>
      </c>
      <c r="B584" s="8">
        <f>16.1218 * CHOOSE(CONTROL!$C$15, $D$11, 100%, $F$11)</f>
        <v>16.1218</v>
      </c>
      <c r="C584" s="8">
        <f>16.1326 * CHOOSE(CONTROL!$C$15, $D$11, 100%, $F$11)</f>
        <v>16.1326</v>
      </c>
      <c r="D584" s="8">
        <f>16.1695 * CHOOSE( CONTROL!$C$15, $D$11, 100%, $F$11)</f>
        <v>16.169499999999999</v>
      </c>
      <c r="E584" s="12">
        <f>16.1561 * CHOOSE( CONTROL!$C$15, $D$11, 100%, $F$11)</f>
        <v>16.156099999999999</v>
      </c>
      <c r="F584" s="4">
        <f>16.8611 * CHOOSE(CONTROL!$C$15, $D$11, 100%, $F$11)</f>
        <v>16.8611</v>
      </c>
      <c r="G584" s="8">
        <f>15.7535 * CHOOSE( CONTROL!$C$15, $D$11, 100%, $F$11)</f>
        <v>15.753500000000001</v>
      </c>
      <c r="H584" s="4">
        <f>16.7192 * CHOOSE(CONTROL!$C$15, $D$11, 100%, $F$11)</f>
        <v>16.719200000000001</v>
      </c>
      <c r="I584" s="8">
        <f>15.581 * CHOOSE(CONTROL!$C$15, $D$11, 100%, $F$11)</f>
        <v>15.581</v>
      </c>
      <c r="J584" s="4">
        <f>15.4641 * CHOOSE(CONTROL!$C$15, $D$11, 100%, $F$11)</f>
        <v>15.4641</v>
      </c>
      <c r="K584" s="4"/>
      <c r="L584" s="9">
        <v>30.092199999999998</v>
      </c>
      <c r="M584" s="9">
        <v>11.6745</v>
      </c>
      <c r="N584" s="9">
        <v>4.7850000000000001</v>
      </c>
      <c r="O584" s="9">
        <v>0.36199999999999999</v>
      </c>
      <c r="P584" s="9">
        <v>1.1791</v>
      </c>
      <c r="Q584" s="9">
        <v>19.053000000000001</v>
      </c>
      <c r="R584" s="9"/>
      <c r="S584" s="11"/>
    </row>
    <row r="585" spans="1:19" ht="15.75">
      <c r="A585" s="13">
        <v>59322</v>
      </c>
      <c r="B585" s="8">
        <f>CHOOSE( CONTROL!$C$32, 16.5533, 16.5509) * CHOOSE(CONTROL!$C$15, $D$11, 100%, $F$11)</f>
        <v>16.5533</v>
      </c>
      <c r="C585" s="8">
        <f>CHOOSE( CONTROL!$C$32, 16.5639, 16.5615) * CHOOSE(CONTROL!$C$15, $D$11, 100%, $F$11)</f>
        <v>16.5639</v>
      </c>
      <c r="D585" s="8">
        <f>CHOOSE( CONTROL!$C$32, 16.5997, 16.5973) * CHOOSE( CONTROL!$C$15, $D$11, 100%, $F$11)</f>
        <v>16.599699999999999</v>
      </c>
      <c r="E585" s="12">
        <f>CHOOSE( CONTROL!$C$32, 16.5851, 16.5827) * CHOOSE( CONTROL!$C$15, $D$11, 100%, $F$11)</f>
        <v>16.585100000000001</v>
      </c>
      <c r="F585" s="4">
        <f>CHOOSE( CONTROL!$C$32, 17.2927, 17.2903) * CHOOSE(CONTROL!$C$15, $D$11, 100%, $F$11)</f>
        <v>17.2927</v>
      </c>
      <c r="G585" s="8">
        <f>CHOOSE( CONTROL!$C$32, 16.176, 16.1736) * CHOOSE( CONTROL!$C$15, $D$11, 100%, $F$11)</f>
        <v>16.175999999999998</v>
      </c>
      <c r="H585" s="4">
        <f>CHOOSE( CONTROL!$C$32, 17.1411, 17.1388) * CHOOSE(CONTROL!$C$15, $D$11, 100%, $F$11)</f>
        <v>17.141100000000002</v>
      </c>
      <c r="I585" s="8">
        <f>CHOOSE( CONTROL!$C$32, 15.9957, 15.9934) * CHOOSE(CONTROL!$C$15, $D$11, 100%, $F$11)</f>
        <v>15.995699999999999</v>
      </c>
      <c r="J585" s="4">
        <f>CHOOSE( CONTROL!$C$32, 15.8785, 15.8762) * CHOOSE(CONTROL!$C$15, $D$11, 100%, $F$11)</f>
        <v>15.878500000000001</v>
      </c>
      <c r="K585" s="4"/>
      <c r="L585" s="9">
        <v>30.7165</v>
      </c>
      <c r="M585" s="9">
        <v>12.063700000000001</v>
      </c>
      <c r="N585" s="9">
        <v>4.9444999999999997</v>
      </c>
      <c r="O585" s="9">
        <v>0.37409999999999999</v>
      </c>
      <c r="P585" s="9">
        <v>1.2183999999999999</v>
      </c>
      <c r="Q585" s="9">
        <v>19.688099999999999</v>
      </c>
      <c r="R585" s="9"/>
      <c r="S585" s="11"/>
    </row>
    <row r="586" spans="1:19" ht="15.75">
      <c r="A586" s="13">
        <v>59352</v>
      </c>
      <c r="B586" s="8">
        <f>CHOOSE( CONTROL!$C$32, 16.2874, 16.285) * CHOOSE(CONTROL!$C$15, $D$11, 100%, $F$11)</f>
        <v>16.287400000000002</v>
      </c>
      <c r="C586" s="8">
        <f>CHOOSE( CONTROL!$C$32, 16.298, 16.2956) * CHOOSE(CONTROL!$C$15, $D$11, 100%, $F$11)</f>
        <v>16.297999999999998</v>
      </c>
      <c r="D586" s="8">
        <f>CHOOSE( CONTROL!$C$32, 16.334, 16.3316) * CHOOSE( CONTROL!$C$15, $D$11, 100%, $F$11)</f>
        <v>16.334</v>
      </c>
      <c r="E586" s="12">
        <f>CHOOSE( CONTROL!$C$32, 16.3193, 16.3169) * CHOOSE( CONTROL!$C$15, $D$11, 100%, $F$11)</f>
        <v>16.319299999999998</v>
      </c>
      <c r="F586" s="4">
        <f>CHOOSE( CONTROL!$C$32, 17.0268, 17.0244) * CHOOSE(CONTROL!$C$15, $D$11, 100%, $F$11)</f>
        <v>17.026800000000001</v>
      </c>
      <c r="G586" s="8">
        <f>CHOOSE( CONTROL!$C$32, 15.9163, 15.914) * CHOOSE( CONTROL!$C$15, $D$11, 100%, $F$11)</f>
        <v>15.9163</v>
      </c>
      <c r="H586" s="4">
        <f>CHOOSE( CONTROL!$C$32, 16.8812, 16.8789) * CHOOSE(CONTROL!$C$15, $D$11, 100%, $F$11)</f>
        <v>16.8812</v>
      </c>
      <c r="I586" s="8">
        <f>CHOOSE( CONTROL!$C$32, 15.7412, 15.7389) * CHOOSE(CONTROL!$C$15, $D$11, 100%, $F$11)</f>
        <v>15.741199999999999</v>
      </c>
      <c r="J586" s="4">
        <f>CHOOSE( CONTROL!$C$32, 15.6232, 15.6209) * CHOOSE(CONTROL!$C$15, $D$11, 100%, $F$11)</f>
        <v>15.623200000000001</v>
      </c>
      <c r="K586" s="4"/>
      <c r="L586" s="9">
        <v>29.7257</v>
      </c>
      <c r="M586" s="9">
        <v>11.6745</v>
      </c>
      <c r="N586" s="9">
        <v>4.7850000000000001</v>
      </c>
      <c r="O586" s="9">
        <v>0.36199999999999999</v>
      </c>
      <c r="P586" s="9">
        <v>1.1791</v>
      </c>
      <c r="Q586" s="9">
        <v>19.053000000000001</v>
      </c>
      <c r="R586" s="9"/>
      <c r="S586" s="11"/>
    </row>
    <row r="587" spans="1:19" ht="15.75">
      <c r="A587" s="13">
        <v>59383</v>
      </c>
      <c r="B587" s="8">
        <f>CHOOSE( CONTROL!$C$32, 16.9875, 16.9852) * CHOOSE(CONTROL!$C$15, $D$11, 100%, $F$11)</f>
        <v>16.987500000000001</v>
      </c>
      <c r="C587" s="8">
        <f>CHOOSE( CONTROL!$C$32, 16.9981, 16.9957) * CHOOSE(CONTROL!$C$15, $D$11, 100%, $F$11)</f>
        <v>16.998100000000001</v>
      </c>
      <c r="D587" s="8">
        <f>CHOOSE( CONTROL!$C$32, 17.0344, 17.032) * CHOOSE( CONTROL!$C$15, $D$11, 100%, $F$11)</f>
        <v>17.034400000000002</v>
      </c>
      <c r="E587" s="12">
        <f>CHOOSE( CONTROL!$C$32, 17.0196, 17.0172) * CHOOSE( CONTROL!$C$15, $D$11, 100%, $F$11)</f>
        <v>17.019600000000001</v>
      </c>
      <c r="F587" s="4">
        <f>CHOOSE( CONTROL!$C$32, 17.7269, 17.7245) * CHOOSE(CONTROL!$C$15, $D$11, 100%, $F$11)</f>
        <v>17.726900000000001</v>
      </c>
      <c r="G587" s="8">
        <f>CHOOSE( CONTROL!$C$32, 16.6011, 16.5988) * CHOOSE( CONTROL!$C$15, $D$11, 100%, $F$11)</f>
        <v>16.601099999999999</v>
      </c>
      <c r="H587" s="4">
        <f>CHOOSE( CONTROL!$C$32, 17.5657, 17.5634) * CHOOSE(CONTROL!$C$15, $D$11, 100%, $F$11)</f>
        <v>17.5657</v>
      </c>
      <c r="I587" s="8">
        <f>CHOOSE( CONTROL!$C$32, 16.4147, 16.4124) * CHOOSE(CONTROL!$C$15, $D$11, 100%, $F$11)</f>
        <v>16.4147</v>
      </c>
      <c r="J587" s="4">
        <f>CHOOSE( CONTROL!$C$32, 16.2954, 16.2931) * CHOOSE(CONTROL!$C$15, $D$11, 100%, $F$11)</f>
        <v>16.295400000000001</v>
      </c>
      <c r="K587" s="4"/>
      <c r="L587" s="9">
        <v>30.7165</v>
      </c>
      <c r="M587" s="9">
        <v>12.063700000000001</v>
      </c>
      <c r="N587" s="9">
        <v>4.9444999999999997</v>
      </c>
      <c r="O587" s="9">
        <v>0.37409999999999999</v>
      </c>
      <c r="P587" s="9">
        <v>1.2183999999999999</v>
      </c>
      <c r="Q587" s="9">
        <v>19.688099999999999</v>
      </c>
      <c r="R587" s="9"/>
      <c r="S587" s="11"/>
    </row>
    <row r="588" spans="1:19" ht="15.75">
      <c r="A588" s="13">
        <v>59414</v>
      </c>
      <c r="B588" s="8">
        <f>CHOOSE( CONTROL!$C$32, 15.6776, 15.6752) * CHOOSE(CONTROL!$C$15, $D$11, 100%, $F$11)</f>
        <v>15.6776</v>
      </c>
      <c r="C588" s="8">
        <f>CHOOSE( CONTROL!$C$32, 15.6881, 15.6857) * CHOOSE(CONTROL!$C$15, $D$11, 100%, $F$11)</f>
        <v>15.6881</v>
      </c>
      <c r="D588" s="8">
        <f>CHOOSE( CONTROL!$C$32, 15.7244, 15.722) * CHOOSE( CONTROL!$C$15, $D$11, 100%, $F$11)</f>
        <v>15.724399999999999</v>
      </c>
      <c r="E588" s="12">
        <f>CHOOSE( CONTROL!$C$32, 15.7096, 15.7072) * CHOOSE( CONTROL!$C$15, $D$11, 100%, $F$11)</f>
        <v>15.7096</v>
      </c>
      <c r="F588" s="4">
        <f>CHOOSE( CONTROL!$C$32, 16.4169, 16.4145) * CHOOSE(CONTROL!$C$15, $D$11, 100%, $F$11)</f>
        <v>16.416899999999998</v>
      </c>
      <c r="G588" s="8">
        <f>CHOOSE( CONTROL!$C$32, 15.3205, 15.3181) * CHOOSE( CONTROL!$C$15, $D$11, 100%, $F$11)</f>
        <v>15.320499999999999</v>
      </c>
      <c r="H588" s="4">
        <f>CHOOSE( CONTROL!$C$32, 16.2849, 16.2826) * CHOOSE(CONTROL!$C$15, $D$11, 100%, $F$11)</f>
        <v>16.2849</v>
      </c>
      <c r="I588" s="8">
        <f>CHOOSE( CONTROL!$C$32, 15.1566, 15.1543) * CHOOSE(CONTROL!$C$15, $D$11, 100%, $F$11)</f>
        <v>15.156599999999999</v>
      </c>
      <c r="J588" s="4">
        <f>CHOOSE( CONTROL!$C$32, 15.0377, 15.0354) * CHOOSE(CONTROL!$C$15, $D$11, 100%, $F$11)</f>
        <v>15.037699999999999</v>
      </c>
      <c r="K588" s="4"/>
      <c r="L588" s="9">
        <v>30.7165</v>
      </c>
      <c r="M588" s="9">
        <v>12.063700000000001</v>
      </c>
      <c r="N588" s="9">
        <v>4.9444999999999997</v>
      </c>
      <c r="O588" s="9">
        <v>0.37409999999999999</v>
      </c>
      <c r="P588" s="9">
        <v>1.2183999999999999</v>
      </c>
      <c r="Q588" s="9">
        <v>19.688099999999999</v>
      </c>
      <c r="R588" s="9"/>
      <c r="S588" s="11"/>
    </row>
    <row r="589" spans="1:19" ht="15.75">
      <c r="A589" s="13">
        <v>59444</v>
      </c>
      <c r="B589" s="8">
        <f>CHOOSE( CONTROL!$C$32, 15.3495, 15.3471) * CHOOSE(CONTROL!$C$15, $D$11, 100%, $F$11)</f>
        <v>15.349500000000001</v>
      </c>
      <c r="C589" s="8">
        <f>CHOOSE( CONTROL!$C$32, 15.3601, 15.3577) * CHOOSE(CONTROL!$C$15, $D$11, 100%, $F$11)</f>
        <v>15.360099999999999</v>
      </c>
      <c r="D589" s="8">
        <f>CHOOSE( CONTROL!$C$32, 15.3963, 15.3939) * CHOOSE( CONTROL!$C$15, $D$11, 100%, $F$11)</f>
        <v>15.3963</v>
      </c>
      <c r="E589" s="12">
        <f>CHOOSE( CONTROL!$C$32, 15.3816, 15.3792) * CHOOSE( CONTROL!$C$15, $D$11, 100%, $F$11)</f>
        <v>15.381600000000001</v>
      </c>
      <c r="F589" s="4">
        <f>CHOOSE( CONTROL!$C$32, 16.0889, 16.0865) * CHOOSE(CONTROL!$C$15, $D$11, 100%, $F$11)</f>
        <v>16.088899999999999</v>
      </c>
      <c r="G589" s="8">
        <f>CHOOSE( CONTROL!$C$32, 14.9996, 14.9973) * CHOOSE( CONTROL!$C$15, $D$11, 100%, $F$11)</f>
        <v>14.999599999999999</v>
      </c>
      <c r="H589" s="4">
        <f>CHOOSE( CONTROL!$C$32, 15.9642, 15.9619) * CHOOSE(CONTROL!$C$15, $D$11, 100%, $F$11)</f>
        <v>15.9642</v>
      </c>
      <c r="I589" s="8">
        <f>CHOOSE( CONTROL!$C$32, 14.8412, 14.8389) * CHOOSE(CONTROL!$C$15, $D$11, 100%, $F$11)</f>
        <v>14.841200000000001</v>
      </c>
      <c r="J589" s="4">
        <f>CHOOSE( CONTROL!$C$32, 14.7228, 14.7205) * CHOOSE(CONTROL!$C$15, $D$11, 100%, $F$11)</f>
        <v>14.722799999999999</v>
      </c>
      <c r="K589" s="4"/>
      <c r="L589" s="9">
        <v>29.7257</v>
      </c>
      <c r="M589" s="9">
        <v>11.6745</v>
      </c>
      <c r="N589" s="9">
        <v>4.7850000000000001</v>
      </c>
      <c r="O589" s="9">
        <v>0.36199999999999999</v>
      </c>
      <c r="P589" s="9">
        <v>1.1791</v>
      </c>
      <c r="Q589" s="9">
        <v>19.053000000000001</v>
      </c>
      <c r="R589" s="9"/>
      <c r="S589" s="11"/>
    </row>
    <row r="590" spans="1:19" ht="15.75">
      <c r="A590" s="13">
        <v>59475</v>
      </c>
      <c r="B590" s="8">
        <f>16.0284 * CHOOSE(CONTROL!$C$15, $D$11, 100%, $F$11)</f>
        <v>16.028400000000001</v>
      </c>
      <c r="C590" s="8">
        <f>16.0391 * CHOOSE(CONTROL!$C$15, $D$11, 100%, $F$11)</f>
        <v>16.039100000000001</v>
      </c>
      <c r="D590" s="8">
        <f>16.0767 * CHOOSE( CONTROL!$C$15, $D$11, 100%, $F$11)</f>
        <v>16.076699999999999</v>
      </c>
      <c r="E590" s="12">
        <f>16.0631 * CHOOSE( CONTROL!$C$15, $D$11, 100%, $F$11)</f>
        <v>16.063099999999999</v>
      </c>
      <c r="F590" s="4">
        <f>16.7676 * CHOOSE(CONTROL!$C$15, $D$11, 100%, $F$11)</f>
        <v>16.767600000000002</v>
      </c>
      <c r="G590" s="8">
        <f>15.663 * CHOOSE( CONTROL!$C$15, $D$11, 100%, $F$11)</f>
        <v>15.663</v>
      </c>
      <c r="H590" s="4">
        <f>16.6278 * CHOOSE(CONTROL!$C$15, $D$11, 100%, $F$11)</f>
        <v>16.627800000000001</v>
      </c>
      <c r="I590" s="8">
        <f>15.494 * CHOOSE(CONTROL!$C$15, $D$11, 100%, $F$11)</f>
        <v>15.494</v>
      </c>
      <c r="J590" s="4">
        <f>15.3744 * CHOOSE(CONTROL!$C$15, $D$11, 100%, $F$11)</f>
        <v>15.3744</v>
      </c>
      <c r="K590" s="4"/>
      <c r="L590" s="9">
        <v>31.095300000000002</v>
      </c>
      <c r="M590" s="9">
        <v>12.063700000000001</v>
      </c>
      <c r="N590" s="9">
        <v>4.9444999999999997</v>
      </c>
      <c r="O590" s="9">
        <v>0.37409999999999999</v>
      </c>
      <c r="P590" s="9">
        <v>1.2183999999999999</v>
      </c>
      <c r="Q590" s="9">
        <v>19.688099999999999</v>
      </c>
      <c r="R590" s="9"/>
      <c r="S590" s="11"/>
    </row>
    <row r="591" spans="1:19" ht="15.75">
      <c r="A591" s="13">
        <v>59505</v>
      </c>
      <c r="B591" s="8">
        <f>17.2856 * CHOOSE(CONTROL!$C$15, $D$11, 100%, $F$11)</f>
        <v>17.285599999999999</v>
      </c>
      <c r="C591" s="8">
        <f>17.2963 * CHOOSE(CONTROL!$C$15, $D$11, 100%, $F$11)</f>
        <v>17.296299999999999</v>
      </c>
      <c r="D591" s="8">
        <f>17.2791 * CHOOSE( CONTROL!$C$15, $D$11, 100%, $F$11)</f>
        <v>17.2791</v>
      </c>
      <c r="E591" s="12">
        <f>17.2842 * CHOOSE( CONTROL!$C$15, $D$11, 100%, $F$11)</f>
        <v>17.284199999999998</v>
      </c>
      <c r="F591" s="4">
        <f>17.9441 * CHOOSE(CONTROL!$C$15, $D$11, 100%, $F$11)</f>
        <v>17.944099999999999</v>
      </c>
      <c r="G591" s="8">
        <f>16.8988 * CHOOSE( CONTROL!$C$15, $D$11, 100%, $F$11)</f>
        <v>16.898800000000001</v>
      </c>
      <c r="H591" s="4">
        <f>17.778 * CHOOSE(CONTROL!$C$15, $D$11, 100%, $F$11)</f>
        <v>17.777999999999999</v>
      </c>
      <c r="I591" s="8">
        <f>16.7387 * CHOOSE(CONTROL!$C$15, $D$11, 100%, $F$11)</f>
        <v>16.738700000000001</v>
      </c>
      <c r="J591" s="4">
        <f>16.5814 * CHOOSE(CONTROL!$C$15, $D$11, 100%, $F$11)</f>
        <v>16.581399999999999</v>
      </c>
      <c r="K591" s="4"/>
      <c r="L591" s="9">
        <v>28.360600000000002</v>
      </c>
      <c r="M591" s="9">
        <v>11.6745</v>
      </c>
      <c r="N591" s="9">
        <v>4.7850000000000001</v>
      </c>
      <c r="O591" s="9">
        <v>0.36199999999999999</v>
      </c>
      <c r="P591" s="9">
        <v>1.2509999999999999</v>
      </c>
      <c r="Q591" s="9">
        <v>19.053000000000001</v>
      </c>
      <c r="R591" s="9"/>
      <c r="S591" s="11"/>
    </row>
    <row r="592" spans="1:19" ht="15.75">
      <c r="A592" s="13">
        <v>59536</v>
      </c>
      <c r="B592" s="8">
        <f>17.2542 * CHOOSE(CONTROL!$C$15, $D$11, 100%, $F$11)</f>
        <v>17.254200000000001</v>
      </c>
      <c r="C592" s="8">
        <f>17.2649 * CHOOSE(CONTROL!$C$15, $D$11, 100%, $F$11)</f>
        <v>17.264900000000001</v>
      </c>
      <c r="D592" s="8">
        <f>17.2494 * CHOOSE( CONTROL!$C$15, $D$11, 100%, $F$11)</f>
        <v>17.249400000000001</v>
      </c>
      <c r="E592" s="12">
        <f>17.2539 * CHOOSE( CONTROL!$C$15, $D$11, 100%, $F$11)</f>
        <v>17.253900000000002</v>
      </c>
      <c r="F592" s="4">
        <f>17.9127 * CHOOSE(CONTROL!$C$15, $D$11, 100%, $F$11)</f>
        <v>17.912700000000001</v>
      </c>
      <c r="G592" s="8">
        <f>16.8693 * CHOOSE( CONTROL!$C$15, $D$11, 100%, $F$11)</f>
        <v>16.869299999999999</v>
      </c>
      <c r="H592" s="4">
        <f>17.7473 * CHOOSE(CONTROL!$C$15, $D$11, 100%, $F$11)</f>
        <v>17.747299999999999</v>
      </c>
      <c r="I592" s="8">
        <f>16.7138 * CHOOSE(CONTROL!$C$15, $D$11, 100%, $F$11)</f>
        <v>16.713799999999999</v>
      </c>
      <c r="J592" s="4">
        <f>16.5513 * CHOOSE(CONTROL!$C$15, $D$11, 100%, $F$11)</f>
        <v>16.551300000000001</v>
      </c>
      <c r="K592" s="4"/>
      <c r="L592" s="9">
        <v>29.306000000000001</v>
      </c>
      <c r="M592" s="9">
        <v>12.063700000000001</v>
      </c>
      <c r="N592" s="9">
        <v>4.9444999999999997</v>
      </c>
      <c r="O592" s="9">
        <v>0.37409999999999999</v>
      </c>
      <c r="P592" s="9">
        <v>1.2927</v>
      </c>
      <c r="Q592" s="9">
        <v>19.688099999999999</v>
      </c>
      <c r="R592" s="9"/>
      <c r="S592" s="11"/>
    </row>
    <row r="593" spans="1:19" ht="15.75">
      <c r="A593" s="13">
        <v>59567</v>
      </c>
      <c r="B593" s="8">
        <f>17.7627 * CHOOSE(CONTROL!$C$15, $D$11, 100%, $F$11)</f>
        <v>17.762699999999999</v>
      </c>
      <c r="C593" s="8">
        <f>17.7734 * CHOOSE(CONTROL!$C$15, $D$11, 100%, $F$11)</f>
        <v>17.773399999999999</v>
      </c>
      <c r="D593" s="8">
        <f>17.7548 * CHOOSE( CONTROL!$C$15, $D$11, 100%, $F$11)</f>
        <v>17.754799999999999</v>
      </c>
      <c r="E593" s="12">
        <f>17.7605 * CHOOSE( CONTROL!$C$15, $D$11, 100%, $F$11)</f>
        <v>17.7605</v>
      </c>
      <c r="F593" s="4">
        <f>18.4212 * CHOOSE(CONTROL!$C$15, $D$11, 100%, $F$11)</f>
        <v>18.421199999999999</v>
      </c>
      <c r="G593" s="8">
        <f>17.3589 * CHOOSE( CONTROL!$C$15, $D$11, 100%, $F$11)</f>
        <v>17.358899999999998</v>
      </c>
      <c r="H593" s="4">
        <f>18.2445 * CHOOSE(CONTROL!$C$15, $D$11, 100%, $F$11)</f>
        <v>18.244499999999999</v>
      </c>
      <c r="I593" s="8">
        <f>17.1671 * CHOOSE(CONTROL!$C$15, $D$11, 100%, $F$11)</f>
        <v>17.167100000000001</v>
      </c>
      <c r="J593" s="4">
        <f>17.0395 * CHOOSE(CONTROL!$C$15, $D$11, 100%, $F$11)</f>
        <v>17.0395</v>
      </c>
      <c r="K593" s="4"/>
      <c r="L593" s="9">
        <v>29.306000000000001</v>
      </c>
      <c r="M593" s="9">
        <v>12.063700000000001</v>
      </c>
      <c r="N593" s="9">
        <v>4.9444999999999997</v>
      </c>
      <c r="O593" s="9">
        <v>0.37409999999999999</v>
      </c>
      <c r="P593" s="9">
        <v>1.2927</v>
      </c>
      <c r="Q593" s="9">
        <v>19.688099999999999</v>
      </c>
      <c r="R593" s="9"/>
      <c r="S593" s="11"/>
    </row>
    <row r="594" spans="1:19" ht="15.75">
      <c r="A594" s="13">
        <v>59595</v>
      </c>
      <c r="B594" s="8">
        <f>16.6153 * CHOOSE(CONTROL!$C$15, $D$11, 100%, $F$11)</f>
        <v>16.615300000000001</v>
      </c>
      <c r="C594" s="8">
        <f>16.6261 * CHOOSE(CONTROL!$C$15, $D$11, 100%, $F$11)</f>
        <v>16.626100000000001</v>
      </c>
      <c r="D594" s="8">
        <f>16.6074 * CHOOSE( CONTROL!$C$15, $D$11, 100%, $F$11)</f>
        <v>16.607399999999998</v>
      </c>
      <c r="E594" s="12">
        <f>16.6131 * CHOOSE( CONTROL!$C$15, $D$11, 100%, $F$11)</f>
        <v>16.613099999999999</v>
      </c>
      <c r="F594" s="4">
        <f>17.2738 * CHOOSE(CONTROL!$C$15, $D$11, 100%, $F$11)</f>
        <v>17.273800000000001</v>
      </c>
      <c r="G594" s="8">
        <f>16.2371 * CHOOSE( CONTROL!$C$15, $D$11, 100%, $F$11)</f>
        <v>16.237100000000002</v>
      </c>
      <c r="H594" s="4">
        <f>17.1227 * CHOOSE(CONTROL!$C$15, $D$11, 100%, $F$11)</f>
        <v>17.122699999999998</v>
      </c>
      <c r="I594" s="8">
        <f>16.0647 * CHOOSE(CONTROL!$C$15, $D$11, 100%, $F$11)</f>
        <v>16.064699999999998</v>
      </c>
      <c r="J594" s="4">
        <f>15.9379 * CHOOSE(CONTROL!$C$15, $D$11, 100%, $F$11)</f>
        <v>15.937900000000001</v>
      </c>
      <c r="K594" s="4"/>
      <c r="L594" s="9">
        <v>26.469899999999999</v>
      </c>
      <c r="M594" s="9">
        <v>10.8962</v>
      </c>
      <c r="N594" s="9">
        <v>4.4660000000000002</v>
      </c>
      <c r="O594" s="9">
        <v>0.33789999999999998</v>
      </c>
      <c r="P594" s="9">
        <v>1.1676</v>
      </c>
      <c r="Q594" s="9">
        <v>17.782800000000002</v>
      </c>
      <c r="R594" s="9"/>
      <c r="S594" s="11"/>
    </row>
    <row r="595" spans="1:19" ht="15.75">
      <c r="A595" s="13">
        <v>59626</v>
      </c>
      <c r="B595" s="8">
        <f>16.2619 * CHOOSE(CONTROL!$C$15, $D$11, 100%, $F$11)</f>
        <v>16.261900000000001</v>
      </c>
      <c r="C595" s="8">
        <f>16.2727 * CHOOSE(CONTROL!$C$15, $D$11, 100%, $F$11)</f>
        <v>16.2727</v>
      </c>
      <c r="D595" s="8">
        <f>16.2535 * CHOOSE( CONTROL!$C$15, $D$11, 100%, $F$11)</f>
        <v>16.253499999999999</v>
      </c>
      <c r="E595" s="12">
        <f>16.2594 * CHOOSE( CONTROL!$C$15, $D$11, 100%, $F$11)</f>
        <v>16.259399999999999</v>
      </c>
      <c r="F595" s="4">
        <f>16.9204 * CHOOSE(CONTROL!$C$15, $D$11, 100%, $F$11)</f>
        <v>16.920400000000001</v>
      </c>
      <c r="G595" s="8">
        <f>15.8912 * CHOOSE( CONTROL!$C$15, $D$11, 100%, $F$11)</f>
        <v>15.8912</v>
      </c>
      <c r="H595" s="4">
        <f>16.7772 * CHOOSE(CONTROL!$C$15, $D$11, 100%, $F$11)</f>
        <v>16.777200000000001</v>
      </c>
      <c r="I595" s="8">
        <f>15.7237 * CHOOSE(CONTROL!$C$15, $D$11, 100%, $F$11)</f>
        <v>15.723699999999999</v>
      </c>
      <c r="J595" s="4">
        <f>15.5986 * CHOOSE(CONTROL!$C$15, $D$11, 100%, $F$11)</f>
        <v>15.598599999999999</v>
      </c>
      <c r="K595" s="4"/>
      <c r="L595" s="9">
        <v>29.306000000000001</v>
      </c>
      <c r="M595" s="9">
        <v>12.063700000000001</v>
      </c>
      <c r="N595" s="9">
        <v>4.9444999999999997</v>
      </c>
      <c r="O595" s="9">
        <v>0.37409999999999999</v>
      </c>
      <c r="P595" s="9">
        <v>1.2927</v>
      </c>
      <c r="Q595" s="9">
        <v>19.688099999999999</v>
      </c>
      <c r="R595" s="9"/>
      <c r="S595" s="11"/>
    </row>
    <row r="596" spans="1:19" ht="15.75">
      <c r="A596" s="13">
        <v>59656</v>
      </c>
      <c r="B596" s="8">
        <f>16.5088 * CHOOSE(CONTROL!$C$15, $D$11, 100%, $F$11)</f>
        <v>16.508800000000001</v>
      </c>
      <c r="C596" s="8">
        <f>16.5196 * CHOOSE(CONTROL!$C$15, $D$11, 100%, $F$11)</f>
        <v>16.519600000000001</v>
      </c>
      <c r="D596" s="8">
        <f>16.5566 * CHOOSE( CONTROL!$C$15, $D$11, 100%, $F$11)</f>
        <v>16.5566</v>
      </c>
      <c r="E596" s="12">
        <f>16.5431 * CHOOSE( CONTROL!$C$15, $D$11, 100%, $F$11)</f>
        <v>16.543099999999999</v>
      </c>
      <c r="F596" s="4">
        <f>17.2481 * CHOOSE(CONTROL!$C$15, $D$11, 100%, $F$11)</f>
        <v>17.248100000000001</v>
      </c>
      <c r="G596" s="8">
        <f>16.1319 * CHOOSE( CONTROL!$C$15, $D$11, 100%, $F$11)</f>
        <v>16.131900000000002</v>
      </c>
      <c r="H596" s="4">
        <f>17.0976 * CHOOSE(CONTROL!$C$15, $D$11, 100%, $F$11)</f>
        <v>17.0976</v>
      </c>
      <c r="I596" s="8">
        <f>15.9528 * CHOOSE(CONTROL!$C$15, $D$11, 100%, $F$11)</f>
        <v>15.9528</v>
      </c>
      <c r="J596" s="4">
        <f>15.8357 * CHOOSE(CONTROL!$C$15, $D$11, 100%, $F$11)</f>
        <v>15.835699999999999</v>
      </c>
      <c r="K596" s="4"/>
      <c r="L596" s="9">
        <v>30.092199999999998</v>
      </c>
      <c r="M596" s="9">
        <v>11.6745</v>
      </c>
      <c r="N596" s="9">
        <v>4.7850000000000001</v>
      </c>
      <c r="O596" s="9">
        <v>0.36199999999999999</v>
      </c>
      <c r="P596" s="9">
        <v>1.1791</v>
      </c>
      <c r="Q596" s="9">
        <v>19.053000000000001</v>
      </c>
      <c r="R596" s="9"/>
      <c r="S596" s="11"/>
    </row>
    <row r="597" spans="1:19" ht="15.75">
      <c r="A597" s="13">
        <v>59687</v>
      </c>
      <c r="B597" s="8">
        <f>CHOOSE( CONTROL!$C$32, 16.9506, 16.9482) * CHOOSE(CONTROL!$C$15, $D$11, 100%, $F$11)</f>
        <v>16.950600000000001</v>
      </c>
      <c r="C597" s="8">
        <f>CHOOSE( CONTROL!$C$32, 16.9612, 16.9588) * CHOOSE(CONTROL!$C$15, $D$11, 100%, $F$11)</f>
        <v>16.961200000000002</v>
      </c>
      <c r="D597" s="8">
        <f>CHOOSE( CONTROL!$C$32, 16.997, 16.9946) * CHOOSE( CONTROL!$C$15, $D$11, 100%, $F$11)</f>
        <v>16.997</v>
      </c>
      <c r="E597" s="12">
        <f>CHOOSE( CONTROL!$C$32, 16.9824, 16.98) * CHOOSE( CONTROL!$C$15, $D$11, 100%, $F$11)</f>
        <v>16.982399999999998</v>
      </c>
      <c r="F597" s="4">
        <f>CHOOSE( CONTROL!$C$32, 17.69, 17.6876) * CHOOSE(CONTROL!$C$15, $D$11, 100%, $F$11)</f>
        <v>17.690000000000001</v>
      </c>
      <c r="G597" s="8">
        <f>CHOOSE( CONTROL!$C$32, 16.5644, 16.5621) * CHOOSE( CONTROL!$C$15, $D$11, 100%, $F$11)</f>
        <v>16.564399999999999</v>
      </c>
      <c r="H597" s="4">
        <f>CHOOSE( CONTROL!$C$32, 17.5296, 17.5273) * CHOOSE(CONTROL!$C$15, $D$11, 100%, $F$11)</f>
        <v>17.529599999999999</v>
      </c>
      <c r="I597" s="8">
        <f>CHOOSE( CONTROL!$C$32, 16.3773, 16.375) * CHOOSE(CONTROL!$C$15, $D$11, 100%, $F$11)</f>
        <v>16.377300000000002</v>
      </c>
      <c r="J597" s="4">
        <f>CHOOSE( CONTROL!$C$32, 16.26, 16.2577) * CHOOSE(CONTROL!$C$15, $D$11, 100%, $F$11)</f>
        <v>16.260000000000002</v>
      </c>
      <c r="K597" s="4"/>
      <c r="L597" s="9">
        <v>30.7165</v>
      </c>
      <c r="M597" s="9">
        <v>12.063700000000001</v>
      </c>
      <c r="N597" s="9">
        <v>4.9444999999999997</v>
      </c>
      <c r="O597" s="9">
        <v>0.37409999999999999</v>
      </c>
      <c r="P597" s="9">
        <v>1.2183999999999999</v>
      </c>
      <c r="Q597" s="9">
        <v>19.688099999999999</v>
      </c>
      <c r="R597" s="9"/>
      <c r="S597" s="11"/>
    </row>
    <row r="598" spans="1:19" ht="15.75">
      <c r="A598" s="13">
        <v>59717</v>
      </c>
      <c r="B598" s="8">
        <f>CHOOSE( CONTROL!$C$32, 16.6784, 16.676) * CHOOSE(CONTROL!$C$15, $D$11, 100%, $F$11)</f>
        <v>16.6784</v>
      </c>
      <c r="C598" s="8">
        <f>CHOOSE( CONTROL!$C$32, 16.6889, 16.6865) * CHOOSE(CONTROL!$C$15, $D$11, 100%, $F$11)</f>
        <v>16.6889</v>
      </c>
      <c r="D598" s="8">
        <f>CHOOSE( CONTROL!$C$32, 16.725, 16.7226) * CHOOSE( CONTROL!$C$15, $D$11, 100%, $F$11)</f>
        <v>16.725000000000001</v>
      </c>
      <c r="E598" s="12">
        <f>CHOOSE( CONTROL!$C$32, 16.7103, 16.7079) * CHOOSE( CONTROL!$C$15, $D$11, 100%, $F$11)</f>
        <v>16.7103</v>
      </c>
      <c r="F598" s="4">
        <f>CHOOSE( CONTROL!$C$32, 17.4177, 17.4153) * CHOOSE(CONTROL!$C$15, $D$11, 100%, $F$11)</f>
        <v>17.4177</v>
      </c>
      <c r="G598" s="8">
        <f>CHOOSE( CONTROL!$C$32, 16.2985, 16.2962) * CHOOSE( CONTROL!$C$15, $D$11, 100%, $F$11)</f>
        <v>16.298500000000001</v>
      </c>
      <c r="H598" s="4">
        <f>CHOOSE( CONTROL!$C$32, 17.2634, 17.2611) * CHOOSE(CONTROL!$C$15, $D$11, 100%, $F$11)</f>
        <v>17.263400000000001</v>
      </c>
      <c r="I598" s="8">
        <f>CHOOSE( CONTROL!$C$32, 16.1167, 16.1144) * CHOOSE(CONTROL!$C$15, $D$11, 100%, $F$11)</f>
        <v>16.116700000000002</v>
      </c>
      <c r="J598" s="4">
        <f>CHOOSE( CONTROL!$C$32, 15.9986, 15.9963) * CHOOSE(CONTROL!$C$15, $D$11, 100%, $F$11)</f>
        <v>15.9986</v>
      </c>
      <c r="K598" s="4"/>
      <c r="L598" s="9">
        <v>29.7257</v>
      </c>
      <c r="M598" s="9">
        <v>11.6745</v>
      </c>
      <c r="N598" s="9">
        <v>4.7850000000000001</v>
      </c>
      <c r="O598" s="9">
        <v>0.36199999999999999</v>
      </c>
      <c r="P598" s="9">
        <v>1.1791</v>
      </c>
      <c r="Q598" s="9">
        <v>19.053000000000001</v>
      </c>
      <c r="R598" s="9"/>
      <c r="S598" s="11"/>
    </row>
    <row r="599" spans="1:19" ht="15.75">
      <c r="A599" s="13">
        <v>59748</v>
      </c>
      <c r="B599" s="8">
        <f>CHOOSE( CONTROL!$C$32, 17.3953, 17.3929) * CHOOSE(CONTROL!$C$15, $D$11, 100%, $F$11)</f>
        <v>17.395299999999999</v>
      </c>
      <c r="C599" s="8">
        <f>CHOOSE( CONTROL!$C$32, 17.4059, 17.4035) * CHOOSE(CONTROL!$C$15, $D$11, 100%, $F$11)</f>
        <v>17.405899999999999</v>
      </c>
      <c r="D599" s="8">
        <f>CHOOSE( CONTROL!$C$32, 17.4421, 17.4397) * CHOOSE( CONTROL!$C$15, $D$11, 100%, $F$11)</f>
        <v>17.4421</v>
      </c>
      <c r="E599" s="12">
        <f>CHOOSE( CONTROL!$C$32, 17.4274, 17.425) * CHOOSE( CONTROL!$C$15, $D$11, 100%, $F$11)</f>
        <v>17.427399999999999</v>
      </c>
      <c r="F599" s="4">
        <f>CHOOSE( CONTROL!$C$32, 18.1347, 18.1323) * CHOOSE(CONTROL!$C$15, $D$11, 100%, $F$11)</f>
        <v>18.134699999999999</v>
      </c>
      <c r="G599" s="8">
        <f>CHOOSE( CONTROL!$C$32, 16.9998, 16.9975) * CHOOSE( CONTROL!$C$15, $D$11, 100%, $F$11)</f>
        <v>16.9998</v>
      </c>
      <c r="H599" s="4">
        <f>CHOOSE( CONTROL!$C$32, 17.9644, 17.962) * CHOOSE(CONTROL!$C$15, $D$11, 100%, $F$11)</f>
        <v>17.964400000000001</v>
      </c>
      <c r="I599" s="8">
        <f>CHOOSE( CONTROL!$C$32, 16.8064, 16.8041) * CHOOSE(CONTROL!$C$15, $D$11, 100%, $F$11)</f>
        <v>16.8064</v>
      </c>
      <c r="J599" s="4">
        <f>CHOOSE( CONTROL!$C$32, 16.6869, 16.6846) * CHOOSE(CONTROL!$C$15, $D$11, 100%, $F$11)</f>
        <v>16.686900000000001</v>
      </c>
      <c r="K599" s="4"/>
      <c r="L599" s="9">
        <v>30.7165</v>
      </c>
      <c r="M599" s="9">
        <v>12.063700000000001</v>
      </c>
      <c r="N599" s="9">
        <v>4.9444999999999997</v>
      </c>
      <c r="O599" s="9">
        <v>0.37409999999999999</v>
      </c>
      <c r="P599" s="9">
        <v>1.2183999999999999</v>
      </c>
      <c r="Q599" s="9">
        <v>19.688099999999999</v>
      </c>
      <c r="R599" s="9"/>
      <c r="S599" s="11"/>
    </row>
    <row r="600" spans="1:19" ht="15.75">
      <c r="A600" s="13">
        <v>59779</v>
      </c>
      <c r="B600" s="8">
        <f>CHOOSE( CONTROL!$C$32, 16.0538, 16.0515) * CHOOSE(CONTROL!$C$15, $D$11, 100%, $F$11)</f>
        <v>16.053799999999999</v>
      </c>
      <c r="C600" s="8">
        <f>CHOOSE( CONTROL!$C$32, 16.0644, 16.062) * CHOOSE(CONTROL!$C$15, $D$11, 100%, $F$11)</f>
        <v>16.064399999999999</v>
      </c>
      <c r="D600" s="8">
        <f>CHOOSE( CONTROL!$C$32, 16.1007, 16.0983) * CHOOSE( CONTROL!$C$15, $D$11, 100%, $F$11)</f>
        <v>16.1007</v>
      </c>
      <c r="E600" s="12">
        <f>CHOOSE( CONTROL!$C$32, 16.0859, 16.0835) * CHOOSE( CONTROL!$C$15, $D$11, 100%, $F$11)</f>
        <v>16.085899999999999</v>
      </c>
      <c r="F600" s="4">
        <f>CHOOSE( CONTROL!$C$32, 16.7932, 16.7908) * CHOOSE(CONTROL!$C$15, $D$11, 100%, $F$11)</f>
        <v>16.793199999999999</v>
      </c>
      <c r="G600" s="8">
        <f>CHOOSE( CONTROL!$C$32, 15.6883, 15.686) * CHOOSE( CONTROL!$C$15, $D$11, 100%, $F$11)</f>
        <v>15.6883</v>
      </c>
      <c r="H600" s="4">
        <f>CHOOSE( CONTROL!$C$32, 16.6528, 16.6505) * CHOOSE(CONTROL!$C$15, $D$11, 100%, $F$11)</f>
        <v>16.652799999999999</v>
      </c>
      <c r="I600" s="8">
        <f>CHOOSE( CONTROL!$C$32, 15.5181, 15.5158) * CHOOSE(CONTROL!$C$15, $D$11, 100%, $F$11)</f>
        <v>15.5181</v>
      </c>
      <c r="J600" s="4">
        <f>CHOOSE( CONTROL!$C$32, 15.399, 15.3967) * CHOOSE(CONTROL!$C$15, $D$11, 100%, $F$11)</f>
        <v>15.398999999999999</v>
      </c>
      <c r="K600" s="4"/>
      <c r="L600" s="9">
        <v>30.7165</v>
      </c>
      <c r="M600" s="9">
        <v>12.063700000000001</v>
      </c>
      <c r="N600" s="9">
        <v>4.9444999999999997</v>
      </c>
      <c r="O600" s="9">
        <v>0.37409999999999999</v>
      </c>
      <c r="P600" s="9">
        <v>1.2183999999999999</v>
      </c>
      <c r="Q600" s="9">
        <v>19.688099999999999</v>
      </c>
      <c r="R600" s="9"/>
      <c r="S600" s="11"/>
    </row>
    <row r="601" spans="1:19" ht="15.75">
      <c r="A601" s="13">
        <v>59809</v>
      </c>
      <c r="B601" s="8">
        <f>CHOOSE( CONTROL!$C$32, 15.7179, 15.7155) * CHOOSE(CONTROL!$C$15, $D$11, 100%, $F$11)</f>
        <v>15.7179</v>
      </c>
      <c r="C601" s="8">
        <f>CHOOSE( CONTROL!$C$32, 15.7285, 15.7261) * CHOOSE(CONTROL!$C$15, $D$11, 100%, $F$11)</f>
        <v>15.7285</v>
      </c>
      <c r="D601" s="8">
        <f>CHOOSE( CONTROL!$C$32, 15.7647, 15.7623) * CHOOSE( CONTROL!$C$15, $D$11, 100%, $F$11)</f>
        <v>15.764699999999999</v>
      </c>
      <c r="E601" s="12">
        <f>CHOOSE( CONTROL!$C$32, 15.75, 15.7476) * CHOOSE( CONTROL!$C$15, $D$11, 100%, $F$11)</f>
        <v>15.75</v>
      </c>
      <c r="F601" s="4">
        <f>CHOOSE( CONTROL!$C$32, 16.4573, 16.4549) * CHOOSE(CONTROL!$C$15, $D$11, 100%, $F$11)</f>
        <v>16.4573</v>
      </c>
      <c r="G601" s="8">
        <f>CHOOSE( CONTROL!$C$32, 15.3598, 15.3575) * CHOOSE( CONTROL!$C$15, $D$11, 100%, $F$11)</f>
        <v>15.3598</v>
      </c>
      <c r="H601" s="4">
        <f>CHOOSE( CONTROL!$C$32, 16.3244, 16.3221) * CHOOSE(CONTROL!$C$15, $D$11, 100%, $F$11)</f>
        <v>16.324400000000001</v>
      </c>
      <c r="I601" s="8">
        <f>CHOOSE( CONTROL!$C$32, 15.1951, 15.1928) * CHOOSE(CONTROL!$C$15, $D$11, 100%, $F$11)</f>
        <v>15.1951</v>
      </c>
      <c r="J601" s="4">
        <f>CHOOSE( CONTROL!$C$32, 15.0765, 15.0742) * CHOOSE(CONTROL!$C$15, $D$11, 100%, $F$11)</f>
        <v>15.076499999999999</v>
      </c>
      <c r="K601" s="4"/>
      <c r="L601" s="9">
        <v>29.7257</v>
      </c>
      <c r="M601" s="9">
        <v>11.6745</v>
      </c>
      <c r="N601" s="9">
        <v>4.7850000000000001</v>
      </c>
      <c r="O601" s="9">
        <v>0.36199999999999999</v>
      </c>
      <c r="P601" s="9">
        <v>1.1791</v>
      </c>
      <c r="Q601" s="9">
        <v>19.053000000000001</v>
      </c>
      <c r="R601" s="9"/>
      <c r="S601" s="11"/>
    </row>
    <row r="602" spans="1:19" ht="15.75">
      <c r="A602" s="13">
        <v>59840</v>
      </c>
      <c r="B602" s="8">
        <f>16.4131 * CHOOSE(CONTROL!$C$15, $D$11, 100%, $F$11)</f>
        <v>16.4131</v>
      </c>
      <c r="C602" s="8">
        <f>16.4239 * CHOOSE(CONTROL!$C$15, $D$11, 100%, $F$11)</f>
        <v>16.4239</v>
      </c>
      <c r="D602" s="8">
        <f>16.4614 * CHOOSE( CONTROL!$C$15, $D$11, 100%, $F$11)</f>
        <v>16.461400000000001</v>
      </c>
      <c r="E602" s="12">
        <f>16.4479 * CHOOSE( CONTROL!$C$15, $D$11, 100%, $F$11)</f>
        <v>16.447900000000001</v>
      </c>
      <c r="F602" s="4">
        <f>17.1524 * CHOOSE(CONTROL!$C$15, $D$11, 100%, $F$11)</f>
        <v>17.1524</v>
      </c>
      <c r="G602" s="8">
        <f>16.0392 * CHOOSE( CONTROL!$C$15, $D$11, 100%, $F$11)</f>
        <v>16.039200000000001</v>
      </c>
      <c r="H602" s="4">
        <f>17.004 * CHOOSE(CONTROL!$C$15, $D$11, 100%, $F$11)</f>
        <v>17.004000000000001</v>
      </c>
      <c r="I602" s="8">
        <f>15.8635 * CHOOSE(CONTROL!$C$15, $D$11, 100%, $F$11)</f>
        <v>15.8635</v>
      </c>
      <c r="J602" s="4">
        <f>15.7438 * CHOOSE(CONTROL!$C$15, $D$11, 100%, $F$11)</f>
        <v>15.7438</v>
      </c>
      <c r="K602" s="4"/>
      <c r="L602" s="9">
        <v>31.095300000000002</v>
      </c>
      <c r="M602" s="9">
        <v>12.063700000000001</v>
      </c>
      <c r="N602" s="9">
        <v>4.9444999999999997</v>
      </c>
      <c r="O602" s="9">
        <v>0.37409999999999999</v>
      </c>
      <c r="P602" s="9">
        <v>1.2183999999999999</v>
      </c>
      <c r="Q602" s="9">
        <v>19.688099999999999</v>
      </c>
      <c r="R602" s="9"/>
      <c r="S602" s="11"/>
    </row>
    <row r="603" spans="1:19" ht="15.75">
      <c r="A603" s="13">
        <v>59870</v>
      </c>
      <c r="B603" s="8">
        <f>17.7006 * CHOOSE(CONTROL!$C$15, $D$11, 100%, $F$11)</f>
        <v>17.700600000000001</v>
      </c>
      <c r="C603" s="8">
        <f>17.7113 * CHOOSE(CONTROL!$C$15, $D$11, 100%, $F$11)</f>
        <v>17.711300000000001</v>
      </c>
      <c r="D603" s="8">
        <f>17.6941 * CHOOSE( CONTROL!$C$15, $D$11, 100%, $F$11)</f>
        <v>17.694099999999999</v>
      </c>
      <c r="E603" s="12">
        <f>17.6992 * CHOOSE( CONTROL!$C$15, $D$11, 100%, $F$11)</f>
        <v>17.699200000000001</v>
      </c>
      <c r="F603" s="4">
        <f>18.3591 * CHOOSE(CONTROL!$C$15, $D$11, 100%, $F$11)</f>
        <v>18.359100000000002</v>
      </c>
      <c r="G603" s="8">
        <f>17.3045 * CHOOSE( CONTROL!$C$15, $D$11, 100%, $F$11)</f>
        <v>17.304500000000001</v>
      </c>
      <c r="H603" s="4">
        <f>18.1838 * CHOOSE(CONTROL!$C$15, $D$11, 100%, $F$11)</f>
        <v>18.183800000000002</v>
      </c>
      <c r="I603" s="8">
        <f>17.1374 * CHOOSE(CONTROL!$C$15, $D$11, 100%, $F$11)</f>
        <v>17.1374</v>
      </c>
      <c r="J603" s="4">
        <f>16.9798 * CHOOSE(CONTROL!$C$15, $D$11, 100%, $F$11)</f>
        <v>16.979800000000001</v>
      </c>
      <c r="K603" s="4"/>
      <c r="L603" s="9">
        <v>28.360600000000002</v>
      </c>
      <c r="M603" s="9">
        <v>11.6745</v>
      </c>
      <c r="N603" s="9">
        <v>4.7850000000000001</v>
      </c>
      <c r="O603" s="9">
        <v>0.36199999999999999</v>
      </c>
      <c r="P603" s="9">
        <v>1.2509999999999999</v>
      </c>
      <c r="Q603" s="9">
        <v>19.053000000000001</v>
      </c>
      <c r="R603" s="9"/>
      <c r="S603" s="11"/>
    </row>
    <row r="604" spans="1:19" ht="15.75">
      <c r="A604" s="13">
        <v>59901</v>
      </c>
      <c r="B604" s="8">
        <f>17.6684 * CHOOSE(CONTROL!$C$15, $D$11, 100%, $F$11)</f>
        <v>17.668399999999998</v>
      </c>
      <c r="C604" s="8">
        <f>17.6791 * CHOOSE(CONTROL!$C$15, $D$11, 100%, $F$11)</f>
        <v>17.679099999999998</v>
      </c>
      <c r="D604" s="8">
        <f>17.6636 * CHOOSE( CONTROL!$C$15, $D$11, 100%, $F$11)</f>
        <v>17.663599999999999</v>
      </c>
      <c r="E604" s="12">
        <f>17.6681 * CHOOSE( CONTROL!$C$15, $D$11, 100%, $F$11)</f>
        <v>17.668099999999999</v>
      </c>
      <c r="F604" s="4">
        <f>18.3269 * CHOOSE(CONTROL!$C$15, $D$11, 100%, $F$11)</f>
        <v>18.326899999999998</v>
      </c>
      <c r="G604" s="8">
        <f>17.2743 * CHOOSE( CONTROL!$C$15, $D$11, 100%, $F$11)</f>
        <v>17.2743</v>
      </c>
      <c r="H604" s="4">
        <f>18.1523 * CHOOSE(CONTROL!$C$15, $D$11, 100%, $F$11)</f>
        <v>18.1523</v>
      </c>
      <c r="I604" s="8">
        <f>17.1116 * CHOOSE(CONTROL!$C$15, $D$11, 100%, $F$11)</f>
        <v>17.111599999999999</v>
      </c>
      <c r="J604" s="4">
        <f>16.949 * CHOOSE(CONTROL!$C$15, $D$11, 100%, $F$11)</f>
        <v>16.949000000000002</v>
      </c>
      <c r="K604" s="4"/>
      <c r="L604" s="9">
        <v>29.306000000000001</v>
      </c>
      <c r="M604" s="9">
        <v>12.063700000000001</v>
      </c>
      <c r="N604" s="9">
        <v>4.9444999999999997</v>
      </c>
      <c r="O604" s="9">
        <v>0.37409999999999999</v>
      </c>
      <c r="P604" s="9">
        <v>1.2927</v>
      </c>
      <c r="Q604" s="9">
        <v>19.688099999999999</v>
      </c>
      <c r="R604" s="9"/>
      <c r="S604" s="11"/>
    </row>
    <row r="605" spans="1:19" ht="15.75">
      <c r="A605" s="13">
        <v>59932</v>
      </c>
      <c r="B605" s="8">
        <f>18.1891 * CHOOSE(CONTROL!$C$15, $D$11, 100%, $F$11)</f>
        <v>18.1891</v>
      </c>
      <c r="C605" s="8">
        <f>18.1999 * CHOOSE(CONTROL!$C$15, $D$11, 100%, $F$11)</f>
        <v>18.1999</v>
      </c>
      <c r="D605" s="8">
        <f>18.1813 * CHOOSE( CONTROL!$C$15, $D$11, 100%, $F$11)</f>
        <v>18.1813</v>
      </c>
      <c r="E605" s="12">
        <f>18.187 * CHOOSE( CONTROL!$C$15, $D$11, 100%, $F$11)</f>
        <v>18.187000000000001</v>
      </c>
      <c r="F605" s="4">
        <f>18.8476 * CHOOSE(CONTROL!$C$15, $D$11, 100%, $F$11)</f>
        <v>18.8476</v>
      </c>
      <c r="G605" s="8">
        <f>17.7758 * CHOOSE( CONTROL!$C$15, $D$11, 100%, $F$11)</f>
        <v>17.7758</v>
      </c>
      <c r="H605" s="4">
        <f>18.6614 * CHOOSE(CONTROL!$C$15, $D$11, 100%, $F$11)</f>
        <v>18.6614</v>
      </c>
      <c r="I605" s="8">
        <f>17.5767 * CHOOSE(CONTROL!$C$15, $D$11, 100%, $F$11)</f>
        <v>17.576699999999999</v>
      </c>
      <c r="J605" s="4">
        <f>17.4489 * CHOOSE(CONTROL!$C$15, $D$11, 100%, $F$11)</f>
        <v>17.448899999999998</v>
      </c>
      <c r="K605" s="4"/>
      <c r="L605" s="9">
        <v>29.306000000000001</v>
      </c>
      <c r="M605" s="9">
        <v>12.063700000000001</v>
      </c>
      <c r="N605" s="9">
        <v>4.9444999999999997</v>
      </c>
      <c r="O605" s="9">
        <v>0.37409999999999999</v>
      </c>
      <c r="P605" s="9">
        <v>1.2927</v>
      </c>
      <c r="Q605" s="9">
        <v>19.688099999999999</v>
      </c>
      <c r="R605" s="9"/>
      <c r="S605" s="11"/>
    </row>
    <row r="606" spans="1:19" ht="15.75">
      <c r="A606" s="13">
        <v>59961</v>
      </c>
      <c r="B606" s="8">
        <f>17.0142 * CHOOSE(CONTROL!$C$15, $D$11, 100%, $F$11)</f>
        <v>17.014199999999999</v>
      </c>
      <c r="C606" s="8">
        <f>17.0249 * CHOOSE(CONTROL!$C$15, $D$11, 100%, $F$11)</f>
        <v>17.024899999999999</v>
      </c>
      <c r="D606" s="8">
        <f>17.0062 * CHOOSE( CONTROL!$C$15, $D$11, 100%, $F$11)</f>
        <v>17.0062</v>
      </c>
      <c r="E606" s="12">
        <f>17.0119 * CHOOSE( CONTROL!$C$15, $D$11, 100%, $F$11)</f>
        <v>17.011900000000001</v>
      </c>
      <c r="F606" s="4">
        <f>17.6727 * CHOOSE(CONTROL!$C$15, $D$11, 100%, $F$11)</f>
        <v>17.672699999999999</v>
      </c>
      <c r="G606" s="8">
        <f>16.627 * CHOOSE( CONTROL!$C$15, $D$11, 100%, $F$11)</f>
        <v>16.626999999999999</v>
      </c>
      <c r="H606" s="4">
        <f>17.5127 * CHOOSE(CONTROL!$C$15, $D$11, 100%, $F$11)</f>
        <v>17.512699999999999</v>
      </c>
      <c r="I606" s="8">
        <f>16.4478 * CHOOSE(CONTROL!$C$15, $D$11, 100%, $F$11)</f>
        <v>16.447800000000001</v>
      </c>
      <c r="J606" s="4">
        <f>16.3209 * CHOOSE(CONTROL!$C$15, $D$11, 100%, $F$11)</f>
        <v>16.320900000000002</v>
      </c>
      <c r="K606" s="4"/>
      <c r="L606" s="9">
        <v>27.415299999999998</v>
      </c>
      <c r="M606" s="9">
        <v>11.285299999999999</v>
      </c>
      <c r="N606" s="9">
        <v>4.6254999999999997</v>
      </c>
      <c r="O606" s="9">
        <v>0.34989999999999999</v>
      </c>
      <c r="P606" s="9">
        <v>1.2093</v>
      </c>
      <c r="Q606" s="9">
        <v>18.417899999999999</v>
      </c>
      <c r="R606" s="9"/>
      <c r="S606" s="11"/>
    </row>
    <row r="607" spans="1:19" ht="15.75">
      <c r="A607" s="13">
        <v>59992</v>
      </c>
      <c r="B607" s="8">
        <f>16.6523 * CHOOSE(CONTROL!$C$15, $D$11, 100%, $F$11)</f>
        <v>16.6523</v>
      </c>
      <c r="C607" s="8">
        <f>16.6631 * CHOOSE(CONTROL!$C$15, $D$11, 100%, $F$11)</f>
        <v>16.6631</v>
      </c>
      <c r="D607" s="8">
        <f>16.6439 * CHOOSE( CONTROL!$C$15, $D$11, 100%, $F$11)</f>
        <v>16.643899999999999</v>
      </c>
      <c r="E607" s="12">
        <f>16.6498 * CHOOSE( CONTROL!$C$15, $D$11, 100%, $F$11)</f>
        <v>16.649799999999999</v>
      </c>
      <c r="F607" s="4">
        <f>17.3108 * CHOOSE(CONTROL!$C$15, $D$11, 100%, $F$11)</f>
        <v>17.3108</v>
      </c>
      <c r="G607" s="8">
        <f>16.2729 * CHOOSE( CONTROL!$C$15, $D$11, 100%, $F$11)</f>
        <v>16.2729</v>
      </c>
      <c r="H607" s="4">
        <f>17.1589 * CHOOSE(CONTROL!$C$15, $D$11, 100%, $F$11)</f>
        <v>17.158899999999999</v>
      </c>
      <c r="I607" s="8">
        <f>16.0987 * CHOOSE(CONTROL!$C$15, $D$11, 100%, $F$11)</f>
        <v>16.098700000000001</v>
      </c>
      <c r="J607" s="4">
        <f>15.9734 * CHOOSE(CONTROL!$C$15, $D$11, 100%, $F$11)</f>
        <v>15.9734</v>
      </c>
      <c r="K607" s="4"/>
      <c r="L607" s="9">
        <v>29.306000000000001</v>
      </c>
      <c r="M607" s="9">
        <v>12.063700000000001</v>
      </c>
      <c r="N607" s="9">
        <v>4.9444999999999997</v>
      </c>
      <c r="O607" s="9">
        <v>0.37409999999999999</v>
      </c>
      <c r="P607" s="9">
        <v>1.2927</v>
      </c>
      <c r="Q607" s="9">
        <v>19.688099999999999</v>
      </c>
      <c r="R607" s="9"/>
      <c r="S607" s="11"/>
    </row>
    <row r="608" spans="1:19" ht="15.75">
      <c r="A608" s="13">
        <v>60022</v>
      </c>
      <c r="B608" s="8">
        <f>16.9051 * CHOOSE(CONTROL!$C$15, $D$11, 100%, $F$11)</f>
        <v>16.905100000000001</v>
      </c>
      <c r="C608" s="8">
        <f>16.9159 * CHOOSE(CONTROL!$C$15, $D$11, 100%, $F$11)</f>
        <v>16.915900000000001</v>
      </c>
      <c r="D608" s="8">
        <f>16.9529 * CHOOSE( CONTROL!$C$15, $D$11, 100%, $F$11)</f>
        <v>16.9529</v>
      </c>
      <c r="E608" s="12">
        <f>16.9394 * CHOOSE( CONTROL!$C$15, $D$11, 100%, $F$11)</f>
        <v>16.939399999999999</v>
      </c>
      <c r="F608" s="4">
        <f>17.6444 * CHOOSE(CONTROL!$C$15, $D$11, 100%, $F$11)</f>
        <v>17.644400000000001</v>
      </c>
      <c r="G608" s="8">
        <f>16.5193 * CHOOSE( CONTROL!$C$15, $D$11, 100%, $F$11)</f>
        <v>16.519300000000001</v>
      </c>
      <c r="H608" s="4">
        <f>17.485 * CHOOSE(CONTROL!$C$15, $D$11, 100%, $F$11)</f>
        <v>17.484999999999999</v>
      </c>
      <c r="I608" s="8">
        <f>16.3335 * CHOOSE(CONTROL!$C$15, $D$11, 100%, $F$11)</f>
        <v>16.333500000000001</v>
      </c>
      <c r="J608" s="4">
        <f>16.2162 * CHOOSE(CONTROL!$C$15, $D$11, 100%, $F$11)</f>
        <v>16.216200000000001</v>
      </c>
      <c r="K608" s="4"/>
      <c r="L608" s="9">
        <v>30.092199999999998</v>
      </c>
      <c r="M608" s="9">
        <v>11.6745</v>
      </c>
      <c r="N608" s="9">
        <v>4.7850000000000001</v>
      </c>
      <c r="O608" s="9">
        <v>0.36199999999999999</v>
      </c>
      <c r="P608" s="9">
        <v>1.1791</v>
      </c>
      <c r="Q608" s="9">
        <v>19.053000000000001</v>
      </c>
      <c r="R608" s="9"/>
      <c r="S608" s="11"/>
    </row>
    <row r="609" spans="1:19" ht="15.75">
      <c r="A609" s="13">
        <v>60053</v>
      </c>
      <c r="B609" s="8">
        <f>CHOOSE( CONTROL!$C$32, 17.3575, 17.3551) * CHOOSE(CONTROL!$C$15, $D$11, 100%, $F$11)</f>
        <v>17.357500000000002</v>
      </c>
      <c r="C609" s="8">
        <f>CHOOSE( CONTROL!$C$32, 17.368, 17.3657) * CHOOSE(CONTROL!$C$15, $D$11, 100%, $F$11)</f>
        <v>17.367999999999999</v>
      </c>
      <c r="D609" s="8">
        <f>CHOOSE( CONTROL!$C$32, 17.4039, 17.4015) * CHOOSE( CONTROL!$C$15, $D$11, 100%, $F$11)</f>
        <v>17.4039</v>
      </c>
      <c r="E609" s="12">
        <f>CHOOSE( CONTROL!$C$32, 17.3893, 17.3869) * CHOOSE( CONTROL!$C$15, $D$11, 100%, $F$11)</f>
        <v>17.389299999999999</v>
      </c>
      <c r="F609" s="4">
        <f>CHOOSE( CONTROL!$C$32, 18.0968, 18.0944) * CHOOSE(CONTROL!$C$15, $D$11, 100%, $F$11)</f>
        <v>18.096800000000002</v>
      </c>
      <c r="G609" s="8">
        <f>CHOOSE( CONTROL!$C$32, 16.9622, 16.9599) * CHOOSE( CONTROL!$C$15, $D$11, 100%, $F$11)</f>
        <v>16.962199999999999</v>
      </c>
      <c r="H609" s="4">
        <f>CHOOSE( CONTROL!$C$32, 17.9274, 17.9251) * CHOOSE(CONTROL!$C$15, $D$11, 100%, $F$11)</f>
        <v>17.927399999999999</v>
      </c>
      <c r="I609" s="8">
        <f>CHOOSE( CONTROL!$C$32, 16.7682, 16.7659) * CHOOSE(CONTROL!$C$15, $D$11, 100%, $F$11)</f>
        <v>16.7682</v>
      </c>
      <c r="J609" s="4">
        <f>CHOOSE( CONTROL!$C$32, 16.6506, 16.6483) * CHOOSE(CONTROL!$C$15, $D$11, 100%, $F$11)</f>
        <v>16.650600000000001</v>
      </c>
      <c r="K609" s="4"/>
      <c r="L609" s="9">
        <v>30.7165</v>
      </c>
      <c r="M609" s="9">
        <v>12.063700000000001</v>
      </c>
      <c r="N609" s="9">
        <v>4.9444999999999997</v>
      </c>
      <c r="O609" s="9">
        <v>0.37409999999999999</v>
      </c>
      <c r="P609" s="9">
        <v>1.2183999999999999</v>
      </c>
      <c r="Q609" s="9">
        <v>19.688099999999999</v>
      </c>
      <c r="R609" s="9"/>
      <c r="S609" s="11"/>
    </row>
    <row r="610" spans="1:19" ht="15.75">
      <c r="A610" s="13">
        <v>60083</v>
      </c>
      <c r="B610" s="8">
        <f>CHOOSE( CONTROL!$C$32, 17.0787, 17.0763) * CHOOSE(CONTROL!$C$15, $D$11, 100%, $F$11)</f>
        <v>17.078700000000001</v>
      </c>
      <c r="C610" s="8">
        <f>CHOOSE( CONTROL!$C$32, 17.0893, 17.0869) * CHOOSE(CONTROL!$C$15, $D$11, 100%, $F$11)</f>
        <v>17.089300000000001</v>
      </c>
      <c r="D610" s="8">
        <f>CHOOSE( CONTROL!$C$32, 17.1253, 17.1229) * CHOOSE( CONTROL!$C$15, $D$11, 100%, $F$11)</f>
        <v>17.125299999999999</v>
      </c>
      <c r="E610" s="12">
        <f>CHOOSE( CONTROL!$C$32, 17.1106, 17.1082) * CHOOSE( CONTROL!$C$15, $D$11, 100%, $F$11)</f>
        <v>17.110600000000002</v>
      </c>
      <c r="F610" s="4">
        <f>CHOOSE( CONTROL!$C$32, 17.8181, 17.8157) * CHOOSE(CONTROL!$C$15, $D$11, 100%, $F$11)</f>
        <v>17.818100000000001</v>
      </c>
      <c r="G610" s="8">
        <f>CHOOSE( CONTROL!$C$32, 16.6899, 16.6876) * CHOOSE( CONTROL!$C$15, $D$11, 100%, $F$11)</f>
        <v>16.689900000000002</v>
      </c>
      <c r="H610" s="4">
        <f>CHOOSE( CONTROL!$C$32, 17.6548, 17.6525) * CHOOSE(CONTROL!$C$15, $D$11, 100%, $F$11)</f>
        <v>17.654800000000002</v>
      </c>
      <c r="I610" s="8">
        <f>CHOOSE( CONTROL!$C$32, 16.5013, 16.499) * CHOOSE(CONTROL!$C$15, $D$11, 100%, $F$11)</f>
        <v>16.501300000000001</v>
      </c>
      <c r="J610" s="4">
        <f>CHOOSE( CONTROL!$C$32, 16.3829, 16.3806) * CHOOSE(CONTROL!$C$15, $D$11, 100%, $F$11)</f>
        <v>16.382899999999999</v>
      </c>
      <c r="K610" s="4"/>
      <c r="L610" s="9">
        <v>29.7257</v>
      </c>
      <c r="M610" s="9">
        <v>11.6745</v>
      </c>
      <c r="N610" s="9">
        <v>4.7850000000000001</v>
      </c>
      <c r="O610" s="9">
        <v>0.36199999999999999</v>
      </c>
      <c r="P610" s="9">
        <v>1.1791</v>
      </c>
      <c r="Q610" s="9">
        <v>19.053000000000001</v>
      </c>
      <c r="R610" s="9"/>
      <c r="S610" s="11"/>
    </row>
    <row r="611" spans="1:19" ht="15.75">
      <c r="A611" s="13">
        <v>60114</v>
      </c>
      <c r="B611" s="8">
        <f>CHOOSE( CONTROL!$C$32, 17.8128, 17.8105) * CHOOSE(CONTROL!$C$15, $D$11, 100%, $F$11)</f>
        <v>17.812799999999999</v>
      </c>
      <c r="C611" s="8">
        <f>CHOOSE( CONTROL!$C$32, 17.8234, 17.821) * CHOOSE(CONTROL!$C$15, $D$11, 100%, $F$11)</f>
        <v>17.823399999999999</v>
      </c>
      <c r="D611" s="8">
        <f>CHOOSE( CONTROL!$C$32, 17.8597, 17.8573) * CHOOSE( CONTROL!$C$15, $D$11, 100%, $F$11)</f>
        <v>17.8597</v>
      </c>
      <c r="E611" s="12">
        <f>CHOOSE( CONTROL!$C$32, 17.8449, 17.8425) * CHOOSE( CONTROL!$C$15, $D$11, 100%, $F$11)</f>
        <v>17.844899999999999</v>
      </c>
      <c r="F611" s="4">
        <f>CHOOSE( CONTROL!$C$32, 18.5522, 18.5498) * CHOOSE(CONTROL!$C$15, $D$11, 100%, $F$11)</f>
        <v>18.552199999999999</v>
      </c>
      <c r="G611" s="8">
        <f>CHOOSE( CONTROL!$C$32, 17.408, 17.4057) * CHOOSE( CONTROL!$C$15, $D$11, 100%, $F$11)</f>
        <v>17.408000000000001</v>
      </c>
      <c r="H611" s="4">
        <f>CHOOSE( CONTROL!$C$32, 18.3726, 18.3703) * CHOOSE(CONTROL!$C$15, $D$11, 100%, $F$11)</f>
        <v>18.372599999999998</v>
      </c>
      <c r="I611" s="8">
        <f>CHOOSE( CONTROL!$C$32, 17.2075, 17.2052) * CHOOSE(CONTROL!$C$15, $D$11, 100%, $F$11)</f>
        <v>17.2075</v>
      </c>
      <c r="J611" s="4">
        <f>CHOOSE( CONTROL!$C$32, 17.0878, 17.0855) * CHOOSE(CONTROL!$C$15, $D$11, 100%, $F$11)</f>
        <v>17.087800000000001</v>
      </c>
      <c r="K611" s="4"/>
      <c r="L611" s="9">
        <v>30.7165</v>
      </c>
      <c r="M611" s="9">
        <v>12.063700000000001</v>
      </c>
      <c r="N611" s="9">
        <v>4.9444999999999997</v>
      </c>
      <c r="O611" s="9">
        <v>0.37409999999999999</v>
      </c>
      <c r="P611" s="9">
        <v>1.2183999999999999</v>
      </c>
      <c r="Q611" s="9">
        <v>19.688099999999999</v>
      </c>
      <c r="R611" s="9"/>
      <c r="S611" s="11"/>
    </row>
    <row r="612" spans="1:19" ht="15.75">
      <c r="A612" s="13">
        <v>60145</v>
      </c>
      <c r="B612" s="8">
        <f>CHOOSE( CONTROL!$C$32, 16.4392, 16.4368) * CHOOSE(CONTROL!$C$15, $D$11, 100%, $F$11)</f>
        <v>16.4392</v>
      </c>
      <c r="C612" s="8">
        <f>CHOOSE( CONTROL!$C$32, 16.4497, 16.4473) * CHOOSE(CONTROL!$C$15, $D$11, 100%, $F$11)</f>
        <v>16.4497</v>
      </c>
      <c r="D612" s="8">
        <f>CHOOSE( CONTROL!$C$32, 16.486, 16.4836) * CHOOSE( CONTROL!$C$15, $D$11, 100%, $F$11)</f>
        <v>16.486000000000001</v>
      </c>
      <c r="E612" s="12">
        <f>CHOOSE( CONTROL!$C$32, 16.4712, 16.4688) * CHOOSE( CONTROL!$C$15, $D$11, 100%, $F$11)</f>
        <v>16.4712</v>
      </c>
      <c r="F612" s="4">
        <f>CHOOSE( CONTROL!$C$32, 17.1785, 17.1761) * CHOOSE(CONTROL!$C$15, $D$11, 100%, $F$11)</f>
        <v>17.1785</v>
      </c>
      <c r="G612" s="8">
        <f>CHOOSE( CONTROL!$C$32, 16.0651, 16.0627) * CHOOSE( CONTROL!$C$15, $D$11, 100%, $F$11)</f>
        <v>16.065100000000001</v>
      </c>
      <c r="H612" s="4">
        <f>CHOOSE( CONTROL!$C$32, 17.0296, 17.0272) * CHOOSE(CONTROL!$C$15, $D$11, 100%, $F$11)</f>
        <v>17.029599999999999</v>
      </c>
      <c r="I612" s="8">
        <f>CHOOSE( CONTROL!$C$32, 15.8882, 15.8859) * CHOOSE(CONTROL!$C$15, $D$11, 100%, $F$11)</f>
        <v>15.888199999999999</v>
      </c>
      <c r="J612" s="4">
        <f>CHOOSE( CONTROL!$C$32, 15.7689, 15.7666) * CHOOSE(CONTROL!$C$15, $D$11, 100%, $F$11)</f>
        <v>15.7689</v>
      </c>
      <c r="K612" s="4"/>
      <c r="L612" s="9">
        <v>30.7165</v>
      </c>
      <c r="M612" s="9">
        <v>12.063700000000001</v>
      </c>
      <c r="N612" s="9">
        <v>4.9444999999999997</v>
      </c>
      <c r="O612" s="9">
        <v>0.37409999999999999</v>
      </c>
      <c r="P612" s="9">
        <v>1.2183999999999999</v>
      </c>
      <c r="Q612" s="9">
        <v>19.688099999999999</v>
      </c>
      <c r="R612" s="9"/>
      <c r="S612" s="11"/>
    </row>
    <row r="613" spans="1:19" ht="15.75">
      <c r="A613" s="13">
        <v>60175</v>
      </c>
      <c r="B613" s="8">
        <f>CHOOSE( CONTROL!$C$32, 16.0952, 16.0928) * CHOOSE(CONTROL!$C$15, $D$11, 100%, $F$11)</f>
        <v>16.095199999999998</v>
      </c>
      <c r="C613" s="8">
        <f>CHOOSE( CONTROL!$C$32, 16.1057, 16.1034) * CHOOSE(CONTROL!$C$15, $D$11, 100%, $F$11)</f>
        <v>16.105699999999999</v>
      </c>
      <c r="D613" s="8">
        <f>CHOOSE( CONTROL!$C$32, 16.142, 16.1396) * CHOOSE( CONTROL!$C$15, $D$11, 100%, $F$11)</f>
        <v>16.141999999999999</v>
      </c>
      <c r="E613" s="12">
        <f>CHOOSE( CONTROL!$C$32, 16.1272, 16.1249) * CHOOSE( CONTROL!$C$15, $D$11, 100%, $F$11)</f>
        <v>16.127199999999998</v>
      </c>
      <c r="F613" s="4">
        <f>CHOOSE( CONTROL!$C$32, 16.8345, 16.8321) * CHOOSE(CONTROL!$C$15, $D$11, 100%, $F$11)</f>
        <v>16.834499999999998</v>
      </c>
      <c r="G613" s="8">
        <f>CHOOSE( CONTROL!$C$32, 15.7287, 15.7263) * CHOOSE( CONTROL!$C$15, $D$11, 100%, $F$11)</f>
        <v>15.7287</v>
      </c>
      <c r="H613" s="4">
        <f>CHOOSE( CONTROL!$C$32, 16.6932, 16.6909) * CHOOSE(CONTROL!$C$15, $D$11, 100%, $F$11)</f>
        <v>16.693200000000001</v>
      </c>
      <c r="I613" s="8">
        <f>CHOOSE( CONTROL!$C$32, 15.5575, 15.5552) * CHOOSE(CONTROL!$C$15, $D$11, 100%, $F$11)</f>
        <v>15.557499999999999</v>
      </c>
      <c r="J613" s="4">
        <f>CHOOSE( CONTROL!$C$32, 15.4386, 15.4364) * CHOOSE(CONTROL!$C$15, $D$11, 100%, $F$11)</f>
        <v>15.438599999999999</v>
      </c>
      <c r="K613" s="4"/>
      <c r="L613" s="9">
        <v>29.7257</v>
      </c>
      <c r="M613" s="9">
        <v>11.6745</v>
      </c>
      <c r="N613" s="9">
        <v>4.7850000000000001</v>
      </c>
      <c r="O613" s="9">
        <v>0.36199999999999999</v>
      </c>
      <c r="P613" s="9">
        <v>1.1791</v>
      </c>
      <c r="Q613" s="9">
        <v>19.053000000000001</v>
      </c>
      <c r="R613" s="9"/>
      <c r="S613" s="11"/>
    </row>
    <row r="614" spans="1:19" ht="15.75">
      <c r="A614" s="13">
        <v>60206</v>
      </c>
      <c r="B614" s="8">
        <f>16.8071 * CHOOSE(CONTROL!$C$15, $D$11, 100%, $F$11)</f>
        <v>16.807099999999998</v>
      </c>
      <c r="C614" s="8">
        <f>16.8179 * CHOOSE(CONTROL!$C$15, $D$11, 100%, $F$11)</f>
        <v>16.817900000000002</v>
      </c>
      <c r="D614" s="8">
        <f>16.8554 * CHOOSE( CONTROL!$C$15, $D$11, 100%, $F$11)</f>
        <v>16.855399999999999</v>
      </c>
      <c r="E614" s="12">
        <f>16.8419 * CHOOSE( CONTROL!$C$15, $D$11, 100%, $F$11)</f>
        <v>16.841899999999999</v>
      </c>
      <c r="F614" s="4">
        <f>17.5464 * CHOOSE(CONTROL!$C$15, $D$11, 100%, $F$11)</f>
        <v>17.546399999999998</v>
      </c>
      <c r="G614" s="8">
        <f>16.4244 * CHOOSE( CONTROL!$C$15, $D$11, 100%, $F$11)</f>
        <v>16.424399999999999</v>
      </c>
      <c r="H614" s="4">
        <f>17.3892 * CHOOSE(CONTROL!$C$15, $D$11, 100%, $F$11)</f>
        <v>17.389199999999999</v>
      </c>
      <c r="I614" s="8">
        <f>16.242 * CHOOSE(CONTROL!$C$15, $D$11, 100%, $F$11)</f>
        <v>16.242000000000001</v>
      </c>
      <c r="J614" s="4">
        <f>16.1221 * CHOOSE(CONTROL!$C$15, $D$11, 100%, $F$11)</f>
        <v>16.1221</v>
      </c>
      <c r="K614" s="4"/>
      <c r="L614" s="9">
        <v>31.095300000000002</v>
      </c>
      <c r="M614" s="9">
        <v>12.063700000000001</v>
      </c>
      <c r="N614" s="9">
        <v>4.9444999999999997</v>
      </c>
      <c r="O614" s="9">
        <v>0.37409999999999999</v>
      </c>
      <c r="P614" s="9">
        <v>1.2183999999999999</v>
      </c>
      <c r="Q614" s="9">
        <v>19.688099999999999</v>
      </c>
      <c r="R614" s="9"/>
      <c r="S614" s="11"/>
    </row>
    <row r="615" spans="1:19" ht="15.75">
      <c r="A615" s="13">
        <v>60236</v>
      </c>
      <c r="B615" s="8">
        <f>18.1255 * CHOOSE(CONTROL!$C$15, $D$11, 100%, $F$11)</f>
        <v>18.125499999999999</v>
      </c>
      <c r="C615" s="8">
        <f>18.1363 * CHOOSE(CONTROL!$C$15, $D$11, 100%, $F$11)</f>
        <v>18.136299999999999</v>
      </c>
      <c r="D615" s="8">
        <f>18.119 * CHOOSE( CONTROL!$C$15, $D$11, 100%, $F$11)</f>
        <v>18.119</v>
      </c>
      <c r="E615" s="12">
        <f>18.1242 * CHOOSE( CONTROL!$C$15, $D$11, 100%, $F$11)</f>
        <v>18.124199999999998</v>
      </c>
      <c r="F615" s="4">
        <f>18.784 * CHOOSE(CONTROL!$C$15, $D$11, 100%, $F$11)</f>
        <v>18.783999999999999</v>
      </c>
      <c r="G615" s="8">
        <f>17.72 * CHOOSE( CONTROL!$C$15, $D$11, 100%, $F$11)</f>
        <v>17.72</v>
      </c>
      <c r="H615" s="4">
        <f>18.5992 * CHOOSE(CONTROL!$C$15, $D$11, 100%, $F$11)</f>
        <v>18.5992</v>
      </c>
      <c r="I615" s="8">
        <f>17.5455 * CHOOSE(CONTROL!$C$15, $D$11, 100%, $F$11)</f>
        <v>17.545500000000001</v>
      </c>
      <c r="J615" s="4">
        <f>17.3878 * CHOOSE(CONTROL!$C$15, $D$11, 100%, $F$11)</f>
        <v>17.387799999999999</v>
      </c>
      <c r="K615" s="4"/>
      <c r="L615" s="9">
        <v>28.360600000000002</v>
      </c>
      <c r="M615" s="9">
        <v>11.6745</v>
      </c>
      <c r="N615" s="9">
        <v>4.7850000000000001</v>
      </c>
      <c r="O615" s="9">
        <v>0.36199999999999999</v>
      </c>
      <c r="P615" s="9">
        <v>1.2509999999999999</v>
      </c>
      <c r="Q615" s="9">
        <v>19.053000000000001</v>
      </c>
      <c r="R615" s="9"/>
      <c r="S615" s="11"/>
    </row>
    <row r="616" spans="1:19" ht="15.75">
      <c r="A616" s="13">
        <v>60267</v>
      </c>
      <c r="B616" s="8">
        <f>18.0926 * CHOOSE(CONTROL!$C$15, $D$11, 100%, $F$11)</f>
        <v>18.092600000000001</v>
      </c>
      <c r="C616" s="8">
        <f>18.1033 * CHOOSE(CONTROL!$C$15, $D$11, 100%, $F$11)</f>
        <v>18.103300000000001</v>
      </c>
      <c r="D616" s="8">
        <f>18.0877 * CHOOSE( CONTROL!$C$15, $D$11, 100%, $F$11)</f>
        <v>18.087700000000002</v>
      </c>
      <c r="E616" s="12">
        <f>18.0923 * CHOOSE( CONTROL!$C$15, $D$11, 100%, $F$11)</f>
        <v>18.092300000000002</v>
      </c>
      <c r="F616" s="4">
        <f>18.7511 * CHOOSE(CONTROL!$C$15, $D$11, 100%, $F$11)</f>
        <v>18.751100000000001</v>
      </c>
      <c r="G616" s="8">
        <f>17.689 * CHOOSE( CONTROL!$C$15, $D$11, 100%, $F$11)</f>
        <v>17.689</v>
      </c>
      <c r="H616" s="4">
        <f>18.567 * CHOOSE(CONTROL!$C$15, $D$11, 100%, $F$11)</f>
        <v>18.567</v>
      </c>
      <c r="I616" s="8">
        <f>17.5191 * CHOOSE(CONTROL!$C$15, $D$11, 100%, $F$11)</f>
        <v>17.519100000000002</v>
      </c>
      <c r="J616" s="4">
        <f>17.3562 * CHOOSE(CONTROL!$C$15, $D$11, 100%, $F$11)</f>
        <v>17.356200000000001</v>
      </c>
      <c r="K616" s="4"/>
      <c r="L616" s="9">
        <v>29.306000000000001</v>
      </c>
      <c r="M616" s="9">
        <v>12.063700000000001</v>
      </c>
      <c r="N616" s="9">
        <v>4.9444999999999997</v>
      </c>
      <c r="O616" s="9">
        <v>0.37409999999999999</v>
      </c>
      <c r="P616" s="9">
        <v>1.2927</v>
      </c>
      <c r="Q616" s="9">
        <v>19.688099999999999</v>
      </c>
      <c r="R616" s="9"/>
      <c r="S616" s="11"/>
    </row>
    <row r="617" spans="1:19" ht="15.75">
      <c r="A617" s="13">
        <v>60298</v>
      </c>
      <c r="B617" s="8">
        <f>18.6258 * CHOOSE(CONTROL!$C$15, $D$11, 100%, $F$11)</f>
        <v>18.625800000000002</v>
      </c>
      <c r="C617" s="8">
        <f>18.6365 * CHOOSE(CONTROL!$C$15, $D$11, 100%, $F$11)</f>
        <v>18.636500000000002</v>
      </c>
      <c r="D617" s="8">
        <f>18.6179 * CHOOSE( CONTROL!$C$15, $D$11, 100%, $F$11)</f>
        <v>18.617899999999999</v>
      </c>
      <c r="E617" s="12">
        <f>18.6236 * CHOOSE( CONTROL!$C$15, $D$11, 100%, $F$11)</f>
        <v>18.6236</v>
      </c>
      <c r="F617" s="4">
        <f>19.2843 * CHOOSE(CONTROL!$C$15, $D$11, 100%, $F$11)</f>
        <v>19.284300000000002</v>
      </c>
      <c r="G617" s="8">
        <f>18.2028 * CHOOSE( CONTROL!$C$15, $D$11, 100%, $F$11)</f>
        <v>18.2028</v>
      </c>
      <c r="H617" s="4">
        <f>19.0883 * CHOOSE(CONTROL!$C$15, $D$11, 100%, $F$11)</f>
        <v>19.0883</v>
      </c>
      <c r="I617" s="8">
        <f>17.9962 * CHOOSE(CONTROL!$C$15, $D$11, 100%, $F$11)</f>
        <v>17.996200000000002</v>
      </c>
      <c r="J617" s="4">
        <f>17.8681 * CHOOSE(CONTROL!$C$15, $D$11, 100%, $F$11)</f>
        <v>17.868099999999998</v>
      </c>
      <c r="K617" s="4"/>
      <c r="L617" s="9">
        <v>29.306000000000001</v>
      </c>
      <c r="M617" s="9">
        <v>12.063700000000001</v>
      </c>
      <c r="N617" s="9">
        <v>4.9444999999999997</v>
      </c>
      <c r="O617" s="9">
        <v>0.37409999999999999</v>
      </c>
      <c r="P617" s="9">
        <v>1.2927</v>
      </c>
      <c r="Q617" s="9">
        <v>19.688099999999999</v>
      </c>
      <c r="R617" s="9"/>
      <c r="S617" s="11"/>
    </row>
    <row r="618" spans="1:19" ht="15.75">
      <c r="A618" s="13">
        <v>60326</v>
      </c>
      <c r="B618" s="8">
        <f>17.4226 * CHOOSE(CONTROL!$C$15, $D$11, 100%, $F$11)</f>
        <v>17.422599999999999</v>
      </c>
      <c r="C618" s="8">
        <f>17.4334 * CHOOSE(CONTROL!$C$15, $D$11, 100%, $F$11)</f>
        <v>17.433399999999999</v>
      </c>
      <c r="D618" s="8">
        <f>17.4147 * CHOOSE( CONTROL!$C$15, $D$11, 100%, $F$11)</f>
        <v>17.4147</v>
      </c>
      <c r="E618" s="12">
        <f>17.4204 * CHOOSE( CONTROL!$C$15, $D$11, 100%, $F$11)</f>
        <v>17.420400000000001</v>
      </c>
      <c r="F618" s="4">
        <f>18.0811 * CHOOSE(CONTROL!$C$15, $D$11, 100%, $F$11)</f>
        <v>18.081099999999999</v>
      </c>
      <c r="G618" s="8">
        <f>17.0264 * CHOOSE( CONTROL!$C$15, $D$11, 100%, $F$11)</f>
        <v>17.026399999999999</v>
      </c>
      <c r="H618" s="4">
        <f>17.912 * CHOOSE(CONTROL!$C$15, $D$11, 100%, $F$11)</f>
        <v>17.911999999999999</v>
      </c>
      <c r="I618" s="8">
        <f>16.8402 * CHOOSE(CONTROL!$C$15, $D$11, 100%, $F$11)</f>
        <v>16.840199999999999</v>
      </c>
      <c r="J618" s="4">
        <f>16.713 * CHOOSE(CONTROL!$C$15, $D$11, 100%, $F$11)</f>
        <v>16.713000000000001</v>
      </c>
      <c r="K618" s="4"/>
      <c r="L618" s="9">
        <v>26.469899999999999</v>
      </c>
      <c r="M618" s="9">
        <v>10.8962</v>
      </c>
      <c r="N618" s="9">
        <v>4.4660000000000002</v>
      </c>
      <c r="O618" s="9">
        <v>0.33789999999999998</v>
      </c>
      <c r="P618" s="9">
        <v>1.1676</v>
      </c>
      <c r="Q618" s="9">
        <v>17.782800000000002</v>
      </c>
      <c r="R618" s="9"/>
      <c r="S618" s="11"/>
    </row>
    <row r="619" spans="1:19" ht="15.75">
      <c r="A619" s="13">
        <v>60357</v>
      </c>
      <c r="B619" s="8">
        <f>17.0521 * CHOOSE(CONTROL!$C$15, $D$11, 100%, $F$11)</f>
        <v>17.052099999999999</v>
      </c>
      <c r="C619" s="8">
        <f>17.0628 * CHOOSE(CONTROL!$C$15, $D$11, 100%, $F$11)</f>
        <v>17.062799999999999</v>
      </c>
      <c r="D619" s="8">
        <f>17.0436 * CHOOSE( CONTROL!$C$15, $D$11, 100%, $F$11)</f>
        <v>17.043600000000001</v>
      </c>
      <c r="E619" s="12">
        <f>17.0495 * CHOOSE( CONTROL!$C$15, $D$11, 100%, $F$11)</f>
        <v>17.049499999999998</v>
      </c>
      <c r="F619" s="4">
        <f>17.7106 * CHOOSE(CONTROL!$C$15, $D$11, 100%, $F$11)</f>
        <v>17.710599999999999</v>
      </c>
      <c r="G619" s="8">
        <f>16.6637 * CHOOSE( CONTROL!$C$15, $D$11, 100%, $F$11)</f>
        <v>16.663699999999999</v>
      </c>
      <c r="H619" s="4">
        <f>17.5497 * CHOOSE(CONTROL!$C$15, $D$11, 100%, $F$11)</f>
        <v>17.549700000000001</v>
      </c>
      <c r="I619" s="8">
        <f>16.4827 * CHOOSE(CONTROL!$C$15, $D$11, 100%, $F$11)</f>
        <v>16.482700000000001</v>
      </c>
      <c r="J619" s="4">
        <f>16.3572 * CHOOSE(CONTROL!$C$15, $D$11, 100%, $F$11)</f>
        <v>16.357199999999999</v>
      </c>
      <c r="K619" s="4"/>
      <c r="L619" s="9">
        <v>29.306000000000001</v>
      </c>
      <c r="M619" s="9">
        <v>12.063700000000001</v>
      </c>
      <c r="N619" s="9">
        <v>4.9444999999999997</v>
      </c>
      <c r="O619" s="9">
        <v>0.37409999999999999</v>
      </c>
      <c r="P619" s="9">
        <v>1.2927</v>
      </c>
      <c r="Q619" s="9">
        <v>19.688099999999999</v>
      </c>
      <c r="R619" s="9"/>
      <c r="S619" s="11"/>
    </row>
    <row r="620" spans="1:19" ht="15.75">
      <c r="A620" s="13">
        <v>60387</v>
      </c>
      <c r="B620" s="8">
        <f>17.311 * CHOOSE(CONTROL!$C$15, $D$11, 100%, $F$11)</f>
        <v>17.311</v>
      </c>
      <c r="C620" s="8">
        <f>17.3218 * CHOOSE(CONTROL!$C$15, $D$11, 100%, $F$11)</f>
        <v>17.3218</v>
      </c>
      <c r="D620" s="8">
        <f>17.3587 * CHOOSE( CONTROL!$C$15, $D$11, 100%, $F$11)</f>
        <v>17.358699999999999</v>
      </c>
      <c r="E620" s="12">
        <f>17.3453 * CHOOSE( CONTROL!$C$15, $D$11, 100%, $F$11)</f>
        <v>17.345300000000002</v>
      </c>
      <c r="F620" s="4">
        <f>18.0502 * CHOOSE(CONTROL!$C$15, $D$11, 100%, $F$11)</f>
        <v>18.0502</v>
      </c>
      <c r="G620" s="8">
        <f>16.9161 * CHOOSE( CONTROL!$C$15, $D$11, 100%, $F$11)</f>
        <v>16.9161</v>
      </c>
      <c r="H620" s="4">
        <f>17.8818 * CHOOSE(CONTROL!$C$15, $D$11, 100%, $F$11)</f>
        <v>17.881799999999998</v>
      </c>
      <c r="I620" s="8">
        <f>16.7233 * CHOOSE(CONTROL!$C$15, $D$11, 100%, $F$11)</f>
        <v>16.723299999999998</v>
      </c>
      <c r="J620" s="4">
        <f>16.6058 * CHOOSE(CONTROL!$C$15, $D$11, 100%, $F$11)</f>
        <v>16.605799999999999</v>
      </c>
      <c r="K620" s="4"/>
      <c r="L620" s="9">
        <v>30.092199999999998</v>
      </c>
      <c r="M620" s="9">
        <v>11.6745</v>
      </c>
      <c r="N620" s="9">
        <v>4.7850000000000001</v>
      </c>
      <c r="O620" s="9">
        <v>0.36199999999999999</v>
      </c>
      <c r="P620" s="9">
        <v>1.1791</v>
      </c>
      <c r="Q620" s="9">
        <v>19.053000000000001</v>
      </c>
      <c r="R620" s="9"/>
      <c r="S620" s="11"/>
    </row>
    <row r="621" spans="1:19" ht="15.75">
      <c r="A621" s="13">
        <v>60418</v>
      </c>
      <c r="B621" s="8">
        <f>CHOOSE( CONTROL!$C$32, 17.7741, 17.7717) * CHOOSE(CONTROL!$C$15, $D$11, 100%, $F$11)</f>
        <v>17.774100000000001</v>
      </c>
      <c r="C621" s="8">
        <f>CHOOSE( CONTROL!$C$32, 17.7847, 17.7823) * CHOOSE(CONTROL!$C$15, $D$11, 100%, $F$11)</f>
        <v>17.784700000000001</v>
      </c>
      <c r="D621" s="8">
        <f>CHOOSE( CONTROL!$C$32, 17.8205, 17.8181) * CHOOSE( CONTROL!$C$15, $D$11, 100%, $F$11)</f>
        <v>17.820499999999999</v>
      </c>
      <c r="E621" s="12">
        <f>CHOOSE( CONTROL!$C$32, 17.8059, 17.8035) * CHOOSE( CONTROL!$C$15, $D$11, 100%, $F$11)</f>
        <v>17.805900000000001</v>
      </c>
      <c r="F621" s="4">
        <f>CHOOSE( CONTROL!$C$32, 18.5135, 18.5111) * CHOOSE(CONTROL!$C$15, $D$11, 100%, $F$11)</f>
        <v>18.513500000000001</v>
      </c>
      <c r="G621" s="8">
        <f>CHOOSE( CONTROL!$C$32, 17.3695, 17.3672) * CHOOSE( CONTROL!$C$15, $D$11, 100%, $F$11)</f>
        <v>17.369499999999999</v>
      </c>
      <c r="H621" s="4">
        <f>CHOOSE( CONTROL!$C$32, 18.3347, 18.3324) * CHOOSE(CONTROL!$C$15, $D$11, 100%, $F$11)</f>
        <v>18.334700000000002</v>
      </c>
      <c r="I621" s="8">
        <f>CHOOSE( CONTROL!$C$32, 17.1684, 17.1661) * CHOOSE(CONTROL!$C$15, $D$11, 100%, $F$11)</f>
        <v>17.168399999999998</v>
      </c>
      <c r="J621" s="4">
        <f>CHOOSE( CONTROL!$C$32, 17.0506, 17.0483) * CHOOSE(CONTROL!$C$15, $D$11, 100%, $F$11)</f>
        <v>17.050599999999999</v>
      </c>
      <c r="K621" s="4"/>
      <c r="L621" s="9">
        <v>30.7165</v>
      </c>
      <c r="M621" s="9">
        <v>12.063700000000001</v>
      </c>
      <c r="N621" s="9">
        <v>4.9444999999999997</v>
      </c>
      <c r="O621" s="9">
        <v>0.37409999999999999</v>
      </c>
      <c r="P621" s="9">
        <v>1.2183999999999999</v>
      </c>
      <c r="Q621" s="9">
        <v>19.688099999999999</v>
      </c>
      <c r="R621" s="9"/>
      <c r="S621" s="11"/>
    </row>
    <row r="622" spans="1:19" ht="15.75">
      <c r="A622" s="13">
        <v>60448</v>
      </c>
      <c r="B622" s="8">
        <f>CHOOSE( CONTROL!$C$32, 17.4886, 17.4862) * CHOOSE(CONTROL!$C$15, $D$11, 100%, $F$11)</f>
        <v>17.488600000000002</v>
      </c>
      <c r="C622" s="8">
        <f>CHOOSE( CONTROL!$C$32, 17.4992, 17.4968) * CHOOSE(CONTROL!$C$15, $D$11, 100%, $F$11)</f>
        <v>17.499199999999998</v>
      </c>
      <c r="D622" s="8">
        <f>CHOOSE( CONTROL!$C$32, 17.5352, 17.5328) * CHOOSE( CONTROL!$C$15, $D$11, 100%, $F$11)</f>
        <v>17.5352</v>
      </c>
      <c r="E622" s="12">
        <f>CHOOSE( CONTROL!$C$32, 17.5205, 17.5181) * CHOOSE( CONTROL!$C$15, $D$11, 100%, $F$11)</f>
        <v>17.520499999999998</v>
      </c>
      <c r="F622" s="4">
        <f>CHOOSE( CONTROL!$C$32, 18.228, 18.2256) * CHOOSE(CONTROL!$C$15, $D$11, 100%, $F$11)</f>
        <v>18.228000000000002</v>
      </c>
      <c r="G622" s="8">
        <f>CHOOSE( CONTROL!$C$32, 17.0907, 17.0884) * CHOOSE( CONTROL!$C$15, $D$11, 100%, $F$11)</f>
        <v>17.090699999999998</v>
      </c>
      <c r="H622" s="4">
        <f>CHOOSE( CONTROL!$C$32, 18.0556, 18.0533) * CHOOSE(CONTROL!$C$15, $D$11, 100%, $F$11)</f>
        <v>18.055599999999998</v>
      </c>
      <c r="I622" s="8">
        <f>CHOOSE( CONTROL!$C$32, 16.8951, 16.8928) * CHOOSE(CONTROL!$C$15, $D$11, 100%, $F$11)</f>
        <v>16.895099999999999</v>
      </c>
      <c r="J622" s="4">
        <f>CHOOSE( CONTROL!$C$32, 16.7765, 16.7742) * CHOOSE(CONTROL!$C$15, $D$11, 100%, $F$11)</f>
        <v>16.776499999999999</v>
      </c>
      <c r="K622" s="4"/>
      <c r="L622" s="9">
        <v>29.7257</v>
      </c>
      <c r="M622" s="9">
        <v>11.6745</v>
      </c>
      <c r="N622" s="9">
        <v>4.7850000000000001</v>
      </c>
      <c r="O622" s="9">
        <v>0.36199999999999999</v>
      </c>
      <c r="P622" s="9">
        <v>1.1791</v>
      </c>
      <c r="Q622" s="9">
        <v>19.053000000000001</v>
      </c>
      <c r="R622" s="9"/>
      <c r="S622" s="11"/>
    </row>
    <row r="623" spans="1:19" ht="15.75">
      <c r="A623" s="13">
        <v>60479</v>
      </c>
      <c r="B623" s="8">
        <f>CHOOSE( CONTROL!$C$32, 18.2404, 18.238) * CHOOSE(CONTROL!$C$15, $D$11, 100%, $F$11)</f>
        <v>18.240400000000001</v>
      </c>
      <c r="C623" s="8">
        <f>CHOOSE( CONTROL!$C$32, 18.251, 18.2486) * CHOOSE(CONTROL!$C$15, $D$11, 100%, $F$11)</f>
        <v>18.251000000000001</v>
      </c>
      <c r="D623" s="8">
        <f>CHOOSE( CONTROL!$C$32, 18.2872, 18.2849) * CHOOSE( CONTROL!$C$15, $D$11, 100%, $F$11)</f>
        <v>18.287199999999999</v>
      </c>
      <c r="E623" s="12">
        <f>CHOOSE( CONTROL!$C$32, 18.2725, 18.2701) * CHOOSE( CONTROL!$C$15, $D$11, 100%, $F$11)</f>
        <v>18.272500000000001</v>
      </c>
      <c r="F623" s="4">
        <f>CHOOSE( CONTROL!$C$32, 18.9798, 18.9774) * CHOOSE(CONTROL!$C$15, $D$11, 100%, $F$11)</f>
        <v>18.979800000000001</v>
      </c>
      <c r="G623" s="8">
        <f>CHOOSE( CONTROL!$C$32, 17.8261, 17.8237) * CHOOSE( CONTROL!$C$15, $D$11, 100%, $F$11)</f>
        <v>17.8261</v>
      </c>
      <c r="H623" s="4">
        <f>CHOOSE( CONTROL!$C$32, 18.7906, 18.7883) * CHOOSE(CONTROL!$C$15, $D$11, 100%, $F$11)</f>
        <v>18.790600000000001</v>
      </c>
      <c r="I623" s="8">
        <f>CHOOSE( CONTROL!$C$32, 17.6182, 17.6159) * CHOOSE(CONTROL!$C$15, $D$11, 100%, $F$11)</f>
        <v>17.618200000000002</v>
      </c>
      <c r="J623" s="4">
        <f>CHOOSE( CONTROL!$C$32, 17.4983, 17.496) * CHOOSE(CONTROL!$C$15, $D$11, 100%, $F$11)</f>
        <v>17.4983</v>
      </c>
      <c r="K623" s="4"/>
      <c r="L623" s="9">
        <v>30.7165</v>
      </c>
      <c r="M623" s="9">
        <v>12.063700000000001</v>
      </c>
      <c r="N623" s="9">
        <v>4.9444999999999997</v>
      </c>
      <c r="O623" s="9">
        <v>0.37409999999999999</v>
      </c>
      <c r="P623" s="9">
        <v>1.2183999999999999</v>
      </c>
      <c r="Q623" s="9">
        <v>19.688099999999999</v>
      </c>
      <c r="R623" s="9"/>
      <c r="S623" s="11"/>
    </row>
    <row r="624" spans="1:19" ht="15.75">
      <c r="A624" s="13">
        <v>60510</v>
      </c>
      <c r="B624" s="8">
        <f>CHOOSE( CONTROL!$C$32, 16.8337, 16.8313) * CHOOSE(CONTROL!$C$15, $D$11, 100%, $F$11)</f>
        <v>16.8337</v>
      </c>
      <c r="C624" s="8">
        <f>CHOOSE( CONTROL!$C$32, 16.8443, 16.8419) * CHOOSE(CONTROL!$C$15, $D$11, 100%, $F$11)</f>
        <v>16.8443</v>
      </c>
      <c r="D624" s="8">
        <f>CHOOSE( CONTROL!$C$32, 16.8806, 16.8782) * CHOOSE( CONTROL!$C$15, $D$11, 100%, $F$11)</f>
        <v>16.880600000000001</v>
      </c>
      <c r="E624" s="12">
        <f>CHOOSE( CONTROL!$C$32, 16.8658, 16.8634) * CHOOSE( CONTROL!$C$15, $D$11, 100%, $F$11)</f>
        <v>16.8658</v>
      </c>
      <c r="F624" s="4">
        <f>CHOOSE( CONTROL!$C$32, 17.5731, 17.5707) * CHOOSE(CONTROL!$C$15, $D$11, 100%, $F$11)</f>
        <v>17.5731</v>
      </c>
      <c r="G624" s="8">
        <f>CHOOSE( CONTROL!$C$32, 16.4508, 16.4485) * CHOOSE( CONTROL!$C$15, $D$11, 100%, $F$11)</f>
        <v>16.450800000000001</v>
      </c>
      <c r="H624" s="4">
        <f>CHOOSE( CONTROL!$C$32, 17.4153, 17.413) * CHOOSE(CONTROL!$C$15, $D$11, 100%, $F$11)</f>
        <v>17.415299999999998</v>
      </c>
      <c r="I624" s="8">
        <f>CHOOSE( CONTROL!$C$32, 16.2672, 16.2649) * CHOOSE(CONTROL!$C$15, $D$11, 100%, $F$11)</f>
        <v>16.267199999999999</v>
      </c>
      <c r="J624" s="4">
        <f>CHOOSE( CONTROL!$C$32, 16.1477, 16.1454) * CHOOSE(CONTROL!$C$15, $D$11, 100%, $F$11)</f>
        <v>16.1477</v>
      </c>
      <c r="K624" s="4"/>
      <c r="L624" s="9">
        <v>30.7165</v>
      </c>
      <c r="M624" s="9">
        <v>12.063700000000001</v>
      </c>
      <c r="N624" s="9">
        <v>4.9444999999999997</v>
      </c>
      <c r="O624" s="9">
        <v>0.37409999999999999</v>
      </c>
      <c r="P624" s="9">
        <v>1.2183999999999999</v>
      </c>
      <c r="Q624" s="9">
        <v>19.688099999999999</v>
      </c>
      <c r="R624" s="9"/>
      <c r="S624" s="11"/>
    </row>
    <row r="625" spans="1:19" ht="15.75">
      <c r="A625" s="13">
        <v>60540</v>
      </c>
      <c r="B625" s="8">
        <f>CHOOSE( CONTROL!$C$32, 16.4815, 16.4791) * CHOOSE(CONTROL!$C$15, $D$11, 100%, $F$11)</f>
        <v>16.4815</v>
      </c>
      <c r="C625" s="8">
        <f>CHOOSE( CONTROL!$C$32, 16.4921, 16.4897) * CHOOSE(CONTROL!$C$15, $D$11, 100%, $F$11)</f>
        <v>16.492100000000001</v>
      </c>
      <c r="D625" s="8">
        <f>CHOOSE( CONTROL!$C$32, 16.5283, 16.5259) * CHOOSE( CONTROL!$C$15, $D$11, 100%, $F$11)</f>
        <v>16.528300000000002</v>
      </c>
      <c r="E625" s="12">
        <f>CHOOSE( CONTROL!$C$32, 16.5136, 16.5112) * CHOOSE( CONTROL!$C$15, $D$11, 100%, $F$11)</f>
        <v>16.5136</v>
      </c>
      <c r="F625" s="4">
        <f>CHOOSE( CONTROL!$C$32, 17.2208, 17.2185) * CHOOSE(CONTROL!$C$15, $D$11, 100%, $F$11)</f>
        <v>17.220800000000001</v>
      </c>
      <c r="G625" s="8">
        <f>CHOOSE( CONTROL!$C$32, 16.1063, 16.104) * CHOOSE( CONTROL!$C$15, $D$11, 100%, $F$11)</f>
        <v>16.106300000000001</v>
      </c>
      <c r="H625" s="4">
        <f>CHOOSE( CONTROL!$C$32, 17.0709, 17.0686) * CHOOSE(CONTROL!$C$15, $D$11, 100%, $F$11)</f>
        <v>17.070900000000002</v>
      </c>
      <c r="I625" s="8">
        <f>CHOOSE( CONTROL!$C$32, 15.9286, 15.9263) * CHOOSE(CONTROL!$C$15, $D$11, 100%, $F$11)</f>
        <v>15.928599999999999</v>
      </c>
      <c r="J625" s="4">
        <f>CHOOSE( CONTROL!$C$32, 15.8095, 15.8072) * CHOOSE(CONTROL!$C$15, $D$11, 100%, $F$11)</f>
        <v>15.8095</v>
      </c>
      <c r="K625" s="4"/>
      <c r="L625" s="9">
        <v>29.7257</v>
      </c>
      <c r="M625" s="9">
        <v>11.6745</v>
      </c>
      <c r="N625" s="9">
        <v>4.7850000000000001</v>
      </c>
      <c r="O625" s="9">
        <v>0.36199999999999999</v>
      </c>
      <c r="P625" s="9">
        <v>1.1791</v>
      </c>
      <c r="Q625" s="9">
        <v>19.053000000000001</v>
      </c>
      <c r="R625" s="9"/>
      <c r="S625" s="11"/>
    </row>
    <row r="626" spans="1:19" ht="15.75">
      <c r="A626" s="13">
        <v>60571</v>
      </c>
      <c r="B626" s="8">
        <f>17.2106 * CHOOSE(CONTROL!$C$15, $D$11, 100%, $F$11)</f>
        <v>17.210599999999999</v>
      </c>
      <c r="C626" s="8">
        <f>17.2213 * CHOOSE(CONTROL!$C$15, $D$11, 100%, $F$11)</f>
        <v>17.221299999999999</v>
      </c>
      <c r="D626" s="8">
        <f>17.2589 * CHOOSE( CONTROL!$C$15, $D$11, 100%, $F$11)</f>
        <v>17.258900000000001</v>
      </c>
      <c r="E626" s="12">
        <f>17.2453 * CHOOSE( CONTROL!$C$15, $D$11, 100%, $F$11)</f>
        <v>17.2453</v>
      </c>
      <c r="F626" s="4">
        <f>17.9498 * CHOOSE(CONTROL!$C$15, $D$11, 100%, $F$11)</f>
        <v>17.9498</v>
      </c>
      <c r="G626" s="8">
        <f>16.8188 * CHOOSE( CONTROL!$C$15, $D$11, 100%, $F$11)</f>
        <v>16.8188</v>
      </c>
      <c r="H626" s="4">
        <f>17.7837 * CHOOSE(CONTROL!$C$15, $D$11, 100%, $F$11)</f>
        <v>17.7837</v>
      </c>
      <c r="I626" s="8">
        <f>16.6296 * CHOOSE(CONTROL!$C$15, $D$11, 100%, $F$11)</f>
        <v>16.6296</v>
      </c>
      <c r="J626" s="4">
        <f>16.5095 * CHOOSE(CONTROL!$C$15, $D$11, 100%, $F$11)</f>
        <v>16.509499999999999</v>
      </c>
      <c r="K626" s="4"/>
      <c r="L626" s="9">
        <v>31.095300000000002</v>
      </c>
      <c r="M626" s="9">
        <v>12.063700000000001</v>
      </c>
      <c r="N626" s="9">
        <v>4.9444999999999997</v>
      </c>
      <c r="O626" s="9">
        <v>0.37409999999999999</v>
      </c>
      <c r="P626" s="9">
        <v>1.2183999999999999</v>
      </c>
      <c r="Q626" s="9">
        <v>19.688099999999999</v>
      </c>
      <c r="R626" s="9"/>
      <c r="S626" s="11"/>
    </row>
    <row r="627" spans="1:19" ht="15.75">
      <c r="A627" s="13">
        <v>60601</v>
      </c>
      <c r="B627" s="8">
        <f>18.5606 * CHOOSE(CONTROL!$C$15, $D$11, 100%, $F$11)</f>
        <v>18.560600000000001</v>
      </c>
      <c r="C627" s="8">
        <f>18.5714 * CHOOSE(CONTROL!$C$15, $D$11, 100%, $F$11)</f>
        <v>18.571400000000001</v>
      </c>
      <c r="D627" s="8">
        <f>18.5541 * CHOOSE( CONTROL!$C$15, $D$11, 100%, $F$11)</f>
        <v>18.554099999999998</v>
      </c>
      <c r="E627" s="12">
        <f>18.5593 * CHOOSE( CONTROL!$C$15, $D$11, 100%, $F$11)</f>
        <v>18.5593</v>
      </c>
      <c r="F627" s="4">
        <f>19.2191 * CHOOSE(CONTROL!$C$15, $D$11, 100%, $F$11)</f>
        <v>19.219100000000001</v>
      </c>
      <c r="G627" s="8">
        <f>18.1454 * CHOOSE( CONTROL!$C$15, $D$11, 100%, $F$11)</f>
        <v>18.145399999999999</v>
      </c>
      <c r="H627" s="4">
        <f>19.0247 * CHOOSE(CONTROL!$C$15, $D$11, 100%, $F$11)</f>
        <v>19.024699999999999</v>
      </c>
      <c r="I627" s="8">
        <f>17.9635 * CHOOSE(CONTROL!$C$15, $D$11, 100%, $F$11)</f>
        <v>17.9635</v>
      </c>
      <c r="J627" s="4">
        <f>17.8056 * CHOOSE(CONTROL!$C$15, $D$11, 100%, $F$11)</f>
        <v>17.805599999999998</v>
      </c>
      <c r="K627" s="4"/>
      <c r="L627" s="9">
        <v>28.360600000000002</v>
      </c>
      <c r="M627" s="9">
        <v>11.6745</v>
      </c>
      <c r="N627" s="9">
        <v>4.7850000000000001</v>
      </c>
      <c r="O627" s="9">
        <v>0.36199999999999999</v>
      </c>
      <c r="P627" s="9">
        <v>1.2509999999999999</v>
      </c>
      <c r="Q627" s="9">
        <v>19.053000000000001</v>
      </c>
      <c r="R627" s="9"/>
      <c r="S627" s="11"/>
    </row>
    <row r="628" spans="1:19" ht="15.75">
      <c r="A628" s="13">
        <v>60632</v>
      </c>
      <c r="B628" s="8">
        <f>18.5269 * CHOOSE(CONTROL!$C$15, $D$11, 100%, $F$11)</f>
        <v>18.526900000000001</v>
      </c>
      <c r="C628" s="8">
        <f>18.5377 * CHOOSE(CONTROL!$C$15, $D$11, 100%, $F$11)</f>
        <v>18.537700000000001</v>
      </c>
      <c r="D628" s="8">
        <f>18.5221 * CHOOSE( CONTROL!$C$15, $D$11, 100%, $F$11)</f>
        <v>18.522099999999998</v>
      </c>
      <c r="E628" s="12">
        <f>18.5267 * CHOOSE( CONTROL!$C$15, $D$11, 100%, $F$11)</f>
        <v>18.526700000000002</v>
      </c>
      <c r="F628" s="4">
        <f>19.1854 * CHOOSE(CONTROL!$C$15, $D$11, 100%, $F$11)</f>
        <v>19.185400000000001</v>
      </c>
      <c r="G628" s="8">
        <f>18.1136 * CHOOSE( CONTROL!$C$15, $D$11, 100%, $F$11)</f>
        <v>18.113600000000002</v>
      </c>
      <c r="H628" s="4">
        <f>18.9917 * CHOOSE(CONTROL!$C$15, $D$11, 100%, $F$11)</f>
        <v>18.991700000000002</v>
      </c>
      <c r="I628" s="8">
        <f>17.9363 * CHOOSE(CONTROL!$C$15, $D$11, 100%, $F$11)</f>
        <v>17.936299999999999</v>
      </c>
      <c r="J628" s="4">
        <f>17.7732 * CHOOSE(CONTROL!$C$15, $D$11, 100%, $F$11)</f>
        <v>17.773199999999999</v>
      </c>
      <c r="K628" s="4"/>
      <c r="L628" s="9">
        <v>29.306000000000001</v>
      </c>
      <c r="M628" s="9">
        <v>12.063700000000001</v>
      </c>
      <c r="N628" s="9">
        <v>4.9444999999999997</v>
      </c>
      <c r="O628" s="9">
        <v>0.37409999999999999</v>
      </c>
      <c r="P628" s="9">
        <v>1.2927</v>
      </c>
      <c r="Q628" s="9">
        <v>19.688099999999999</v>
      </c>
      <c r="R628" s="9"/>
      <c r="S628" s="11"/>
    </row>
    <row r="629" spans="1:19" ht="15.75">
      <c r="A629" s="13">
        <v>60663</v>
      </c>
      <c r="B629" s="8">
        <f>19.0729 * CHOOSE(CONTROL!$C$15, $D$11, 100%, $F$11)</f>
        <v>19.072900000000001</v>
      </c>
      <c r="C629" s="8">
        <f>19.0837 * CHOOSE(CONTROL!$C$15, $D$11, 100%, $F$11)</f>
        <v>19.0837</v>
      </c>
      <c r="D629" s="8">
        <f>19.0651 * CHOOSE( CONTROL!$C$15, $D$11, 100%, $F$11)</f>
        <v>19.065100000000001</v>
      </c>
      <c r="E629" s="12">
        <f>19.0708 * CHOOSE( CONTROL!$C$15, $D$11, 100%, $F$11)</f>
        <v>19.070799999999998</v>
      </c>
      <c r="F629" s="4">
        <f>19.7314 * CHOOSE(CONTROL!$C$15, $D$11, 100%, $F$11)</f>
        <v>19.731400000000001</v>
      </c>
      <c r="G629" s="8">
        <f>18.64 * CHOOSE( CONTROL!$C$15, $D$11, 100%, $F$11)</f>
        <v>18.64</v>
      </c>
      <c r="H629" s="4">
        <f>19.5255 * CHOOSE(CONTROL!$C$15, $D$11, 100%, $F$11)</f>
        <v>19.525500000000001</v>
      </c>
      <c r="I629" s="8">
        <f>18.4257 * CHOOSE(CONTROL!$C$15, $D$11, 100%, $F$11)</f>
        <v>18.425699999999999</v>
      </c>
      <c r="J629" s="4">
        <f>18.2975 * CHOOSE(CONTROL!$C$15, $D$11, 100%, $F$11)</f>
        <v>18.297499999999999</v>
      </c>
      <c r="K629" s="4"/>
      <c r="L629" s="9">
        <v>29.306000000000001</v>
      </c>
      <c r="M629" s="9">
        <v>12.063700000000001</v>
      </c>
      <c r="N629" s="9">
        <v>4.9444999999999997</v>
      </c>
      <c r="O629" s="9">
        <v>0.37409999999999999</v>
      </c>
      <c r="P629" s="9">
        <v>1.2927</v>
      </c>
      <c r="Q629" s="9">
        <v>19.688099999999999</v>
      </c>
      <c r="R629" s="9"/>
      <c r="S629" s="11"/>
    </row>
    <row r="630" spans="1:19" ht="15.75">
      <c r="A630" s="13">
        <v>60691</v>
      </c>
      <c r="B630" s="8">
        <f>17.8409 * CHOOSE(CONTROL!$C$15, $D$11, 100%, $F$11)</f>
        <v>17.840900000000001</v>
      </c>
      <c r="C630" s="8">
        <f>17.8516 * CHOOSE(CONTROL!$C$15, $D$11, 100%, $F$11)</f>
        <v>17.851600000000001</v>
      </c>
      <c r="D630" s="8">
        <f>17.8329 * CHOOSE( CONTROL!$C$15, $D$11, 100%, $F$11)</f>
        <v>17.832899999999999</v>
      </c>
      <c r="E630" s="12">
        <f>17.8386 * CHOOSE( CONTROL!$C$15, $D$11, 100%, $F$11)</f>
        <v>17.8386</v>
      </c>
      <c r="F630" s="4">
        <f>18.4994 * CHOOSE(CONTROL!$C$15, $D$11, 100%, $F$11)</f>
        <v>18.499400000000001</v>
      </c>
      <c r="G630" s="8">
        <f>17.4353 * CHOOSE( CONTROL!$C$15, $D$11, 100%, $F$11)</f>
        <v>17.435300000000002</v>
      </c>
      <c r="H630" s="4">
        <f>18.321 * CHOOSE(CONTROL!$C$15, $D$11, 100%, $F$11)</f>
        <v>18.321000000000002</v>
      </c>
      <c r="I630" s="8">
        <f>17.2419 * CHOOSE(CONTROL!$C$15, $D$11, 100%, $F$11)</f>
        <v>17.241900000000001</v>
      </c>
      <c r="J630" s="4">
        <f>17.1146 * CHOOSE(CONTROL!$C$15, $D$11, 100%, $F$11)</f>
        <v>17.114599999999999</v>
      </c>
      <c r="K630" s="4"/>
      <c r="L630" s="9">
        <v>26.469899999999999</v>
      </c>
      <c r="M630" s="9">
        <v>10.8962</v>
      </c>
      <c r="N630" s="9">
        <v>4.4660000000000002</v>
      </c>
      <c r="O630" s="9">
        <v>0.33789999999999998</v>
      </c>
      <c r="P630" s="9">
        <v>1.1676</v>
      </c>
      <c r="Q630" s="9">
        <v>17.782800000000002</v>
      </c>
      <c r="R630" s="9"/>
      <c r="S630" s="11"/>
    </row>
    <row r="631" spans="1:19" ht="15.75">
      <c r="A631" s="13">
        <v>60722</v>
      </c>
      <c r="B631" s="8">
        <f>17.4614 * CHOOSE(CONTROL!$C$15, $D$11, 100%, $F$11)</f>
        <v>17.461400000000001</v>
      </c>
      <c r="C631" s="8">
        <f>17.4722 * CHOOSE(CONTROL!$C$15, $D$11, 100%, $F$11)</f>
        <v>17.472200000000001</v>
      </c>
      <c r="D631" s="8">
        <f>17.453 * CHOOSE( CONTROL!$C$15, $D$11, 100%, $F$11)</f>
        <v>17.452999999999999</v>
      </c>
      <c r="E631" s="12">
        <f>17.4589 * CHOOSE( CONTROL!$C$15, $D$11, 100%, $F$11)</f>
        <v>17.4589</v>
      </c>
      <c r="F631" s="4">
        <f>18.1199 * CHOOSE(CONTROL!$C$15, $D$11, 100%, $F$11)</f>
        <v>18.119900000000001</v>
      </c>
      <c r="G631" s="8">
        <f>17.064 * CHOOSE( CONTROL!$C$15, $D$11, 100%, $F$11)</f>
        <v>17.064</v>
      </c>
      <c r="H631" s="4">
        <f>17.95 * CHOOSE(CONTROL!$C$15, $D$11, 100%, $F$11)</f>
        <v>17.95</v>
      </c>
      <c r="I631" s="8">
        <f>16.8759 * CHOOSE(CONTROL!$C$15, $D$11, 100%, $F$11)</f>
        <v>16.875900000000001</v>
      </c>
      <c r="J631" s="4">
        <f>16.7502 * CHOOSE(CONTROL!$C$15, $D$11, 100%, $F$11)</f>
        <v>16.7502</v>
      </c>
      <c r="K631" s="4"/>
      <c r="L631" s="9">
        <v>29.306000000000001</v>
      </c>
      <c r="M631" s="9">
        <v>12.063700000000001</v>
      </c>
      <c r="N631" s="9">
        <v>4.9444999999999997</v>
      </c>
      <c r="O631" s="9">
        <v>0.37409999999999999</v>
      </c>
      <c r="P631" s="9">
        <v>1.2927</v>
      </c>
      <c r="Q631" s="9">
        <v>19.688099999999999</v>
      </c>
      <c r="R631" s="9"/>
      <c r="S631" s="11"/>
    </row>
    <row r="632" spans="1:19" ht="15.75">
      <c r="A632" s="13">
        <v>60752</v>
      </c>
      <c r="B632" s="8">
        <f>17.7265 * CHOOSE(CONTROL!$C$15, $D$11, 100%, $F$11)</f>
        <v>17.726500000000001</v>
      </c>
      <c r="C632" s="8">
        <f>17.7373 * CHOOSE(CONTROL!$C$15, $D$11, 100%, $F$11)</f>
        <v>17.737300000000001</v>
      </c>
      <c r="D632" s="8">
        <f>17.7743 * CHOOSE( CONTROL!$C$15, $D$11, 100%, $F$11)</f>
        <v>17.7743</v>
      </c>
      <c r="E632" s="12">
        <f>17.7608 * CHOOSE( CONTROL!$C$15, $D$11, 100%, $F$11)</f>
        <v>17.7608</v>
      </c>
      <c r="F632" s="4">
        <f>18.4658 * CHOOSE(CONTROL!$C$15, $D$11, 100%, $F$11)</f>
        <v>18.465800000000002</v>
      </c>
      <c r="G632" s="8">
        <f>17.3224 * CHOOSE( CONTROL!$C$15, $D$11, 100%, $F$11)</f>
        <v>17.322399999999998</v>
      </c>
      <c r="H632" s="4">
        <f>18.2881 * CHOOSE(CONTROL!$C$15, $D$11, 100%, $F$11)</f>
        <v>18.2881</v>
      </c>
      <c r="I632" s="8">
        <f>17.1225 * CHOOSE(CONTROL!$C$15, $D$11, 100%, $F$11)</f>
        <v>17.122499999999999</v>
      </c>
      <c r="J632" s="4">
        <f>17.0048 * CHOOSE(CONTROL!$C$15, $D$11, 100%, $F$11)</f>
        <v>17.004799999999999</v>
      </c>
      <c r="K632" s="4"/>
      <c r="L632" s="9">
        <v>30.092199999999998</v>
      </c>
      <c r="M632" s="9">
        <v>11.6745</v>
      </c>
      <c r="N632" s="9">
        <v>4.7850000000000001</v>
      </c>
      <c r="O632" s="9">
        <v>0.36199999999999999</v>
      </c>
      <c r="P632" s="9">
        <v>1.1791</v>
      </c>
      <c r="Q632" s="9">
        <v>19.053000000000001</v>
      </c>
      <c r="R632" s="9"/>
      <c r="S632" s="11"/>
    </row>
    <row r="633" spans="1:19" ht="15.75">
      <c r="A633" s="13">
        <v>60783</v>
      </c>
      <c r="B633" s="8">
        <f>CHOOSE( CONTROL!$C$32, 18.2008, 18.1984) * CHOOSE(CONTROL!$C$15, $D$11, 100%, $F$11)</f>
        <v>18.200800000000001</v>
      </c>
      <c r="C633" s="8">
        <f>CHOOSE( CONTROL!$C$32, 18.2113, 18.2089) * CHOOSE(CONTROL!$C$15, $D$11, 100%, $F$11)</f>
        <v>18.211300000000001</v>
      </c>
      <c r="D633" s="8">
        <f>CHOOSE( CONTROL!$C$32, 18.2472, 18.2448) * CHOOSE( CONTROL!$C$15, $D$11, 100%, $F$11)</f>
        <v>18.247199999999999</v>
      </c>
      <c r="E633" s="12">
        <f>CHOOSE( CONTROL!$C$32, 18.2326, 18.2302) * CHOOSE( CONTROL!$C$15, $D$11, 100%, $F$11)</f>
        <v>18.232600000000001</v>
      </c>
      <c r="F633" s="4">
        <f>CHOOSE( CONTROL!$C$32, 18.9401, 18.9377) * CHOOSE(CONTROL!$C$15, $D$11, 100%, $F$11)</f>
        <v>18.940100000000001</v>
      </c>
      <c r="G633" s="8">
        <f>CHOOSE( CONTROL!$C$32, 17.7867, 17.7843) * CHOOSE( CONTROL!$C$15, $D$11, 100%, $F$11)</f>
        <v>17.7867</v>
      </c>
      <c r="H633" s="4">
        <f>CHOOSE( CONTROL!$C$32, 18.7519, 18.7495) * CHOOSE(CONTROL!$C$15, $D$11, 100%, $F$11)</f>
        <v>18.751899999999999</v>
      </c>
      <c r="I633" s="8">
        <f>CHOOSE( CONTROL!$C$32, 17.5782, 17.5759) * CHOOSE(CONTROL!$C$15, $D$11, 100%, $F$11)</f>
        <v>17.578199999999999</v>
      </c>
      <c r="J633" s="4">
        <f>CHOOSE( CONTROL!$C$32, 17.4602, 17.4579) * CHOOSE(CONTROL!$C$15, $D$11, 100%, $F$11)</f>
        <v>17.4602</v>
      </c>
      <c r="K633" s="4"/>
      <c r="L633" s="9">
        <v>30.7165</v>
      </c>
      <c r="M633" s="9">
        <v>12.063700000000001</v>
      </c>
      <c r="N633" s="9">
        <v>4.9444999999999997</v>
      </c>
      <c r="O633" s="9">
        <v>0.37409999999999999</v>
      </c>
      <c r="P633" s="9">
        <v>1.2183999999999999</v>
      </c>
      <c r="Q633" s="9">
        <v>19.688099999999999</v>
      </c>
      <c r="R633" s="9"/>
      <c r="S633" s="11"/>
    </row>
    <row r="634" spans="1:19" ht="15.75">
      <c r="A634" s="13">
        <v>60813</v>
      </c>
      <c r="B634" s="8">
        <f>CHOOSE( CONTROL!$C$32, 17.9084, 17.906) * CHOOSE(CONTROL!$C$15, $D$11, 100%, $F$11)</f>
        <v>17.9084</v>
      </c>
      <c r="C634" s="8">
        <f>CHOOSE( CONTROL!$C$32, 17.919, 17.9166) * CHOOSE(CONTROL!$C$15, $D$11, 100%, $F$11)</f>
        <v>17.919</v>
      </c>
      <c r="D634" s="8">
        <f>CHOOSE( CONTROL!$C$32, 17.955, 17.9526) * CHOOSE( CONTROL!$C$15, $D$11, 100%, $F$11)</f>
        <v>17.954999999999998</v>
      </c>
      <c r="E634" s="12">
        <f>CHOOSE( CONTROL!$C$32, 17.9403, 17.9379) * CHOOSE( CONTROL!$C$15, $D$11, 100%, $F$11)</f>
        <v>17.940300000000001</v>
      </c>
      <c r="F634" s="4">
        <f>CHOOSE( CONTROL!$C$32, 18.6478, 18.6454) * CHOOSE(CONTROL!$C$15, $D$11, 100%, $F$11)</f>
        <v>18.6478</v>
      </c>
      <c r="G634" s="8">
        <f>CHOOSE( CONTROL!$C$32, 17.5012, 17.4988) * CHOOSE( CONTROL!$C$15, $D$11, 100%, $F$11)</f>
        <v>17.501200000000001</v>
      </c>
      <c r="H634" s="4">
        <f>CHOOSE( CONTROL!$C$32, 18.466, 18.4637) * CHOOSE(CONTROL!$C$15, $D$11, 100%, $F$11)</f>
        <v>18.466000000000001</v>
      </c>
      <c r="I634" s="8">
        <f>CHOOSE( CONTROL!$C$32, 17.2983, 17.296) * CHOOSE(CONTROL!$C$15, $D$11, 100%, $F$11)</f>
        <v>17.298300000000001</v>
      </c>
      <c r="J634" s="4">
        <f>CHOOSE( CONTROL!$C$32, 17.1795, 17.1772) * CHOOSE(CONTROL!$C$15, $D$11, 100%, $F$11)</f>
        <v>17.179500000000001</v>
      </c>
      <c r="K634" s="4"/>
      <c r="L634" s="9">
        <v>29.7257</v>
      </c>
      <c r="M634" s="9">
        <v>11.6745</v>
      </c>
      <c r="N634" s="9">
        <v>4.7850000000000001</v>
      </c>
      <c r="O634" s="9">
        <v>0.36199999999999999</v>
      </c>
      <c r="P634" s="9">
        <v>1.1791</v>
      </c>
      <c r="Q634" s="9">
        <v>19.053000000000001</v>
      </c>
      <c r="R634" s="9"/>
      <c r="S634" s="11"/>
    </row>
    <row r="635" spans="1:19" ht="15.75">
      <c r="A635" s="13">
        <v>60844</v>
      </c>
      <c r="B635" s="8">
        <f>CHOOSE( CONTROL!$C$32, 18.6783, 18.6759) * CHOOSE(CONTROL!$C$15, $D$11, 100%, $F$11)</f>
        <v>18.6783</v>
      </c>
      <c r="C635" s="8">
        <f>CHOOSE( CONTROL!$C$32, 18.6889, 18.6865) * CHOOSE(CONTROL!$C$15, $D$11, 100%, $F$11)</f>
        <v>18.6889</v>
      </c>
      <c r="D635" s="8">
        <f>CHOOSE( CONTROL!$C$32, 18.7251, 18.7227) * CHOOSE( CONTROL!$C$15, $D$11, 100%, $F$11)</f>
        <v>18.725100000000001</v>
      </c>
      <c r="E635" s="12">
        <f>CHOOSE( CONTROL!$C$32, 18.7104, 18.708) * CHOOSE( CONTROL!$C$15, $D$11, 100%, $F$11)</f>
        <v>18.7104</v>
      </c>
      <c r="F635" s="4">
        <f>CHOOSE( CONTROL!$C$32, 19.4176, 19.4153) * CHOOSE(CONTROL!$C$15, $D$11, 100%, $F$11)</f>
        <v>19.4176</v>
      </c>
      <c r="G635" s="8">
        <f>CHOOSE( CONTROL!$C$32, 18.2542, 18.2518) * CHOOSE( CONTROL!$C$15, $D$11, 100%, $F$11)</f>
        <v>18.254200000000001</v>
      </c>
      <c r="H635" s="4">
        <f>CHOOSE( CONTROL!$C$32, 19.2187, 19.2164) * CHOOSE(CONTROL!$C$15, $D$11, 100%, $F$11)</f>
        <v>19.218699999999998</v>
      </c>
      <c r="I635" s="8">
        <f>CHOOSE( CONTROL!$C$32, 18.0388, 18.0365) * CHOOSE(CONTROL!$C$15, $D$11, 100%, $F$11)</f>
        <v>18.038799999999998</v>
      </c>
      <c r="J635" s="4">
        <f>CHOOSE( CONTROL!$C$32, 17.9187, 17.9164) * CHOOSE(CONTROL!$C$15, $D$11, 100%, $F$11)</f>
        <v>17.918700000000001</v>
      </c>
      <c r="K635" s="4"/>
      <c r="L635" s="9">
        <v>30.7165</v>
      </c>
      <c r="M635" s="9">
        <v>12.063700000000001</v>
      </c>
      <c r="N635" s="9">
        <v>4.9444999999999997</v>
      </c>
      <c r="O635" s="9">
        <v>0.37409999999999999</v>
      </c>
      <c r="P635" s="9">
        <v>1.2183999999999999</v>
      </c>
      <c r="Q635" s="9">
        <v>19.688099999999999</v>
      </c>
      <c r="R635" s="9"/>
      <c r="S635" s="11"/>
    </row>
    <row r="636" spans="1:19" ht="15.75">
      <c r="A636" s="13">
        <v>60875</v>
      </c>
      <c r="B636" s="8">
        <f>CHOOSE( CONTROL!$C$32, 17.2378, 17.2354) * CHOOSE(CONTROL!$C$15, $D$11, 100%, $F$11)</f>
        <v>17.2378</v>
      </c>
      <c r="C636" s="8">
        <f>CHOOSE( CONTROL!$C$32, 17.2484, 17.246) * CHOOSE(CONTROL!$C$15, $D$11, 100%, $F$11)</f>
        <v>17.2484</v>
      </c>
      <c r="D636" s="8">
        <f>CHOOSE( CONTROL!$C$32, 17.2847, 17.2823) * CHOOSE( CONTROL!$C$15, $D$11, 100%, $F$11)</f>
        <v>17.284700000000001</v>
      </c>
      <c r="E636" s="12">
        <f>CHOOSE( CONTROL!$C$32, 17.2699, 17.2675) * CHOOSE( CONTROL!$C$15, $D$11, 100%, $F$11)</f>
        <v>17.2699</v>
      </c>
      <c r="F636" s="4">
        <f>CHOOSE( CONTROL!$C$32, 17.9772, 17.9748) * CHOOSE(CONTROL!$C$15, $D$11, 100%, $F$11)</f>
        <v>17.9772</v>
      </c>
      <c r="G636" s="8">
        <f>CHOOSE( CONTROL!$C$32, 16.8459, 16.8435) * CHOOSE( CONTROL!$C$15, $D$11, 100%, $F$11)</f>
        <v>16.8459</v>
      </c>
      <c r="H636" s="4">
        <f>CHOOSE( CONTROL!$C$32, 17.8104, 17.808) * CHOOSE(CONTROL!$C$15, $D$11, 100%, $F$11)</f>
        <v>17.810400000000001</v>
      </c>
      <c r="I636" s="8">
        <f>CHOOSE( CONTROL!$C$32, 16.6554, 16.6531) * CHOOSE(CONTROL!$C$15, $D$11, 100%, $F$11)</f>
        <v>16.6554</v>
      </c>
      <c r="J636" s="4">
        <f>CHOOSE( CONTROL!$C$32, 16.5357, 16.5334) * CHOOSE(CONTROL!$C$15, $D$11, 100%, $F$11)</f>
        <v>16.535699999999999</v>
      </c>
      <c r="K636" s="4"/>
      <c r="L636" s="9">
        <v>30.7165</v>
      </c>
      <c r="M636" s="9">
        <v>12.063700000000001</v>
      </c>
      <c r="N636" s="9">
        <v>4.9444999999999997</v>
      </c>
      <c r="O636" s="9">
        <v>0.37409999999999999</v>
      </c>
      <c r="P636" s="9">
        <v>1.2183999999999999</v>
      </c>
      <c r="Q636" s="9">
        <v>19.688099999999999</v>
      </c>
      <c r="R636" s="9"/>
      <c r="S636" s="11"/>
    </row>
    <row r="637" spans="1:19" ht="15.75">
      <c r="A637" s="13">
        <v>60905</v>
      </c>
      <c r="B637" s="8">
        <f>CHOOSE( CONTROL!$C$32, 16.8771, 16.8747) * CHOOSE(CONTROL!$C$15, $D$11, 100%, $F$11)</f>
        <v>16.877099999999999</v>
      </c>
      <c r="C637" s="8">
        <f>CHOOSE( CONTROL!$C$32, 16.8876, 16.8853) * CHOOSE(CONTROL!$C$15, $D$11, 100%, $F$11)</f>
        <v>16.887599999999999</v>
      </c>
      <c r="D637" s="8">
        <f>CHOOSE( CONTROL!$C$32, 16.9239, 16.9215) * CHOOSE( CONTROL!$C$15, $D$11, 100%, $F$11)</f>
        <v>16.9239</v>
      </c>
      <c r="E637" s="12">
        <f>CHOOSE( CONTROL!$C$32, 16.9091, 16.9068) * CHOOSE( CONTROL!$C$15, $D$11, 100%, $F$11)</f>
        <v>16.909099999999999</v>
      </c>
      <c r="F637" s="4">
        <f>CHOOSE( CONTROL!$C$32, 17.6164, 17.614) * CHOOSE(CONTROL!$C$15, $D$11, 100%, $F$11)</f>
        <v>17.616399999999999</v>
      </c>
      <c r="G637" s="8">
        <f>CHOOSE( CONTROL!$C$32, 16.4931, 16.4908) * CHOOSE( CONTROL!$C$15, $D$11, 100%, $F$11)</f>
        <v>16.493099999999998</v>
      </c>
      <c r="H637" s="4">
        <f>CHOOSE( CONTROL!$C$32, 17.4577, 17.4554) * CHOOSE(CONTROL!$C$15, $D$11, 100%, $F$11)</f>
        <v>17.457699999999999</v>
      </c>
      <c r="I637" s="8">
        <f>CHOOSE( CONTROL!$C$32, 16.3086, 16.3063) * CHOOSE(CONTROL!$C$15, $D$11, 100%, $F$11)</f>
        <v>16.308599999999998</v>
      </c>
      <c r="J637" s="4">
        <f>CHOOSE( CONTROL!$C$32, 16.1894, 16.1871) * CHOOSE(CONTROL!$C$15, $D$11, 100%, $F$11)</f>
        <v>16.189399999999999</v>
      </c>
      <c r="K637" s="4"/>
      <c r="L637" s="9">
        <v>29.7257</v>
      </c>
      <c r="M637" s="9">
        <v>11.6745</v>
      </c>
      <c r="N637" s="9">
        <v>4.7850000000000001</v>
      </c>
      <c r="O637" s="9">
        <v>0.36199999999999999</v>
      </c>
      <c r="P637" s="9">
        <v>1.1791</v>
      </c>
      <c r="Q637" s="9">
        <v>19.053000000000001</v>
      </c>
      <c r="R637" s="9"/>
      <c r="S637" s="11"/>
    </row>
    <row r="638" spans="1:19" ht="15.75">
      <c r="A638" s="13">
        <v>60936</v>
      </c>
      <c r="B638" s="8">
        <f>17.6238 * CHOOSE(CONTROL!$C$15, $D$11, 100%, $F$11)</f>
        <v>17.623799999999999</v>
      </c>
      <c r="C638" s="8">
        <f>17.6345 * CHOOSE(CONTROL!$C$15, $D$11, 100%, $F$11)</f>
        <v>17.634499999999999</v>
      </c>
      <c r="D638" s="8">
        <f>17.6721 * CHOOSE( CONTROL!$C$15, $D$11, 100%, $F$11)</f>
        <v>17.6721</v>
      </c>
      <c r="E638" s="12">
        <f>17.6585 * CHOOSE( CONTROL!$C$15, $D$11, 100%, $F$11)</f>
        <v>17.6585</v>
      </c>
      <c r="F638" s="4">
        <f>18.363 * CHOOSE(CONTROL!$C$15, $D$11, 100%, $F$11)</f>
        <v>18.363</v>
      </c>
      <c r="G638" s="8">
        <f>17.2228 * CHOOSE( CONTROL!$C$15, $D$11, 100%, $F$11)</f>
        <v>17.222799999999999</v>
      </c>
      <c r="H638" s="4">
        <f>18.1876 * CHOOSE(CONTROL!$C$15, $D$11, 100%, $F$11)</f>
        <v>18.1876</v>
      </c>
      <c r="I638" s="8">
        <f>17.0265 * CHOOSE(CONTROL!$C$15, $D$11, 100%, $F$11)</f>
        <v>17.026499999999999</v>
      </c>
      <c r="J638" s="4">
        <f>16.9061 * CHOOSE(CONTROL!$C$15, $D$11, 100%, $F$11)</f>
        <v>16.906099999999999</v>
      </c>
      <c r="K638" s="4"/>
      <c r="L638" s="9">
        <v>31.095300000000002</v>
      </c>
      <c r="M638" s="9">
        <v>12.063700000000001</v>
      </c>
      <c r="N638" s="9">
        <v>4.9444999999999997</v>
      </c>
      <c r="O638" s="9">
        <v>0.37409999999999999</v>
      </c>
      <c r="P638" s="9">
        <v>1.2183999999999999</v>
      </c>
      <c r="Q638" s="9">
        <v>19.688099999999999</v>
      </c>
      <c r="R638" s="9"/>
      <c r="S638" s="11"/>
    </row>
    <row r="639" spans="1:19" ht="15.75">
      <c r="A639" s="13">
        <v>60966</v>
      </c>
      <c r="B639" s="8">
        <f>19.0062 * CHOOSE(CONTROL!$C$15, $D$11, 100%, $F$11)</f>
        <v>19.0062</v>
      </c>
      <c r="C639" s="8">
        <f>19.017 * CHOOSE(CONTROL!$C$15, $D$11, 100%, $F$11)</f>
        <v>19.016999999999999</v>
      </c>
      <c r="D639" s="8">
        <f>18.9997 * CHOOSE( CONTROL!$C$15, $D$11, 100%, $F$11)</f>
        <v>18.999700000000001</v>
      </c>
      <c r="E639" s="12">
        <f>19.0049 * CHOOSE( CONTROL!$C$15, $D$11, 100%, $F$11)</f>
        <v>19.004899999999999</v>
      </c>
      <c r="F639" s="4">
        <f>19.6647 * CHOOSE(CONTROL!$C$15, $D$11, 100%, $F$11)</f>
        <v>19.6647</v>
      </c>
      <c r="G639" s="8">
        <f>18.5811 * CHOOSE( CONTROL!$C$15, $D$11, 100%, $F$11)</f>
        <v>18.581099999999999</v>
      </c>
      <c r="H639" s="4">
        <f>19.4603 * CHOOSE(CONTROL!$C$15, $D$11, 100%, $F$11)</f>
        <v>19.4603</v>
      </c>
      <c r="I639" s="8">
        <f>18.3916 * CHOOSE(CONTROL!$C$15, $D$11, 100%, $F$11)</f>
        <v>18.3916</v>
      </c>
      <c r="J639" s="4">
        <f>18.2334 * CHOOSE(CONTROL!$C$15, $D$11, 100%, $F$11)</f>
        <v>18.2334</v>
      </c>
      <c r="K639" s="4"/>
      <c r="L639" s="9">
        <v>28.360600000000002</v>
      </c>
      <c r="M639" s="9">
        <v>11.6745</v>
      </c>
      <c r="N639" s="9">
        <v>4.7850000000000001</v>
      </c>
      <c r="O639" s="9">
        <v>0.36199999999999999</v>
      </c>
      <c r="P639" s="9">
        <v>1.2509999999999999</v>
      </c>
      <c r="Q639" s="9">
        <v>19.053000000000001</v>
      </c>
      <c r="R639" s="9"/>
      <c r="S639" s="11"/>
    </row>
    <row r="640" spans="1:19" ht="15.75">
      <c r="A640" s="13">
        <v>60997</v>
      </c>
      <c r="B640" s="8">
        <f>18.9717 * CHOOSE(CONTROL!$C$15, $D$11, 100%, $F$11)</f>
        <v>18.971699999999998</v>
      </c>
      <c r="C640" s="8">
        <f>18.9825 * CHOOSE(CONTROL!$C$15, $D$11, 100%, $F$11)</f>
        <v>18.982500000000002</v>
      </c>
      <c r="D640" s="8">
        <f>18.9669 * CHOOSE( CONTROL!$C$15, $D$11, 100%, $F$11)</f>
        <v>18.966899999999999</v>
      </c>
      <c r="E640" s="12">
        <f>18.9715 * CHOOSE( CONTROL!$C$15, $D$11, 100%, $F$11)</f>
        <v>18.971499999999999</v>
      </c>
      <c r="F640" s="4">
        <f>19.6302 * CHOOSE(CONTROL!$C$15, $D$11, 100%, $F$11)</f>
        <v>19.630199999999999</v>
      </c>
      <c r="G640" s="8">
        <f>18.5485 * CHOOSE( CONTROL!$C$15, $D$11, 100%, $F$11)</f>
        <v>18.548500000000001</v>
      </c>
      <c r="H640" s="4">
        <f>19.4266 * CHOOSE(CONTROL!$C$15, $D$11, 100%, $F$11)</f>
        <v>19.426600000000001</v>
      </c>
      <c r="I640" s="8">
        <f>18.3636 * CHOOSE(CONTROL!$C$15, $D$11, 100%, $F$11)</f>
        <v>18.363600000000002</v>
      </c>
      <c r="J640" s="4">
        <f>18.2003 * CHOOSE(CONTROL!$C$15, $D$11, 100%, $F$11)</f>
        <v>18.200299999999999</v>
      </c>
      <c r="K640" s="4"/>
      <c r="L640" s="9">
        <v>29.306000000000001</v>
      </c>
      <c r="M640" s="9">
        <v>12.063700000000001</v>
      </c>
      <c r="N640" s="9">
        <v>4.9444999999999997</v>
      </c>
      <c r="O640" s="9">
        <v>0.37409999999999999</v>
      </c>
      <c r="P640" s="9">
        <v>1.2927</v>
      </c>
      <c r="Q640" s="9">
        <v>19.688099999999999</v>
      </c>
      <c r="R640" s="9"/>
      <c r="S640" s="11"/>
    </row>
    <row r="641" spans="1:19" ht="15.75">
      <c r="A641" s="13">
        <v>61028</v>
      </c>
      <c r="B641" s="8">
        <f>19.5309 * CHOOSE(CONTROL!$C$15, $D$11, 100%, $F$11)</f>
        <v>19.530899999999999</v>
      </c>
      <c r="C641" s="8">
        <f>19.5416 * CHOOSE(CONTROL!$C$15, $D$11, 100%, $F$11)</f>
        <v>19.541599999999999</v>
      </c>
      <c r="D641" s="8">
        <f>19.523 * CHOOSE( CONTROL!$C$15, $D$11, 100%, $F$11)</f>
        <v>19.523</v>
      </c>
      <c r="E641" s="12">
        <f>19.5287 * CHOOSE( CONTROL!$C$15, $D$11, 100%, $F$11)</f>
        <v>19.528700000000001</v>
      </c>
      <c r="F641" s="4">
        <f>20.1894 * CHOOSE(CONTROL!$C$15, $D$11, 100%, $F$11)</f>
        <v>20.189399999999999</v>
      </c>
      <c r="G641" s="8">
        <f>19.0877 * CHOOSE( CONTROL!$C$15, $D$11, 100%, $F$11)</f>
        <v>19.087700000000002</v>
      </c>
      <c r="H641" s="4">
        <f>19.9732 * CHOOSE(CONTROL!$C$15, $D$11, 100%, $F$11)</f>
        <v>19.973199999999999</v>
      </c>
      <c r="I641" s="8">
        <f>18.8656 * CHOOSE(CONTROL!$C$15, $D$11, 100%, $F$11)</f>
        <v>18.865600000000001</v>
      </c>
      <c r="J641" s="4">
        <f>18.7371 * CHOOSE(CONTROL!$C$15, $D$11, 100%, $F$11)</f>
        <v>18.737100000000002</v>
      </c>
      <c r="K641" s="4"/>
      <c r="L641" s="9">
        <v>29.306000000000001</v>
      </c>
      <c r="M641" s="9">
        <v>12.063700000000001</v>
      </c>
      <c r="N641" s="9">
        <v>4.9444999999999997</v>
      </c>
      <c r="O641" s="9">
        <v>0.37409999999999999</v>
      </c>
      <c r="P641" s="9">
        <v>1.2927</v>
      </c>
      <c r="Q641" s="9">
        <v>19.688099999999999</v>
      </c>
      <c r="R641" s="9"/>
      <c r="S641" s="11"/>
    </row>
    <row r="642" spans="1:19" ht="15.75">
      <c r="A642" s="13">
        <v>61056</v>
      </c>
      <c r="B642" s="8">
        <f>18.2692 * CHOOSE(CONTROL!$C$15, $D$11, 100%, $F$11)</f>
        <v>18.269200000000001</v>
      </c>
      <c r="C642" s="8">
        <f>18.28 * CHOOSE(CONTROL!$C$15, $D$11, 100%, $F$11)</f>
        <v>18.28</v>
      </c>
      <c r="D642" s="8">
        <f>18.2613 * CHOOSE( CONTROL!$C$15, $D$11, 100%, $F$11)</f>
        <v>18.261299999999999</v>
      </c>
      <c r="E642" s="12">
        <f>18.267 * CHOOSE( CONTROL!$C$15, $D$11, 100%, $F$11)</f>
        <v>18.266999999999999</v>
      </c>
      <c r="F642" s="4">
        <f>18.9277 * CHOOSE(CONTROL!$C$15, $D$11, 100%, $F$11)</f>
        <v>18.927700000000002</v>
      </c>
      <c r="G642" s="8">
        <f>17.8541 * CHOOSE( CONTROL!$C$15, $D$11, 100%, $F$11)</f>
        <v>17.854099999999999</v>
      </c>
      <c r="H642" s="4">
        <f>18.7397 * CHOOSE(CONTROL!$C$15, $D$11, 100%, $F$11)</f>
        <v>18.739699999999999</v>
      </c>
      <c r="I642" s="8">
        <f>17.6534 * CHOOSE(CONTROL!$C$15, $D$11, 100%, $F$11)</f>
        <v>17.653400000000001</v>
      </c>
      <c r="J642" s="4">
        <f>17.5258 * CHOOSE(CONTROL!$C$15, $D$11, 100%, $F$11)</f>
        <v>17.5258</v>
      </c>
      <c r="K642" s="4"/>
      <c r="L642" s="9">
        <v>26.469899999999999</v>
      </c>
      <c r="M642" s="9">
        <v>10.8962</v>
      </c>
      <c r="N642" s="9">
        <v>4.4660000000000002</v>
      </c>
      <c r="O642" s="9">
        <v>0.33789999999999998</v>
      </c>
      <c r="P642" s="9">
        <v>1.1676</v>
      </c>
      <c r="Q642" s="9">
        <v>17.782800000000002</v>
      </c>
      <c r="R642" s="9"/>
      <c r="S642" s="11"/>
    </row>
    <row r="643" spans="1:19" ht="15.75">
      <c r="A643" s="13">
        <v>61087</v>
      </c>
      <c r="B643" s="8">
        <f>17.8806 * CHOOSE(CONTROL!$C$15, $D$11, 100%, $F$11)</f>
        <v>17.880600000000001</v>
      </c>
      <c r="C643" s="8">
        <f>17.8914 * CHOOSE(CONTROL!$C$15, $D$11, 100%, $F$11)</f>
        <v>17.891400000000001</v>
      </c>
      <c r="D643" s="8">
        <f>17.8722 * CHOOSE( CONTROL!$C$15, $D$11, 100%, $F$11)</f>
        <v>17.872199999999999</v>
      </c>
      <c r="E643" s="12">
        <f>17.8781 * CHOOSE( CONTROL!$C$15, $D$11, 100%, $F$11)</f>
        <v>17.8781</v>
      </c>
      <c r="F643" s="4">
        <f>18.5391 * CHOOSE(CONTROL!$C$15, $D$11, 100%, $F$11)</f>
        <v>18.539100000000001</v>
      </c>
      <c r="G643" s="8">
        <f>17.4738 * CHOOSE( CONTROL!$C$15, $D$11, 100%, $F$11)</f>
        <v>17.473800000000001</v>
      </c>
      <c r="H643" s="4">
        <f>18.3598 * CHOOSE(CONTROL!$C$15, $D$11, 100%, $F$11)</f>
        <v>18.3598</v>
      </c>
      <c r="I643" s="8">
        <f>17.2786 * CHOOSE(CONTROL!$C$15, $D$11, 100%, $F$11)</f>
        <v>17.278600000000001</v>
      </c>
      <c r="J643" s="4">
        <f>17.1527 * CHOOSE(CONTROL!$C$15, $D$11, 100%, $F$11)</f>
        <v>17.152699999999999</v>
      </c>
      <c r="K643" s="4"/>
      <c r="L643" s="9">
        <v>29.306000000000001</v>
      </c>
      <c r="M643" s="9">
        <v>12.063700000000001</v>
      </c>
      <c r="N643" s="9">
        <v>4.9444999999999997</v>
      </c>
      <c r="O643" s="9">
        <v>0.37409999999999999</v>
      </c>
      <c r="P643" s="9">
        <v>1.2927</v>
      </c>
      <c r="Q643" s="9">
        <v>19.688099999999999</v>
      </c>
      <c r="R643" s="9"/>
      <c r="S643" s="11"/>
    </row>
    <row r="644" spans="1:19" ht="15.75">
      <c r="A644" s="13">
        <v>61117</v>
      </c>
      <c r="B644" s="8">
        <f>18.1521 * CHOOSE(CONTROL!$C$15, $D$11, 100%, $F$11)</f>
        <v>18.152100000000001</v>
      </c>
      <c r="C644" s="8">
        <f>18.1629 * CHOOSE(CONTROL!$C$15, $D$11, 100%, $F$11)</f>
        <v>18.1629</v>
      </c>
      <c r="D644" s="8">
        <f>18.1998 * CHOOSE( CONTROL!$C$15, $D$11, 100%, $F$11)</f>
        <v>18.1998</v>
      </c>
      <c r="E644" s="12">
        <f>18.1864 * CHOOSE( CONTROL!$C$15, $D$11, 100%, $F$11)</f>
        <v>18.186399999999999</v>
      </c>
      <c r="F644" s="4">
        <f>18.8914 * CHOOSE(CONTROL!$C$15, $D$11, 100%, $F$11)</f>
        <v>18.891400000000001</v>
      </c>
      <c r="G644" s="8">
        <f>17.7385 * CHOOSE( CONTROL!$C$15, $D$11, 100%, $F$11)</f>
        <v>17.738499999999998</v>
      </c>
      <c r="H644" s="4">
        <f>18.7042 * CHOOSE(CONTROL!$C$15, $D$11, 100%, $F$11)</f>
        <v>18.7042</v>
      </c>
      <c r="I644" s="8">
        <f>17.5313 * CHOOSE(CONTROL!$C$15, $D$11, 100%, $F$11)</f>
        <v>17.531300000000002</v>
      </c>
      <c r="J644" s="4">
        <f>17.4134 * CHOOSE(CONTROL!$C$15, $D$11, 100%, $F$11)</f>
        <v>17.413399999999999</v>
      </c>
      <c r="K644" s="4"/>
      <c r="L644" s="9">
        <v>30.092199999999998</v>
      </c>
      <c r="M644" s="9">
        <v>11.6745</v>
      </c>
      <c r="N644" s="9">
        <v>4.7850000000000001</v>
      </c>
      <c r="O644" s="9">
        <v>0.36199999999999999</v>
      </c>
      <c r="P644" s="9">
        <v>1.1791</v>
      </c>
      <c r="Q644" s="9">
        <v>19.053000000000001</v>
      </c>
      <c r="R644" s="9"/>
      <c r="S644" s="11"/>
    </row>
    <row r="645" spans="1:19" ht="15.75">
      <c r="A645" s="13">
        <v>61148</v>
      </c>
      <c r="B645" s="8">
        <f>CHOOSE( CONTROL!$C$32, 18.6377, 18.6353) * CHOOSE(CONTROL!$C$15, $D$11, 100%, $F$11)</f>
        <v>18.637699999999999</v>
      </c>
      <c r="C645" s="8">
        <f>CHOOSE( CONTROL!$C$32, 18.6482, 18.6458) * CHOOSE(CONTROL!$C$15, $D$11, 100%, $F$11)</f>
        <v>18.648199999999999</v>
      </c>
      <c r="D645" s="8">
        <f>CHOOSE( CONTROL!$C$32, 18.6841, 18.6817) * CHOOSE( CONTROL!$C$15, $D$11, 100%, $F$11)</f>
        <v>18.684100000000001</v>
      </c>
      <c r="E645" s="12">
        <f>CHOOSE( CONTROL!$C$32, 18.6695, 18.6671) * CHOOSE( CONTROL!$C$15, $D$11, 100%, $F$11)</f>
        <v>18.669499999999999</v>
      </c>
      <c r="F645" s="4">
        <f>CHOOSE( CONTROL!$C$32, 19.377, 19.3746) * CHOOSE(CONTROL!$C$15, $D$11, 100%, $F$11)</f>
        <v>19.376999999999999</v>
      </c>
      <c r="G645" s="8">
        <f>CHOOSE( CONTROL!$C$32, 18.2138, 18.2115) * CHOOSE( CONTROL!$C$15, $D$11, 100%, $F$11)</f>
        <v>18.213799999999999</v>
      </c>
      <c r="H645" s="4">
        <f>CHOOSE( CONTROL!$C$32, 19.179, 19.1767) * CHOOSE(CONTROL!$C$15, $D$11, 100%, $F$11)</f>
        <v>19.178999999999998</v>
      </c>
      <c r="I645" s="8">
        <f>CHOOSE( CONTROL!$C$32, 17.9979, 17.9956) * CHOOSE(CONTROL!$C$15, $D$11, 100%, $F$11)</f>
        <v>17.997900000000001</v>
      </c>
      <c r="J645" s="4">
        <f>CHOOSE( CONTROL!$C$32, 17.8797, 17.8774) * CHOOSE(CONTROL!$C$15, $D$11, 100%, $F$11)</f>
        <v>17.8797</v>
      </c>
      <c r="K645" s="4"/>
      <c r="L645" s="9">
        <v>30.7165</v>
      </c>
      <c r="M645" s="9">
        <v>12.063700000000001</v>
      </c>
      <c r="N645" s="9">
        <v>4.9444999999999997</v>
      </c>
      <c r="O645" s="9">
        <v>0.37409999999999999</v>
      </c>
      <c r="P645" s="9">
        <v>1.2183999999999999</v>
      </c>
      <c r="Q645" s="9">
        <v>19.688099999999999</v>
      </c>
      <c r="R645" s="9"/>
      <c r="S645" s="11"/>
    </row>
    <row r="646" spans="1:19" ht="15.75">
      <c r="A646" s="13">
        <v>61178</v>
      </c>
      <c r="B646" s="8">
        <f>CHOOSE( CONTROL!$C$32, 18.3383, 18.3359) * CHOOSE(CONTROL!$C$15, $D$11, 100%, $F$11)</f>
        <v>18.3383</v>
      </c>
      <c r="C646" s="8">
        <f>CHOOSE( CONTROL!$C$32, 18.3489, 18.3465) * CHOOSE(CONTROL!$C$15, $D$11, 100%, $F$11)</f>
        <v>18.3489</v>
      </c>
      <c r="D646" s="8">
        <f>CHOOSE( CONTROL!$C$32, 18.3849, 18.3825) * CHOOSE( CONTROL!$C$15, $D$11, 100%, $F$11)</f>
        <v>18.384899999999998</v>
      </c>
      <c r="E646" s="12">
        <f>CHOOSE( CONTROL!$C$32, 18.3702, 18.3678) * CHOOSE( CONTROL!$C$15, $D$11, 100%, $F$11)</f>
        <v>18.370200000000001</v>
      </c>
      <c r="F646" s="4">
        <f>CHOOSE( CONTROL!$C$32, 19.0777, 19.0753) * CHOOSE(CONTROL!$C$15, $D$11, 100%, $F$11)</f>
        <v>19.0777</v>
      </c>
      <c r="G646" s="8">
        <f>CHOOSE( CONTROL!$C$32, 17.9214, 17.9191) * CHOOSE( CONTROL!$C$15, $D$11, 100%, $F$11)</f>
        <v>17.921399999999998</v>
      </c>
      <c r="H646" s="4">
        <f>CHOOSE( CONTROL!$C$32, 18.8863, 18.884) * CHOOSE(CONTROL!$C$15, $D$11, 100%, $F$11)</f>
        <v>18.886299999999999</v>
      </c>
      <c r="I646" s="8">
        <f>CHOOSE( CONTROL!$C$32, 17.7112, 17.7089) * CHOOSE(CONTROL!$C$15, $D$11, 100%, $F$11)</f>
        <v>17.711200000000002</v>
      </c>
      <c r="J646" s="4">
        <f>CHOOSE( CONTROL!$C$32, 17.5923, 17.59) * CHOOSE(CONTROL!$C$15, $D$11, 100%, $F$11)</f>
        <v>17.592300000000002</v>
      </c>
      <c r="K646" s="4"/>
      <c r="L646" s="9">
        <v>29.7257</v>
      </c>
      <c r="M646" s="9">
        <v>11.6745</v>
      </c>
      <c r="N646" s="9">
        <v>4.7850000000000001</v>
      </c>
      <c r="O646" s="9">
        <v>0.36199999999999999</v>
      </c>
      <c r="P646" s="9">
        <v>1.1791</v>
      </c>
      <c r="Q646" s="9">
        <v>19.053000000000001</v>
      </c>
      <c r="R646" s="9"/>
      <c r="S646" s="11"/>
    </row>
    <row r="647" spans="1:19" ht="15.75">
      <c r="A647" s="13">
        <v>61209</v>
      </c>
      <c r="B647" s="8">
        <f>CHOOSE( CONTROL!$C$32, 19.1267, 19.1243) * CHOOSE(CONTROL!$C$15, $D$11, 100%, $F$11)</f>
        <v>19.1267</v>
      </c>
      <c r="C647" s="8">
        <f>CHOOSE( CONTROL!$C$32, 19.1372, 19.1348) * CHOOSE(CONTROL!$C$15, $D$11, 100%, $F$11)</f>
        <v>19.1372</v>
      </c>
      <c r="D647" s="8">
        <f>CHOOSE( CONTROL!$C$32, 19.1735, 19.1711) * CHOOSE( CONTROL!$C$15, $D$11, 100%, $F$11)</f>
        <v>19.173500000000001</v>
      </c>
      <c r="E647" s="12">
        <f>CHOOSE( CONTROL!$C$32, 19.1587, 19.1563) * CHOOSE( CONTROL!$C$15, $D$11, 100%, $F$11)</f>
        <v>19.1587</v>
      </c>
      <c r="F647" s="4">
        <f>CHOOSE( CONTROL!$C$32, 19.866, 19.8636) * CHOOSE(CONTROL!$C$15, $D$11, 100%, $F$11)</f>
        <v>19.866</v>
      </c>
      <c r="G647" s="8">
        <f>CHOOSE( CONTROL!$C$32, 18.6925, 18.6902) * CHOOSE( CONTROL!$C$15, $D$11, 100%, $F$11)</f>
        <v>18.692499999999999</v>
      </c>
      <c r="H647" s="4">
        <f>CHOOSE( CONTROL!$C$32, 19.6571, 19.6548) * CHOOSE(CONTROL!$C$15, $D$11, 100%, $F$11)</f>
        <v>19.6571</v>
      </c>
      <c r="I647" s="8">
        <f>CHOOSE( CONTROL!$C$32, 18.4695, 18.4672) * CHOOSE(CONTROL!$C$15, $D$11, 100%, $F$11)</f>
        <v>18.4695</v>
      </c>
      <c r="J647" s="4">
        <f>CHOOSE( CONTROL!$C$32, 18.3492, 18.3469) * CHOOSE(CONTROL!$C$15, $D$11, 100%, $F$11)</f>
        <v>18.3492</v>
      </c>
      <c r="K647" s="4"/>
      <c r="L647" s="9">
        <v>30.7165</v>
      </c>
      <c r="M647" s="9">
        <v>12.063700000000001</v>
      </c>
      <c r="N647" s="9">
        <v>4.9444999999999997</v>
      </c>
      <c r="O647" s="9">
        <v>0.37409999999999999</v>
      </c>
      <c r="P647" s="9">
        <v>1.2183999999999999</v>
      </c>
      <c r="Q647" s="9">
        <v>19.688099999999999</v>
      </c>
      <c r="R647" s="9"/>
      <c r="S647" s="11"/>
    </row>
    <row r="648" spans="1:19" ht="15.75">
      <c r="A648" s="13">
        <v>61240</v>
      </c>
      <c r="B648" s="8">
        <f>CHOOSE( CONTROL!$C$32, 17.6516, 17.6492) * CHOOSE(CONTROL!$C$15, $D$11, 100%, $F$11)</f>
        <v>17.651599999999998</v>
      </c>
      <c r="C648" s="8">
        <f>CHOOSE( CONTROL!$C$32, 17.6621, 17.6597) * CHOOSE(CONTROL!$C$15, $D$11, 100%, $F$11)</f>
        <v>17.662099999999999</v>
      </c>
      <c r="D648" s="8">
        <f>CHOOSE( CONTROL!$C$32, 17.6984, 17.696) * CHOOSE( CONTROL!$C$15, $D$11, 100%, $F$11)</f>
        <v>17.698399999999999</v>
      </c>
      <c r="E648" s="12">
        <f>CHOOSE( CONTROL!$C$32, 17.6836, 17.6812) * CHOOSE( CONTROL!$C$15, $D$11, 100%, $F$11)</f>
        <v>17.683599999999998</v>
      </c>
      <c r="F648" s="4">
        <f>CHOOSE( CONTROL!$C$32, 18.3909, 18.3885) * CHOOSE(CONTROL!$C$15, $D$11, 100%, $F$11)</f>
        <v>18.390899999999998</v>
      </c>
      <c r="G648" s="8">
        <f>CHOOSE( CONTROL!$C$32, 17.2504, 17.2481) * CHOOSE( CONTROL!$C$15, $D$11, 100%, $F$11)</f>
        <v>17.250399999999999</v>
      </c>
      <c r="H648" s="4">
        <f>CHOOSE( CONTROL!$C$32, 18.2149, 18.2126) * CHOOSE(CONTROL!$C$15, $D$11, 100%, $F$11)</f>
        <v>18.2149</v>
      </c>
      <c r="I648" s="8">
        <f>CHOOSE( CONTROL!$C$32, 17.0528, 17.0505) * CHOOSE(CONTROL!$C$15, $D$11, 100%, $F$11)</f>
        <v>17.052800000000001</v>
      </c>
      <c r="J648" s="4">
        <f>CHOOSE( CONTROL!$C$32, 16.9329, 16.9306) * CHOOSE(CONTROL!$C$15, $D$11, 100%, $F$11)</f>
        <v>16.9329</v>
      </c>
      <c r="K648" s="4"/>
      <c r="L648" s="9">
        <v>30.7165</v>
      </c>
      <c r="M648" s="9">
        <v>12.063700000000001</v>
      </c>
      <c r="N648" s="9">
        <v>4.9444999999999997</v>
      </c>
      <c r="O648" s="9">
        <v>0.37409999999999999</v>
      </c>
      <c r="P648" s="9">
        <v>1.2183999999999999</v>
      </c>
      <c r="Q648" s="9">
        <v>19.688099999999999</v>
      </c>
      <c r="R648" s="9"/>
      <c r="S648" s="11"/>
    </row>
    <row r="649" spans="1:19" ht="15.75">
      <c r="A649" s="13">
        <v>61270</v>
      </c>
      <c r="B649" s="8">
        <f>CHOOSE( CONTROL!$C$32, 17.2822, 17.2798) * CHOOSE(CONTROL!$C$15, $D$11, 100%, $F$11)</f>
        <v>17.2822</v>
      </c>
      <c r="C649" s="8">
        <f>CHOOSE( CONTROL!$C$32, 17.2927, 17.2904) * CHOOSE(CONTROL!$C$15, $D$11, 100%, $F$11)</f>
        <v>17.2927</v>
      </c>
      <c r="D649" s="8">
        <f>CHOOSE( CONTROL!$C$32, 17.329, 17.3266) * CHOOSE( CONTROL!$C$15, $D$11, 100%, $F$11)</f>
        <v>17.329000000000001</v>
      </c>
      <c r="E649" s="12">
        <f>CHOOSE( CONTROL!$C$32, 17.3142, 17.3119) * CHOOSE( CONTROL!$C$15, $D$11, 100%, $F$11)</f>
        <v>17.3142</v>
      </c>
      <c r="F649" s="4">
        <f>CHOOSE( CONTROL!$C$32, 18.0215, 18.0191) * CHOOSE(CONTROL!$C$15, $D$11, 100%, $F$11)</f>
        <v>18.0215</v>
      </c>
      <c r="G649" s="8">
        <f>CHOOSE( CONTROL!$C$32, 16.8892, 16.8868) * CHOOSE( CONTROL!$C$15, $D$11, 100%, $F$11)</f>
        <v>16.889199999999999</v>
      </c>
      <c r="H649" s="4">
        <f>CHOOSE( CONTROL!$C$32, 17.8538, 17.8514) * CHOOSE(CONTROL!$C$15, $D$11, 100%, $F$11)</f>
        <v>17.8538</v>
      </c>
      <c r="I649" s="8">
        <f>CHOOSE( CONTROL!$C$32, 16.6977, 16.6954) * CHOOSE(CONTROL!$C$15, $D$11, 100%, $F$11)</f>
        <v>16.697700000000001</v>
      </c>
      <c r="J649" s="4">
        <f>CHOOSE( CONTROL!$C$32, 16.5783, 16.576) * CHOOSE(CONTROL!$C$15, $D$11, 100%, $F$11)</f>
        <v>16.578299999999999</v>
      </c>
      <c r="K649" s="4"/>
      <c r="L649" s="9">
        <v>29.7257</v>
      </c>
      <c r="M649" s="9">
        <v>11.6745</v>
      </c>
      <c r="N649" s="9">
        <v>4.7850000000000001</v>
      </c>
      <c r="O649" s="9">
        <v>0.36199999999999999</v>
      </c>
      <c r="P649" s="9">
        <v>1.1791</v>
      </c>
      <c r="Q649" s="9">
        <v>19.053000000000001</v>
      </c>
      <c r="R649" s="9"/>
      <c r="S649" s="11"/>
    </row>
    <row r="650" spans="1:19" ht="15.75">
      <c r="A650" s="13">
        <v>61301</v>
      </c>
      <c r="B650" s="8">
        <f>18.0469 * CHOOSE(CONTROL!$C$15, $D$11, 100%, $F$11)</f>
        <v>18.046900000000001</v>
      </c>
      <c r="C650" s="8">
        <f>18.0576 * CHOOSE(CONTROL!$C$15, $D$11, 100%, $F$11)</f>
        <v>18.057600000000001</v>
      </c>
      <c r="D650" s="8">
        <f>18.0952 * CHOOSE( CONTROL!$C$15, $D$11, 100%, $F$11)</f>
        <v>18.095199999999998</v>
      </c>
      <c r="E650" s="12">
        <f>18.0816 * CHOOSE( CONTROL!$C$15, $D$11, 100%, $F$11)</f>
        <v>18.081600000000002</v>
      </c>
      <c r="F650" s="4">
        <f>18.7861 * CHOOSE(CONTROL!$C$15, $D$11, 100%, $F$11)</f>
        <v>18.786100000000001</v>
      </c>
      <c r="G650" s="8">
        <f>17.6365 * CHOOSE( CONTROL!$C$15, $D$11, 100%, $F$11)</f>
        <v>17.636500000000002</v>
      </c>
      <c r="H650" s="4">
        <f>18.6013 * CHOOSE(CONTROL!$C$15, $D$11, 100%, $F$11)</f>
        <v>18.601299999999998</v>
      </c>
      <c r="I650" s="8">
        <f>17.4329 * CHOOSE(CONTROL!$C$15, $D$11, 100%, $F$11)</f>
        <v>17.4329</v>
      </c>
      <c r="J650" s="4">
        <f>17.3124 * CHOOSE(CONTROL!$C$15, $D$11, 100%, $F$11)</f>
        <v>17.3124</v>
      </c>
      <c r="K650" s="4"/>
      <c r="L650" s="9">
        <v>31.095300000000002</v>
      </c>
      <c r="M650" s="9">
        <v>12.063700000000001</v>
      </c>
      <c r="N650" s="9">
        <v>4.9444999999999997</v>
      </c>
      <c r="O650" s="9">
        <v>0.37409999999999999</v>
      </c>
      <c r="P650" s="9">
        <v>1.2183999999999999</v>
      </c>
      <c r="Q650" s="9">
        <v>19.688099999999999</v>
      </c>
      <c r="R650" s="9"/>
      <c r="S650" s="11"/>
    </row>
    <row r="651" spans="1:19" ht="15.75">
      <c r="A651" s="13">
        <v>61331</v>
      </c>
      <c r="B651" s="8">
        <f>19.4626 * CHOOSE(CONTROL!$C$15, $D$11, 100%, $F$11)</f>
        <v>19.462599999999998</v>
      </c>
      <c r="C651" s="8">
        <f>19.4733 * CHOOSE(CONTROL!$C$15, $D$11, 100%, $F$11)</f>
        <v>19.473299999999998</v>
      </c>
      <c r="D651" s="8">
        <f>19.4561 * CHOOSE( CONTROL!$C$15, $D$11, 100%, $F$11)</f>
        <v>19.456099999999999</v>
      </c>
      <c r="E651" s="12">
        <f>19.4612 * CHOOSE( CONTROL!$C$15, $D$11, 100%, $F$11)</f>
        <v>19.461200000000002</v>
      </c>
      <c r="F651" s="4">
        <f>20.1211 * CHOOSE(CONTROL!$C$15, $D$11, 100%, $F$11)</f>
        <v>20.121099999999998</v>
      </c>
      <c r="G651" s="8">
        <f>19.0272 * CHOOSE( CONTROL!$C$15, $D$11, 100%, $F$11)</f>
        <v>19.027200000000001</v>
      </c>
      <c r="H651" s="4">
        <f>19.9065 * CHOOSE(CONTROL!$C$15, $D$11, 100%, $F$11)</f>
        <v>19.906500000000001</v>
      </c>
      <c r="I651" s="8">
        <f>18.8299 * CHOOSE(CONTROL!$C$15, $D$11, 100%, $F$11)</f>
        <v>18.829899999999999</v>
      </c>
      <c r="J651" s="4">
        <f>18.6715 * CHOOSE(CONTROL!$C$15, $D$11, 100%, $F$11)</f>
        <v>18.671500000000002</v>
      </c>
      <c r="K651" s="4"/>
      <c r="L651" s="9">
        <v>28.360600000000002</v>
      </c>
      <c r="M651" s="9">
        <v>11.6745</v>
      </c>
      <c r="N651" s="9">
        <v>4.7850000000000001</v>
      </c>
      <c r="O651" s="9">
        <v>0.36199999999999999</v>
      </c>
      <c r="P651" s="9">
        <v>1.2509999999999999</v>
      </c>
      <c r="Q651" s="9">
        <v>19.053000000000001</v>
      </c>
      <c r="R651" s="9"/>
      <c r="S651" s="11"/>
    </row>
    <row r="652" spans="1:19" ht="15.75">
      <c r="A652" s="13">
        <v>61362</v>
      </c>
      <c r="B652" s="8">
        <f>19.4272 * CHOOSE(CONTROL!$C$15, $D$11, 100%, $F$11)</f>
        <v>19.427199999999999</v>
      </c>
      <c r="C652" s="8">
        <f>19.4379 * CHOOSE(CONTROL!$C$15, $D$11, 100%, $F$11)</f>
        <v>19.437899999999999</v>
      </c>
      <c r="D652" s="8">
        <f>19.4224 * CHOOSE( CONTROL!$C$15, $D$11, 100%, $F$11)</f>
        <v>19.4224</v>
      </c>
      <c r="E652" s="12">
        <f>19.4269 * CHOOSE( CONTROL!$C$15, $D$11, 100%, $F$11)</f>
        <v>19.4269</v>
      </c>
      <c r="F652" s="4">
        <f>20.0857 * CHOOSE(CONTROL!$C$15, $D$11, 100%, $F$11)</f>
        <v>20.085699999999999</v>
      </c>
      <c r="G652" s="8">
        <f>18.9938 * CHOOSE( CONTROL!$C$15, $D$11, 100%, $F$11)</f>
        <v>18.9938</v>
      </c>
      <c r="H652" s="4">
        <f>19.8719 * CHOOSE(CONTROL!$C$15, $D$11, 100%, $F$11)</f>
        <v>19.8719</v>
      </c>
      <c r="I652" s="8">
        <f>18.8011 * CHOOSE(CONTROL!$C$15, $D$11, 100%, $F$11)</f>
        <v>18.801100000000002</v>
      </c>
      <c r="J652" s="4">
        <f>18.6376 * CHOOSE(CONTROL!$C$15, $D$11, 100%, $F$11)</f>
        <v>18.637599999999999</v>
      </c>
      <c r="K652" s="4"/>
      <c r="L652" s="9">
        <v>29.306000000000001</v>
      </c>
      <c r="M652" s="9">
        <v>12.063700000000001</v>
      </c>
      <c r="N652" s="9">
        <v>4.9444999999999997</v>
      </c>
      <c r="O652" s="9">
        <v>0.37409999999999999</v>
      </c>
      <c r="P652" s="9">
        <v>1.2927</v>
      </c>
      <c r="Q652" s="9">
        <v>19.688099999999999</v>
      </c>
      <c r="R652" s="9"/>
      <c r="S652" s="11"/>
    </row>
    <row r="653" spans="1:19" ht="15.75">
      <c r="A653" s="13">
        <v>61393</v>
      </c>
      <c r="B653" s="8">
        <f>19.9998 * CHOOSE(CONTROL!$C$15, $D$11, 100%, $F$11)</f>
        <v>19.9998</v>
      </c>
      <c r="C653" s="8">
        <f>20.0105 * CHOOSE(CONTROL!$C$15, $D$11, 100%, $F$11)</f>
        <v>20.0105</v>
      </c>
      <c r="D653" s="8">
        <f>19.9919 * CHOOSE( CONTROL!$C$15, $D$11, 100%, $F$11)</f>
        <v>19.991900000000001</v>
      </c>
      <c r="E653" s="12">
        <f>19.9976 * CHOOSE( CONTROL!$C$15, $D$11, 100%, $F$11)</f>
        <v>19.997599999999998</v>
      </c>
      <c r="F653" s="4">
        <f>20.6583 * CHOOSE(CONTROL!$C$15, $D$11, 100%, $F$11)</f>
        <v>20.658300000000001</v>
      </c>
      <c r="G653" s="8">
        <f>19.5461 * CHOOSE( CONTROL!$C$15, $D$11, 100%, $F$11)</f>
        <v>19.546099999999999</v>
      </c>
      <c r="H653" s="4">
        <f>20.4317 * CHOOSE(CONTROL!$C$15, $D$11, 100%, $F$11)</f>
        <v>20.431699999999999</v>
      </c>
      <c r="I653" s="8">
        <f>19.316 * CHOOSE(CONTROL!$C$15, $D$11, 100%, $F$11)</f>
        <v>19.315999999999999</v>
      </c>
      <c r="J653" s="4">
        <f>19.1873 * CHOOSE(CONTROL!$C$15, $D$11, 100%, $F$11)</f>
        <v>19.1873</v>
      </c>
      <c r="K653" s="4"/>
      <c r="L653" s="9">
        <v>29.306000000000001</v>
      </c>
      <c r="M653" s="9">
        <v>12.063700000000001</v>
      </c>
      <c r="N653" s="9">
        <v>4.9444999999999997</v>
      </c>
      <c r="O653" s="9">
        <v>0.37409999999999999</v>
      </c>
      <c r="P653" s="9">
        <v>1.2927</v>
      </c>
      <c r="Q653" s="9">
        <v>19.688099999999999</v>
      </c>
      <c r="R653" s="9"/>
      <c r="S653" s="11"/>
    </row>
    <row r="654" spans="1:19" ht="15.75">
      <c r="A654" s="13">
        <v>61422</v>
      </c>
      <c r="B654" s="8">
        <f>18.7078 * CHOOSE(CONTROL!$C$15, $D$11, 100%, $F$11)</f>
        <v>18.707799999999999</v>
      </c>
      <c r="C654" s="8">
        <f>18.7186 * CHOOSE(CONTROL!$C$15, $D$11, 100%, $F$11)</f>
        <v>18.718599999999999</v>
      </c>
      <c r="D654" s="8">
        <f>18.6999 * CHOOSE( CONTROL!$C$15, $D$11, 100%, $F$11)</f>
        <v>18.6999</v>
      </c>
      <c r="E654" s="12">
        <f>18.7056 * CHOOSE( CONTROL!$C$15, $D$11, 100%, $F$11)</f>
        <v>18.7056</v>
      </c>
      <c r="F654" s="4">
        <f>19.3663 * CHOOSE(CONTROL!$C$15, $D$11, 100%, $F$11)</f>
        <v>19.366299999999999</v>
      </c>
      <c r="G654" s="8">
        <f>18.2829 * CHOOSE( CONTROL!$C$15, $D$11, 100%, $F$11)</f>
        <v>18.282900000000001</v>
      </c>
      <c r="H654" s="4">
        <f>19.1685 * CHOOSE(CONTROL!$C$15, $D$11, 100%, $F$11)</f>
        <v>19.168500000000002</v>
      </c>
      <c r="I654" s="8">
        <f>18.0747 * CHOOSE(CONTROL!$C$15, $D$11, 100%, $F$11)</f>
        <v>18.0747</v>
      </c>
      <c r="J654" s="4">
        <f>17.9469 * CHOOSE(CONTROL!$C$15, $D$11, 100%, $F$11)</f>
        <v>17.946899999999999</v>
      </c>
      <c r="K654" s="4"/>
      <c r="L654" s="9">
        <v>27.415299999999998</v>
      </c>
      <c r="M654" s="9">
        <v>11.285299999999999</v>
      </c>
      <c r="N654" s="9">
        <v>4.6254999999999997</v>
      </c>
      <c r="O654" s="9">
        <v>0.34989999999999999</v>
      </c>
      <c r="P654" s="9">
        <v>1.2093</v>
      </c>
      <c r="Q654" s="9">
        <v>18.417899999999999</v>
      </c>
      <c r="R654" s="9"/>
      <c r="S654" s="11"/>
    </row>
    <row r="655" spans="1:19" ht="15.75">
      <c r="A655" s="13">
        <v>61453</v>
      </c>
      <c r="B655" s="8">
        <f>18.3099 * CHOOSE(CONTROL!$C$15, $D$11, 100%, $F$11)</f>
        <v>18.309899999999999</v>
      </c>
      <c r="C655" s="8">
        <f>18.3206 * CHOOSE(CONTROL!$C$15, $D$11, 100%, $F$11)</f>
        <v>18.320599999999999</v>
      </c>
      <c r="D655" s="8">
        <f>18.3014 * CHOOSE( CONTROL!$C$15, $D$11, 100%, $F$11)</f>
        <v>18.301400000000001</v>
      </c>
      <c r="E655" s="12">
        <f>18.3073 * CHOOSE( CONTROL!$C$15, $D$11, 100%, $F$11)</f>
        <v>18.307300000000001</v>
      </c>
      <c r="F655" s="4">
        <f>18.9684 * CHOOSE(CONTROL!$C$15, $D$11, 100%, $F$11)</f>
        <v>18.968399999999999</v>
      </c>
      <c r="G655" s="8">
        <f>17.8935 * CHOOSE( CONTROL!$C$15, $D$11, 100%, $F$11)</f>
        <v>17.8935</v>
      </c>
      <c r="H655" s="4">
        <f>18.7795 * CHOOSE(CONTROL!$C$15, $D$11, 100%, $F$11)</f>
        <v>18.779499999999999</v>
      </c>
      <c r="I655" s="8">
        <f>17.6909 * CHOOSE(CONTROL!$C$15, $D$11, 100%, $F$11)</f>
        <v>17.690899999999999</v>
      </c>
      <c r="J655" s="4">
        <f>17.5648 * CHOOSE(CONTROL!$C$15, $D$11, 100%, $F$11)</f>
        <v>17.564800000000002</v>
      </c>
      <c r="K655" s="4"/>
      <c r="L655" s="9">
        <v>29.306000000000001</v>
      </c>
      <c r="M655" s="9">
        <v>12.063700000000001</v>
      </c>
      <c r="N655" s="9">
        <v>4.9444999999999997</v>
      </c>
      <c r="O655" s="9">
        <v>0.37409999999999999</v>
      </c>
      <c r="P655" s="9">
        <v>1.2927</v>
      </c>
      <c r="Q655" s="9">
        <v>19.688099999999999</v>
      </c>
      <c r="R655" s="9"/>
      <c r="S655" s="11"/>
    </row>
    <row r="656" spans="1:19" ht="15.75">
      <c r="A656" s="13">
        <v>61483</v>
      </c>
      <c r="B656" s="8">
        <f>18.5879 * CHOOSE(CONTROL!$C$15, $D$11, 100%, $F$11)</f>
        <v>18.587900000000001</v>
      </c>
      <c r="C656" s="8">
        <f>18.5987 * CHOOSE(CONTROL!$C$15, $D$11, 100%, $F$11)</f>
        <v>18.598700000000001</v>
      </c>
      <c r="D656" s="8">
        <f>18.6356 * CHOOSE( CONTROL!$C$15, $D$11, 100%, $F$11)</f>
        <v>18.6356</v>
      </c>
      <c r="E656" s="12">
        <f>18.6222 * CHOOSE( CONTROL!$C$15, $D$11, 100%, $F$11)</f>
        <v>18.622199999999999</v>
      </c>
      <c r="F656" s="4">
        <f>19.3272 * CHOOSE(CONTROL!$C$15, $D$11, 100%, $F$11)</f>
        <v>19.327200000000001</v>
      </c>
      <c r="G656" s="8">
        <f>18.1646 * CHOOSE( CONTROL!$C$15, $D$11, 100%, $F$11)</f>
        <v>18.1646</v>
      </c>
      <c r="H656" s="4">
        <f>19.1303 * CHOOSE(CONTROL!$C$15, $D$11, 100%, $F$11)</f>
        <v>19.130299999999998</v>
      </c>
      <c r="I656" s="8">
        <f>17.9499 * CHOOSE(CONTROL!$C$15, $D$11, 100%, $F$11)</f>
        <v>17.9499</v>
      </c>
      <c r="J656" s="4">
        <f>17.8318 * CHOOSE(CONTROL!$C$15, $D$11, 100%, $F$11)</f>
        <v>17.831800000000001</v>
      </c>
      <c r="K656" s="4"/>
      <c r="L656" s="9">
        <v>30.092199999999998</v>
      </c>
      <c r="M656" s="9">
        <v>11.6745</v>
      </c>
      <c r="N656" s="9">
        <v>4.7850000000000001</v>
      </c>
      <c r="O656" s="9">
        <v>0.36199999999999999</v>
      </c>
      <c r="P656" s="9">
        <v>1.1791</v>
      </c>
      <c r="Q656" s="9">
        <v>19.053000000000001</v>
      </c>
      <c r="R656" s="9"/>
      <c r="S656" s="11"/>
    </row>
    <row r="657" spans="1:19" ht="15.75">
      <c r="A657" s="13">
        <v>61514</v>
      </c>
      <c r="B657" s="8">
        <f>CHOOSE( CONTROL!$C$32, 19.0851, 19.0827) * CHOOSE(CONTROL!$C$15, $D$11, 100%, $F$11)</f>
        <v>19.085100000000001</v>
      </c>
      <c r="C657" s="8">
        <f>CHOOSE( CONTROL!$C$32, 19.0956, 19.0932) * CHOOSE(CONTROL!$C$15, $D$11, 100%, $F$11)</f>
        <v>19.095600000000001</v>
      </c>
      <c r="D657" s="8">
        <f>CHOOSE( CONTROL!$C$32, 19.1315, 19.1291) * CHOOSE( CONTROL!$C$15, $D$11, 100%, $F$11)</f>
        <v>19.131499999999999</v>
      </c>
      <c r="E657" s="12">
        <f>CHOOSE( CONTROL!$C$32, 19.1169, 19.1145) * CHOOSE( CONTROL!$C$15, $D$11, 100%, $F$11)</f>
        <v>19.116900000000001</v>
      </c>
      <c r="F657" s="4">
        <f>CHOOSE( CONTROL!$C$32, 19.8244, 19.822) * CHOOSE(CONTROL!$C$15, $D$11, 100%, $F$11)</f>
        <v>19.824400000000001</v>
      </c>
      <c r="G657" s="8">
        <f>CHOOSE( CONTROL!$C$32, 18.6513, 18.6489) * CHOOSE( CONTROL!$C$15, $D$11, 100%, $F$11)</f>
        <v>18.651299999999999</v>
      </c>
      <c r="H657" s="4">
        <f>CHOOSE( CONTROL!$C$32, 19.6165, 19.6141) * CHOOSE(CONTROL!$C$15, $D$11, 100%, $F$11)</f>
        <v>19.616499999999998</v>
      </c>
      <c r="I657" s="8">
        <f>CHOOSE( CONTROL!$C$32, 18.4277, 18.4254) * CHOOSE(CONTROL!$C$15, $D$11, 100%, $F$11)</f>
        <v>18.427700000000002</v>
      </c>
      <c r="J657" s="4">
        <f>CHOOSE( CONTROL!$C$32, 18.3092, 18.307) * CHOOSE(CONTROL!$C$15, $D$11, 100%, $F$11)</f>
        <v>18.309200000000001</v>
      </c>
      <c r="K657" s="4"/>
      <c r="L657" s="9">
        <v>30.7165</v>
      </c>
      <c r="M657" s="9">
        <v>12.063700000000001</v>
      </c>
      <c r="N657" s="9">
        <v>4.9444999999999997</v>
      </c>
      <c r="O657" s="9">
        <v>0.37409999999999999</v>
      </c>
      <c r="P657" s="9">
        <v>1.2183999999999999</v>
      </c>
      <c r="Q657" s="9">
        <v>19.688099999999999</v>
      </c>
      <c r="R657" s="9"/>
      <c r="S657" s="11"/>
    </row>
    <row r="658" spans="1:19" ht="15.75">
      <c r="A658" s="13">
        <v>61544</v>
      </c>
      <c r="B658" s="8">
        <f>CHOOSE( CONTROL!$C$32, 18.7785, 18.7761) * CHOOSE(CONTROL!$C$15, $D$11, 100%, $F$11)</f>
        <v>18.778500000000001</v>
      </c>
      <c r="C658" s="8">
        <f>CHOOSE( CONTROL!$C$32, 18.7891, 18.7867) * CHOOSE(CONTROL!$C$15, $D$11, 100%, $F$11)</f>
        <v>18.789100000000001</v>
      </c>
      <c r="D658" s="8">
        <f>CHOOSE( CONTROL!$C$32, 18.8251, 18.8227) * CHOOSE( CONTROL!$C$15, $D$11, 100%, $F$11)</f>
        <v>18.825099999999999</v>
      </c>
      <c r="E658" s="12">
        <f>CHOOSE( CONTROL!$C$32, 18.8104, 18.808) * CHOOSE( CONTROL!$C$15, $D$11, 100%, $F$11)</f>
        <v>18.810400000000001</v>
      </c>
      <c r="F658" s="4">
        <f>CHOOSE( CONTROL!$C$32, 19.5179, 19.5155) * CHOOSE(CONTROL!$C$15, $D$11, 100%, $F$11)</f>
        <v>19.517900000000001</v>
      </c>
      <c r="G658" s="8">
        <f>CHOOSE( CONTROL!$C$32, 18.3518, 18.3495) * CHOOSE( CONTROL!$C$15, $D$11, 100%, $F$11)</f>
        <v>18.351800000000001</v>
      </c>
      <c r="H658" s="4">
        <f>CHOOSE( CONTROL!$C$32, 19.3167, 19.3144) * CHOOSE(CONTROL!$C$15, $D$11, 100%, $F$11)</f>
        <v>19.316700000000001</v>
      </c>
      <c r="I658" s="8">
        <f>CHOOSE( CONTROL!$C$32, 18.1341, 18.1318) * CHOOSE(CONTROL!$C$15, $D$11, 100%, $F$11)</f>
        <v>18.1341</v>
      </c>
      <c r="J658" s="4">
        <f>CHOOSE( CONTROL!$C$32, 18.0149, 18.0126) * CHOOSE(CONTROL!$C$15, $D$11, 100%, $F$11)</f>
        <v>18.014900000000001</v>
      </c>
      <c r="K658" s="4"/>
      <c r="L658" s="9">
        <v>29.7257</v>
      </c>
      <c r="M658" s="9">
        <v>11.6745</v>
      </c>
      <c r="N658" s="9">
        <v>4.7850000000000001</v>
      </c>
      <c r="O658" s="9">
        <v>0.36199999999999999</v>
      </c>
      <c r="P658" s="9">
        <v>1.1791</v>
      </c>
      <c r="Q658" s="9">
        <v>19.053000000000001</v>
      </c>
      <c r="R658" s="9"/>
      <c r="S658" s="11"/>
    </row>
    <row r="659" spans="1:19" ht="15.75">
      <c r="A659" s="13">
        <v>61575</v>
      </c>
      <c r="B659" s="8">
        <f>CHOOSE( CONTROL!$C$32, 19.5858, 19.5834) * CHOOSE(CONTROL!$C$15, $D$11, 100%, $F$11)</f>
        <v>19.585799999999999</v>
      </c>
      <c r="C659" s="8">
        <f>CHOOSE( CONTROL!$C$32, 19.5964, 19.594) * CHOOSE(CONTROL!$C$15, $D$11, 100%, $F$11)</f>
        <v>19.596399999999999</v>
      </c>
      <c r="D659" s="8">
        <f>CHOOSE( CONTROL!$C$32, 19.6326, 19.6302) * CHOOSE( CONTROL!$C$15, $D$11, 100%, $F$11)</f>
        <v>19.6326</v>
      </c>
      <c r="E659" s="12">
        <f>CHOOSE( CONTROL!$C$32, 19.6179, 19.6155) * CHOOSE( CONTROL!$C$15, $D$11, 100%, $F$11)</f>
        <v>19.617899999999999</v>
      </c>
      <c r="F659" s="4">
        <f>CHOOSE( CONTROL!$C$32, 20.3252, 20.3228) * CHOOSE(CONTROL!$C$15, $D$11, 100%, $F$11)</f>
        <v>20.325199999999999</v>
      </c>
      <c r="G659" s="8">
        <f>CHOOSE( CONTROL!$C$32, 19.1415, 19.1391) * CHOOSE( CONTROL!$C$15, $D$11, 100%, $F$11)</f>
        <v>19.141500000000001</v>
      </c>
      <c r="H659" s="4">
        <f>CHOOSE( CONTROL!$C$32, 20.106, 20.1037) * CHOOSE(CONTROL!$C$15, $D$11, 100%, $F$11)</f>
        <v>20.106000000000002</v>
      </c>
      <c r="I659" s="8">
        <f>CHOOSE( CONTROL!$C$32, 18.9106, 18.9083) * CHOOSE(CONTROL!$C$15, $D$11, 100%, $F$11)</f>
        <v>18.910599999999999</v>
      </c>
      <c r="J659" s="4">
        <f>CHOOSE( CONTROL!$C$32, 18.79, 18.7877) * CHOOSE(CONTROL!$C$15, $D$11, 100%, $F$11)</f>
        <v>18.79</v>
      </c>
      <c r="K659" s="4"/>
      <c r="L659" s="9">
        <v>30.7165</v>
      </c>
      <c r="M659" s="9">
        <v>12.063700000000001</v>
      </c>
      <c r="N659" s="9">
        <v>4.9444999999999997</v>
      </c>
      <c r="O659" s="9">
        <v>0.37409999999999999</v>
      </c>
      <c r="P659" s="9">
        <v>1.2183999999999999</v>
      </c>
      <c r="Q659" s="9">
        <v>19.688099999999999</v>
      </c>
      <c r="R659" s="9"/>
      <c r="S659" s="11"/>
    </row>
    <row r="660" spans="1:19" ht="15.75">
      <c r="A660" s="13">
        <v>61606</v>
      </c>
      <c r="B660" s="8">
        <f>CHOOSE( CONTROL!$C$32, 18.0753, 18.0729) * CHOOSE(CONTROL!$C$15, $D$11, 100%, $F$11)</f>
        <v>18.075299999999999</v>
      </c>
      <c r="C660" s="8">
        <f>CHOOSE( CONTROL!$C$32, 18.0858, 18.0834) * CHOOSE(CONTROL!$C$15, $D$11, 100%, $F$11)</f>
        <v>18.085799999999999</v>
      </c>
      <c r="D660" s="8">
        <f>CHOOSE( CONTROL!$C$32, 18.1221, 18.1197) * CHOOSE( CONTROL!$C$15, $D$11, 100%, $F$11)</f>
        <v>18.1221</v>
      </c>
      <c r="E660" s="12">
        <f>CHOOSE( CONTROL!$C$32, 18.1073, 18.1049) * CHOOSE( CONTROL!$C$15, $D$11, 100%, $F$11)</f>
        <v>18.107299999999999</v>
      </c>
      <c r="F660" s="4">
        <f>CHOOSE( CONTROL!$C$32, 18.8146, 18.8122) * CHOOSE(CONTROL!$C$15, $D$11, 100%, $F$11)</f>
        <v>18.814599999999999</v>
      </c>
      <c r="G660" s="8">
        <f>CHOOSE( CONTROL!$C$32, 17.6647, 17.6623) * CHOOSE( CONTROL!$C$15, $D$11, 100%, $F$11)</f>
        <v>17.6647</v>
      </c>
      <c r="H660" s="4">
        <f>CHOOSE( CONTROL!$C$32, 18.6292, 18.6268) * CHOOSE(CONTROL!$C$15, $D$11, 100%, $F$11)</f>
        <v>18.629200000000001</v>
      </c>
      <c r="I660" s="8">
        <f>CHOOSE( CONTROL!$C$32, 17.4598, 17.4575) * CHOOSE(CONTROL!$C$15, $D$11, 100%, $F$11)</f>
        <v>17.459800000000001</v>
      </c>
      <c r="J660" s="4">
        <f>CHOOSE( CONTROL!$C$32, 17.3397, 17.3374) * CHOOSE(CONTROL!$C$15, $D$11, 100%, $F$11)</f>
        <v>17.339700000000001</v>
      </c>
      <c r="K660" s="4"/>
      <c r="L660" s="9">
        <v>30.7165</v>
      </c>
      <c r="M660" s="9">
        <v>12.063700000000001</v>
      </c>
      <c r="N660" s="9">
        <v>4.9444999999999997</v>
      </c>
      <c r="O660" s="9">
        <v>0.37409999999999999</v>
      </c>
      <c r="P660" s="9">
        <v>1.2183999999999999</v>
      </c>
      <c r="Q660" s="9">
        <v>19.688099999999999</v>
      </c>
      <c r="R660" s="9"/>
      <c r="S660" s="11"/>
    </row>
    <row r="661" spans="1:19" ht="15.75">
      <c r="A661" s="13">
        <v>61636</v>
      </c>
      <c r="B661" s="8">
        <f>CHOOSE( CONTROL!$C$32, 17.697, 17.6946) * CHOOSE(CONTROL!$C$15, $D$11, 100%, $F$11)</f>
        <v>17.696999999999999</v>
      </c>
      <c r="C661" s="8">
        <f>CHOOSE( CONTROL!$C$32, 17.7076, 17.7052) * CHOOSE(CONTROL!$C$15, $D$11, 100%, $F$11)</f>
        <v>17.707599999999999</v>
      </c>
      <c r="D661" s="8">
        <f>CHOOSE( CONTROL!$C$32, 17.7438, 17.7414) * CHOOSE( CONTROL!$C$15, $D$11, 100%, $F$11)</f>
        <v>17.7438</v>
      </c>
      <c r="E661" s="12">
        <f>CHOOSE( CONTROL!$C$32, 17.7291, 17.7267) * CHOOSE( CONTROL!$C$15, $D$11, 100%, $F$11)</f>
        <v>17.729099999999999</v>
      </c>
      <c r="F661" s="4">
        <f>CHOOSE( CONTROL!$C$32, 18.4364, 18.434) * CHOOSE(CONTROL!$C$15, $D$11, 100%, $F$11)</f>
        <v>18.436399999999999</v>
      </c>
      <c r="G661" s="8">
        <f>CHOOSE( CONTROL!$C$32, 17.2948, 17.2924) * CHOOSE( CONTROL!$C$15, $D$11, 100%, $F$11)</f>
        <v>17.294799999999999</v>
      </c>
      <c r="H661" s="4">
        <f>CHOOSE( CONTROL!$C$32, 18.2593, 18.257) * CHOOSE(CONTROL!$C$15, $D$11, 100%, $F$11)</f>
        <v>18.2593</v>
      </c>
      <c r="I661" s="8">
        <f>CHOOSE( CONTROL!$C$32, 17.0962, 17.0939) * CHOOSE(CONTROL!$C$15, $D$11, 100%, $F$11)</f>
        <v>17.0962</v>
      </c>
      <c r="J661" s="4">
        <f>CHOOSE( CONTROL!$C$32, 16.9766, 16.9743) * CHOOSE(CONTROL!$C$15, $D$11, 100%, $F$11)</f>
        <v>16.976600000000001</v>
      </c>
      <c r="K661" s="4"/>
      <c r="L661" s="9">
        <v>29.7257</v>
      </c>
      <c r="M661" s="9">
        <v>11.6745</v>
      </c>
      <c r="N661" s="9">
        <v>4.7850000000000001</v>
      </c>
      <c r="O661" s="9">
        <v>0.36199999999999999</v>
      </c>
      <c r="P661" s="9">
        <v>1.1791</v>
      </c>
      <c r="Q661" s="9">
        <v>19.053000000000001</v>
      </c>
      <c r="R661" s="9"/>
      <c r="S661" s="11"/>
    </row>
    <row r="662" spans="1:19" ht="15.75">
      <c r="A662" s="13">
        <v>61667</v>
      </c>
      <c r="B662" s="8">
        <f>18.4801 * CHOOSE(CONTROL!$C$15, $D$11, 100%, $F$11)</f>
        <v>18.4801</v>
      </c>
      <c r="C662" s="8">
        <f>18.4909 * CHOOSE(CONTROL!$C$15, $D$11, 100%, $F$11)</f>
        <v>18.4909</v>
      </c>
      <c r="D662" s="8">
        <f>18.5284 * CHOOSE( CONTROL!$C$15, $D$11, 100%, $F$11)</f>
        <v>18.528400000000001</v>
      </c>
      <c r="E662" s="12">
        <f>18.5149 * CHOOSE( CONTROL!$C$15, $D$11, 100%, $F$11)</f>
        <v>18.514900000000001</v>
      </c>
      <c r="F662" s="4">
        <f>19.2194 * CHOOSE(CONTROL!$C$15, $D$11, 100%, $F$11)</f>
        <v>19.2194</v>
      </c>
      <c r="G662" s="8">
        <f>18.0601 * CHOOSE( CONTROL!$C$15, $D$11, 100%, $F$11)</f>
        <v>18.060099999999998</v>
      </c>
      <c r="H662" s="4">
        <f>19.0249 * CHOOSE(CONTROL!$C$15, $D$11, 100%, $F$11)</f>
        <v>19.024899999999999</v>
      </c>
      <c r="I662" s="8">
        <f>17.8491 * CHOOSE(CONTROL!$C$15, $D$11, 100%, $F$11)</f>
        <v>17.8491</v>
      </c>
      <c r="J662" s="4">
        <f>17.7283 * CHOOSE(CONTROL!$C$15, $D$11, 100%, $F$11)</f>
        <v>17.728300000000001</v>
      </c>
      <c r="K662" s="4"/>
      <c r="L662" s="9">
        <v>31.095300000000002</v>
      </c>
      <c r="M662" s="9">
        <v>12.063700000000001</v>
      </c>
      <c r="N662" s="9">
        <v>4.9444999999999997</v>
      </c>
      <c r="O662" s="9">
        <v>0.37409999999999999</v>
      </c>
      <c r="P662" s="9">
        <v>1.2183999999999999</v>
      </c>
      <c r="Q662" s="9">
        <v>19.688099999999999</v>
      </c>
      <c r="R662" s="9"/>
      <c r="S662" s="11"/>
    </row>
    <row r="663" spans="1:19" ht="15.75">
      <c r="A663" s="13">
        <v>61697</v>
      </c>
      <c r="B663" s="8">
        <f>19.9298 * CHOOSE(CONTROL!$C$15, $D$11, 100%, $F$11)</f>
        <v>19.9298</v>
      </c>
      <c r="C663" s="8">
        <f>19.9406 * CHOOSE(CONTROL!$C$15, $D$11, 100%, $F$11)</f>
        <v>19.9406</v>
      </c>
      <c r="D663" s="8">
        <f>19.9233 * CHOOSE( CONTROL!$C$15, $D$11, 100%, $F$11)</f>
        <v>19.923300000000001</v>
      </c>
      <c r="E663" s="12">
        <f>19.9285 * CHOOSE( CONTROL!$C$15, $D$11, 100%, $F$11)</f>
        <v>19.9285</v>
      </c>
      <c r="F663" s="4">
        <f>20.5883 * CHOOSE(CONTROL!$C$15, $D$11, 100%, $F$11)</f>
        <v>20.5883</v>
      </c>
      <c r="G663" s="8">
        <f>19.4841 * CHOOSE( CONTROL!$C$15, $D$11, 100%, $F$11)</f>
        <v>19.484100000000002</v>
      </c>
      <c r="H663" s="4">
        <f>20.3633 * CHOOSE(CONTROL!$C$15, $D$11, 100%, $F$11)</f>
        <v>20.363299999999999</v>
      </c>
      <c r="I663" s="8">
        <f>19.2787 * CHOOSE(CONTROL!$C$15, $D$11, 100%, $F$11)</f>
        <v>19.278700000000001</v>
      </c>
      <c r="J663" s="4">
        <f>19.1202 * CHOOSE(CONTROL!$C$15, $D$11, 100%, $F$11)</f>
        <v>19.120200000000001</v>
      </c>
      <c r="K663" s="4"/>
      <c r="L663" s="9">
        <v>28.360600000000002</v>
      </c>
      <c r="M663" s="9">
        <v>11.6745</v>
      </c>
      <c r="N663" s="9">
        <v>4.7850000000000001</v>
      </c>
      <c r="O663" s="9">
        <v>0.36199999999999999</v>
      </c>
      <c r="P663" s="9">
        <v>1.2509999999999999</v>
      </c>
      <c r="Q663" s="9">
        <v>19.053000000000001</v>
      </c>
      <c r="R663" s="9"/>
      <c r="S663" s="11"/>
    </row>
    <row r="664" spans="1:19" ht="15.75">
      <c r="A664" s="13">
        <v>61728</v>
      </c>
      <c r="B664" s="8">
        <f>19.8936 * CHOOSE(CONTROL!$C$15, $D$11, 100%, $F$11)</f>
        <v>19.893599999999999</v>
      </c>
      <c r="C664" s="8">
        <f>19.9044 * CHOOSE(CONTROL!$C$15, $D$11, 100%, $F$11)</f>
        <v>19.904399999999999</v>
      </c>
      <c r="D664" s="8">
        <f>19.8888 * CHOOSE( CONTROL!$C$15, $D$11, 100%, $F$11)</f>
        <v>19.8888</v>
      </c>
      <c r="E664" s="12">
        <f>19.8934 * CHOOSE( CONTROL!$C$15, $D$11, 100%, $F$11)</f>
        <v>19.8934</v>
      </c>
      <c r="F664" s="4">
        <f>20.5521 * CHOOSE(CONTROL!$C$15, $D$11, 100%, $F$11)</f>
        <v>20.552099999999999</v>
      </c>
      <c r="G664" s="8">
        <f>19.4499 * CHOOSE( CONTROL!$C$15, $D$11, 100%, $F$11)</f>
        <v>19.4499</v>
      </c>
      <c r="H664" s="4">
        <f>20.3279 * CHOOSE(CONTROL!$C$15, $D$11, 100%, $F$11)</f>
        <v>20.3279</v>
      </c>
      <c r="I664" s="8">
        <f>19.2491 * CHOOSE(CONTROL!$C$15, $D$11, 100%, $F$11)</f>
        <v>19.249099999999999</v>
      </c>
      <c r="J664" s="4">
        <f>19.0854 * CHOOSE(CONTROL!$C$15, $D$11, 100%, $F$11)</f>
        <v>19.0854</v>
      </c>
      <c r="K664" s="4"/>
      <c r="L664" s="9">
        <v>29.306000000000001</v>
      </c>
      <c r="M664" s="9">
        <v>12.063700000000001</v>
      </c>
      <c r="N664" s="9">
        <v>4.9444999999999997</v>
      </c>
      <c r="O664" s="9">
        <v>0.37409999999999999</v>
      </c>
      <c r="P664" s="9">
        <v>1.2927</v>
      </c>
      <c r="Q664" s="9">
        <v>19.688099999999999</v>
      </c>
      <c r="R664" s="9"/>
      <c r="S664" s="11"/>
    </row>
    <row r="665" spans="1:19" ht="15.75">
      <c r="A665" s="13">
        <v>61759</v>
      </c>
      <c r="B665" s="8">
        <f>20.48 * CHOOSE(CONTROL!$C$15, $D$11, 100%, $F$11)</f>
        <v>20.48</v>
      </c>
      <c r="C665" s="8">
        <f>20.4907 * CHOOSE(CONTROL!$C$15, $D$11, 100%, $F$11)</f>
        <v>20.4907</v>
      </c>
      <c r="D665" s="8">
        <f>20.4721 * CHOOSE( CONTROL!$C$15, $D$11, 100%, $F$11)</f>
        <v>20.472100000000001</v>
      </c>
      <c r="E665" s="12">
        <f>20.4778 * CHOOSE( CONTROL!$C$15, $D$11, 100%, $F$11)</f>
        <v>20.477799999999998</v>
      </c>
      <c r="F665" s="4">
        <f>21.1385 * CHOOSE(CONTROL!$C$15, $D$11, 100%, $F$11)</f>
        <v>21.138500000000001</v>
      </c>
      <c r="G665" s="8">
        <f>20.0156 * CHOOSE( CONTROL!$C$15, $D$11, 100%, $F$11)</f>
        <v>20.015599999999999</v>
      </c>
      <c r="H665" s="4">
        <f>20.9012 * CHOOSE(CONTROL!$C$15, $D$11, 100%, $F$11)</f>
        <v>20.901199999999999</v>
      </c>
      <c r="I665" s="8">
        <f>19.7773 * CHOOSE(CONTROL!$C$15, $D$11, 100%, $F$11)</f>
        <v>19.7773</v>
      </c>
      <c r="J665" s="4">
        <f>19.6483 * CHOOSE(CONTROL!$C$15, $D$11, 100%, $F$11)</f>
        <v>19.648299999999999</v>
      </c>
      <c r="K665" s="4"/>
      <c r="L665" s="9">
        <v>29.306000000000001</v>
      </c>
      <c r="M665" s="9">
        <v>12.063700000000001</v>
      </c>
      <c r="N665" s="9">
        <v>4.9444999999999997</v>
      </c>
      <c r="O665" s="9">
        <v>0.37409999999999999</v>
      </c>
      <c r="P665" s="9">
        <v>1.2927</v>
      </c>
      <c r="Q665" s="9">
        <v>19.688099999999999</v>
      </c>
      <c r="R665" s="9"/>
      <c r="S665" s="11"/>
    </row>
    <row r="666" spans="1:19" ht="15.75">
      <c r="A666" s="13">
        <v>61787</v>
      </c>
      <c r="B666" s="8">
        <f>19.1569 * CHOOSE(CONTROL!$C$15, $D$11, 100%, $F$11)</f>
        <v>19.1569</v>
      </c>
      <c r="C666" s="8">
        <f>19.1677 * CHOOSE(CONTROL!$C$15, $D$11, 100%, $F$11)</f>
        <v>19.1677</v>
      </c>
      <c r="D666" s="8">
        <f>19.149 * CHOOSE( CONTROL!$C$15, $D$11, 100%, $F$11)</f>
        <v>19.149000000000001</v>
      </c>
      <c r="E666" s="12">
        <f>19.1547 * CHOOSE( CONTROL!$C$15, $D$11, 100%, $F$11)</f>
        <v>19.154699999999998</v>
      </c>
      <c r="F666" s="4">
        <f>19.8154 * CHOOSE(CONTROL!$C$15, $D$11, 100%, $F$11)</f>
        <v>19.8154</v>
      </c>
      <c r="G666" s="8">
        <f>18.722 * CHOOSE( CONTROL!$C$15, $D$11, 100%, $F$11)</f>
        <v>18.722000000000001</v>
      </c>
      <c r="H666" s="4">
        <f>19.6077 * CHOOSE(CONTROL!$C$15, $D$11, 100%, $F$11)</f>
        <v>19.607700000000001</v>
      </c>
      <c r="I666" s="8">
        <f>18.5061 * CHOOSE(CONTROL!$C$15, $D$11, 100%, $F$11)</f>
        <v>18.5061</v>
      </c>
      <c r="J666" s="4">
        <f>18.3781 * CHOOSE(CONTROL!$C$15, $D$11, 100%, $F$11)</f>
        <v>18.3781</v>
      </c>
      <c r="K666" s="4"/>
      <c r="L666" s="9">
        <v>26.469899999999999</v>
      </c>
      <c r="M666" s="9">
        <v>10.8962</v>
      </c>
      <c r="N666" s="9">
        <v>4.4660000000000002</v>
      </c>
      <c r="O666" s="9">
        <v>0.33789999999999998</v>
      </c>
      <c r="P666" s="9">
        <v>1.1676</v>
      </c>
      <c r="Q666" s="9">
        <v>17.782800000000002</v>
      </c>
      <c r="R666" s="9"/>
      <c r="S666" s="11"/>
    </row>
    <row r="667" spans="1:19" ht="15.75">
      <c r="A667" s="13">
        <v>61818</v>
      </c>
      <c r="B667" s="8">
        <f>18.7495 * CHOOSE(CONTROL!$C$15, $D$11, 100%, $F$11)</f>
        <v>18.749500000000001</v>
      </c>
      <c r="C667" s="8">
        <f>18.7602 * CHOOSE(CONTROL!$C$15, $D$11, 100%, $F$11)</f>
        <v>18.760200000000001</v>
      </c>
      <c r="D667" s="8">
        <f>18.741 * CHOOSE( CONTROL!$C$15, $D$11, 100%, $F$11)</f>
        <v>18.741</v>
      </c>
      <c r="E667" s="12">
        <f>18.7469 * CHOOSE( CONTROL!$C$15, $D$11, 100%, $F$11)</f>
        <v>18.7469</v>
      </c>
      <c r="F667" s="4">
        <f>19.408 * CHOOSE(CONTROL!$C$15, $D$11, 100%, $F$11)</f>
        <v>19.408000000000001</v>
      </c>
      <c r="G667" s="8">
        <f>18.3233 * CHOOSE( CONTROL!$C$15, $D$11, 100%, $F$11)</f>
        <v>18.3233</v>
      </c>
      <c r="H667" s="4">
        <f>19.2093 * CHOOSE(CONTROL!$C$15, $D$11, 100%, $F$11)</f>
        <v>19.209299999999999</v>
      </c>
      <c r="I667" s="8">
        <f>18.1132 * CHOOSE(CONTROL!$C$15, $D$11, 100%, $F$11)</f>
        <v>18.113199999999999</v>
      </c>
      <c r="J667" s="4">
        <f>17.9869 * CHOOSE(CONTROL!$C$15, $D$11, 100%, $F$11)</f>
        <v>17.986899999999999</v>
      </c>
      <c r="K667" s="4"/>
      <c r="L667" s="9">
        <v>29.306000000000001</v>
      </c>
      <c r="M667" s="9">
        <v>12.063700000000001</v>
      </c>
      <c r="N667" s="9">
        <v>4.9444999999999997</v>
      </c>
      <c r="O667" s="9">
        <v>0.37409999999999999</v>
      </c>
      <c r="P667" s="9">
        <v>1.2927</v>
      </c>
      <c r="Q667" s="9">
        <v>19.688099999999999</v>
      </c>
      <c r="R667" s="9"/>
      <c r="S667" s="11"/>
    </row>
    <row r="668" spans="1:19" ht="15.75">
      <c r="A668" s="13">
        <v>61848</v>
      </c>
      <c r="B668" s="8">
        <f>19.0341 * CHOOSE(CONTROL!$C$15, $D$11, 100%, $F$11)</f>
        <v>19.034099999999999</v>
      </c>
      <c r="C668" s="8">
        <f>19.0449 * CHOOSE(CONTROL!$C$15, $D$11, 100%, $F$11)</f>
        <v>19.044899999999998</v>
      </c>
      <c r="D668" s="8">
        <f>19.0819 * CHOOSE( CONTROL!$C$15, $D$11, 100%, $F$11)</f>
        <v>19.081900000000001</v>
      </c>
      <c r="E668" s="12">
        <f>19.0684 * CHOOSE( CONTROL!$C$15, $D$11, 100%, $F$11)</f>
        <v>19.0684</v>
      </c>
      <c r="F668" s="4">
        <f>19.7734 * CHOOSE(CONTROL!$C$15, $D$11, 100%, $F$11)</f>
        <v>19.773399999999999</v>
      </c>
      <c r="G668" s="8">
        <f>18.6009 * CHOOSE( CONTROL!$C$15, $D$11, 100%, $F$11)</f>
        <v>18.600899999999999</v>
      </c>
      <c r="H668" s="4">
        <f>19.5666 * CHOOSE(CONTROL!$C$15, $D$11, 100%, $F$11)</f>
        <v>19.566600000000001</v>
      </c>
      <c r="I668" s="8">
        <f>18.3786 * CHOOSE(CONTROL!$C$15, $D$11, 100%, $F$11)</f>
        <v>18.378599999999999</v>
      </c>
      <c r="J668" s="4">
        <f>18.2603 * CHOOSE(CONTROL!$C$15, $D$11, 100%, $F$11)</f>
        <v>18.260300000000001</v>
      </c>
      <c r="K668" s="4"/>
      <c r="L668" s="9">
        <v>30.092199999999998</v>
      </c>
      <c r="M668" s="9">
        <v>11.6745</v>
      </c>
      <c r="N668" s="9">
        <v>4.7850000000000001</v>
      </c>
      <c r="O668" s="9">
        <v>0.36199999999999999</v>
      </c>
      <c r="P668" s="9">
        <v>1.1791</v>
      </c>
      <c r="Q668" s="9">
        <v>19.053000000000001</v>
      </c>
      <c r="R668" s="9"/>
      <c r="S668" s="11"/>
    </row>
    <row r="669" spans="1:19" ht="15.75">
      <c r="A669" s="13">
        <v>61879</v>
      </c>
      <c r="B669" s="8">
        <f>CHOOSE( CONTROL!$C$32, 19.5432, 19.5408) * CHOOSE(CONTROL!$C$15, $D$11, 100%, $F$11)</f>
        <v>19.543199999999999</v>
      </c>
      <c r="C669" s="8">
        <f>CHOOSE( CONTROL!$C$32, 19.5538, 19.5514) * CHOOSE(CONTROL!$C$15, $D$11, 100%, $F$11)</f>
        <v>19.553799999999999</v>
      </c>
      <c r="D669" s="8">
        <f>CHOOSE( CONTROL!$C$32, 19.5896, 19.5872) * CHOOSE( CONTROL!$C$15, $D$11, 100%, $F$11)</f>
        <v>19.589600000000001</v>
      </c>
      <c r="E669" s="12">
        <f>CHOOSE( CONTROL!$C$32, 19.575, 19.5726) * CHOOSE( CONTROL!$C$15, $D$11, 100%, $F$11)</f>
        <v>19.574999999999999</v>
      </c>
      <c r="F669" s="4">
        <f>CHOOSE( CONTROL!$C$32, 20.2826, 20.2802) * CHOOSE(CONTROL!$C$15, $D$11, 100%, $F$11)</f>
        <v>20.282599999999999</v>
      </c>
      <c r="G669" s="8">
        <f>CHOOSE( CONTROL!$C$32, 19.0992, 19.0969) * CHOOSE( CONTROL!$C$15, $D$11, 100%, $F$11)</f>
        <v>19.0992</v>
      </c>
      <c r="H669" s="4">
        <f>CHOOSE( CONTROL!$C$32, 20.0644, 20.062) * CHOOSE(CONTROL!$C$15, $D$11, 100%, $F$11)</f>
        <v>20.064399999999999</v>
      </c>
      <c r="I669" s="8">
        <f>CHOOSE( CONTROL!$C$32, 18.8677, 18.8654) * CHOOSE(CONTROL!$C$15, $D$11, 100%, $F$11)</f>
        <v>18.867699999999999</v>
      </c>
      <c r="J669" s="4">
        <f>CHOOSE( CONTROL!$C$32, 18.7491, 18.7468) * CHOOSE(CONTROL!$C$15, $D$11, 100%, $F$11)</f>
        <v>18.749099999999999</v>
      </c>
      <c r="K669" s="4"/>
      <c r="L669" s="9">
        <v>30.7165</v>
      </c>
      <c r="M669" s="9">
        <v>12.063700000000001</v>
      </c>
      <c r="N669" s="9">
        <v>4.9444999999999997</v>
      </c>
      <c r="O669" s="9">
        <v>0.37409999999999999</v>
      </c>
      <c r="P669" s="9">
        <v>1.2183999999999999</v>
      </c>
      <c r="Q669" s="9">
        <v>19.688099999999999</v>
      </c>
      <c r="R669" s="9"/>
      <c r="S669" s="11"/>
    </row>
    <row r="670" spans="1:19" ht="15.75">
      <c r="A670" s="13">
        <v>61909</v>
      </c>
      <c r="B670" s="8">
        <f>CHOOSE( CONTROL!$C$32, 19.2293, 19.2269) * CHOOSE(CONTROL!$C$15, $D$11, 100%, $F$11)</f>
        <v>19.229299999999999</v>
      </c>
      <c r="C670" s="8">
        <f>CHOOSE( CONTROL!$C$32, 19.2399, 19.2375) * CHOOSE(CONTROL!$C$15, $D$11, 100%, $F$11)</f>
        <v>19.239899999999999</v>
      </c>
      <c r="D670" s="8">
        <f>CHOOSE( CONTROL!$C$32, 19.2759, 19.2735) * CHOOSE( CONTROL!$C$15, $D$11, 100%, $F$11)</f>
        <v>19.2759</v>
      </c>
      <c r="E670" s="12">
        <f>CHOOSE( CONTROL!$C$32, 19.2612, 19.2588) * CHOOSE( CONTROL!$C$15, $D$11, 100%, $F$11)</f>
        <v>19.261199999999999</v>
      </c>
      <c r="F670" s="4">
        <f>CHOOSE( CONTROL!$C$32, 19.9687, 19.9663) * CHOOSE(CONTROL!$C$15, $D$11, 100%, $F$11)</f>
        <v>19.968699999999998</v>
      </c>
      <c r="G670" s="8">
        <f>CHOOSE( CONTROL!$C$32, 18.7926, 18.7902) * CHOOSE( CONTROL!$C$15, $D$11, 100%, $F$11)</f>
        <v>18.7926</v>
      </c>
      <c r="H670" s="4">
        <f>CHOOSE( CONTROL!$C$32, 19.7575, 19.7551) * CHOOSE(CONTROL!$C$15, $D$11, 100%, $F$11)</f>
        <v>19.7575</v>
      </c>
      <c r="I670" s="8">
        <f>CHOOSE( CONTROL!$C$32, 18.5671, 18.5648) * CHOOSE(CONTROL!$C$15, $D$11, 100%, $F$11)</f>
        <v>18.5671</v>
      </c>
      <c r="J670" s="4">
        <f>CHOOSE( CONTROL!$C$32, 18.4477, 18.4454) * CHOOSE(CONTROL!$C$15, $D$11, 100%, $F$11)</f>
        <v>18.447700000000001</v>
      </c>
      <c r="K670" s="4"/>
      <c r="L670" s="9">
        <v>29.7257</v>
      </c>
      <c r="M670" s="9">
        <v>11.6745</v>
      </c>
      <c r="N670" s="9">
        <v>4.7850000000000001</v>
      </c>
      <c r="O670" s="9">
        <v>0.36199999999999999</v>
      </c>
      <c r="P670" s="9">
        <v>1.1791</v>
      </c>
      <c r="Q670" s="9">
        <v>19.053000000000001</v>
      </c>
      <c r="R670" s="9"/>
      <c r="S670" s="11"/>
    </row>
    <row r="671" spans="1:19" ht="15.75">
      <c r="A671" s="13">
        <v>61940</v>
      </c>
      <c r="B671" s="8">
        <f>CHOOSE( CONTROL!$C$32, 20.056, 20.0536) * CHOOSE(CONTROL!$C$15, $D$11, 100%, $F$11)</f>
        <v>20.056000000000001</v>
      </c>
      <c r="C671" s="8">
        <f>CHOOSE( CONTROL!$C$32, 20.0666, 20.0642) * CHOOSE(CONTROL!$C$15, $D$11, 100%, $F$11)</f>
        <v>20.066600000000001</v>
      </c>
      <c r="D671" s="8">
        <f>CHOOSE( CONTROL!$C$32, 20.1028, 20.1004) * CHOOSE( CONTROL!$C$15, $D$11, 100%, $F$11)</f>
        <v>20.102799999999998</v>
      </c>
      <c r="E671" s="12">
        <f>CHOOSE( CONTROL!$C$32, 20.0881, 20.0857) * CHOOSE( CONTROL!$C$15, $D$11, 100%, $F$11)</f>
        <v>20.088100000000001</v>
      </c>
      <c r="F671" s="4">
        <f>CHOOSE( CONTROL!$C$32, 20.7953, 20.793) * CHOOSE(CONTROL!$C$15, $D$11, 100%, $F$11)</f>
        <v>20.795300000000001</v>
      </c>
      <c r="G671" s="8">
        <f>CHOOSE( CONTROL!$C$32, 19.6012, 19.5988) * CHOOSE( CONTROL!$C$15, $D$11, 100%, $F$11)</f>
        <v>19.601199999999999</v>
      </c>
      <c r="H671" s="4">
        <f>CHOOSE( CONTROL!$C$32, 20.5657, 20.5634) * CHOOSE(CONTROL!$C$15, $D$11, 100%, $F$11)</f>
        <v>20.5657</v>
      </c>
      <c r="I671" s="8">
        <f>CHOOSE( CONTROL!$C$32, 19.3622, 19.3599) * CHOOSE(CONTROL!$C$15, $D$11, 100%, $F$11)</f>
        <v>19.362200000000001</v>
      </c>
      <c r="J671" s="4">
        <f>CHOOSE( CONTROL!$C$32, 19.2414, 19.2391) * CHOOSE(CONTROL!$C$15, $D$11, 100%, $F$11)</f>
        <v>19.241399999999999</v>
      </c>
      <c r="K671" s="4"/>
      <c r="L671" s="9">
        <v>30.7165</v>
      </c>
      <c r="M671" s="9">
        <v>12.063700000000001</v>
      </c>
      <c r="N671" s="9">
        <v>4.9444999999999997</v>
      </c>
      <c r="O671" s="9">
        <v>0.37409999999999999</v>
      </c>
      <c r="P671" s="9">
        <v>1.2183999999999999</v>
      </c>
      <c r="Q671" s="9">
        <v>19.688099999999999</v>
      </c>
      <c r="R671" s="9"/>
      <c r="S671" s="11"/>
    </row>
    <row r="672" spans="1:19" ht="15.75">
      <c r="A672" s="13">
        <v>61971</v>
      </c>
      <c r="B672" s="8">
        <f>CHOOSE( CONTROL!$C$32, 18.5091, 18.5068) * CHOOSE(CONTROL!$C$15, $D$11, 100%, $F$11)</f>
        <v>18.5091</v>
      </c>
      <c r="C672" s="8">
        <f>CHOOSE( CONTROL!$C$32, 18.5197, 18.5173) * CHOOSE(CONTROL!$C$15, $D$11, 100%, $F$11)</f>
        <v>18.5197</v>
      </c>
      <c r="D672" s="8">
        <f>CHOOSE( CONTROL!$C$32, 18.556, 18.5536) * CHOOSE( CONTROL!$C$15, $D$11, 100%, $F$11)</f>
        <v>18.556000000000001</v>
      </c>
      <c r="E672" s="12">
        <f>CHOOSE( CONTROL!$C$32, 18.5412, 18.5388) * CHOOSE( CONTROL!$C$15, $D$11, 100%, $F$11)</f>
        <v>18.5412</v>
      </c>
      <c r="F672" s="4">
        <f>CHOOSE( CONTROL!$C$32, 19.2485, 19.2461) * CHOOSE(CONTROL!$C$15, $D$11, 100%, $F$11)</f>
        <v>19.2485</v>
      </c>
      <c r="G672" s="8">
        <f>CHOOSE( CONTROL!$C$32, 18.0889, 18.0865) * CHOOSE( CONTROL!$C$15, $D$11, 100%, $F$11)</f>
        <v>18.088899999999999</v>
      </c>
      <c r="H672" s="4">
        <f>CHOOSE( CONTROL!$C$32, 19.0534, 19.051) * CHOOSE(CONTROL!$C$15, $D$11, 100%, $F$11)</f>
        <v>19.0534</v>
      </c>
      <c r="I672" s="8">
        <f>CHOOSE( CONTROL!$C$32, 17.8766, 17.8743) * CHOOSE(CONTROL!$C$15, $D$11, 100%, $F$11)</f>
        <v>17.8766</v>
      </c>
      <c r="J672" s="4">
        <f>CHOOSE( CONTROL!$C$32, 17.7563, 17.754) * CHOOSE(CONTROL!$C$15, $D$11, 100%, $F$11)</f>
        <v>17.7563</v>
      </c>
      <c r="K672" s="4"/>
      <c r="L672" s="9">
        <v>30.7165</v>
      </c>
      <c r="M672" s="9">
        <v>12.063700000000001</v>
      </c>
      <c r="N672" s="9">
        <v>4.9444999999999997</v>
      </c>
      <c r="O672" s="9">
        <v>0.37409999999999999</v>
      </c>
      <c r="P672" s="9">
        <v>1.2183999999999999</v>
      </c>
      <c r="Q672" s="9">
        <v>19.688099999999999</v>
      </c>
      <c r="R672" s="9"/>
      <c r="S672" s="11"/>
    </row>
    <row r="673" spans="1:19" ht="15.75">
      <c r="A673" s="13">
        <v>62001</v>
      </c>
      <c r="B673" s="8">
        <f>CHOOSE( CONTROL!$C$32, 18.1218, 18.1194) * CHOOSE(CONTROL!$C$15, $D$11, 100%, $F$11)</f>
        <v>18.1218</v>
      </c>
      <c r="C673" s="8">
        <f>CHOOSE( CONTROL!$C$32, 18.1324, 18.13) * CHOOSE(CONTROL!$C$15, $D$11, 100%, $F$11)</f>
        <v>18.132400000000001</v>
      </c>
      <c r="D673" s="8">
        <f>CHOOSE( CONTROL!$C$32, 18.1686, 18.1662) * CHOOSE( CONTROL!$C$15, $D$11, 100%, $F$11)</f>
        <v>18.168600000000001</v>
      </c>
      <c r="E673" s="12">
        <f>CHOOSE( CONTROL!$C$32, 18.1539, 18.1515) * CHOOSE( CONTROL!$C$15, $D$11, 100%, $F$11)</f>
        <v>18.1539</v>
      </c>
      <c r="F673" s="4">
        <f>CHOOSE( CONTROL!$C$32, 18.8612, 18.8588) * CHOOSE(CONTROL!$C$15, $D$11, 100%, $F$11)</f>
        <v>18.8612</v>
      </c>
      <c r="G673" s="8">
        <f>CHOOSE( CONTROL!$C$32, 17.7101, 17.7077) * CHOOSE( CONTROL!$C$15, $D$11, 100%, $F$11)</f>
        <v>17.710100000000001</v>
      </c>
      <c r="H673" s="4">
        <f>CHOOSE( CONTROL!$C$32, 18.6747, 18.6723) * CHOOSE(CONTROL!$C$15, $D$11, 100%, $F$11)</f>
        <v>18.674700000000001</v>
      </c>
      <c r="I673" s="8">
        <f>CHOOSE( CONTROL!$C$32, 17.5042, 17.5019) * CHOOSE(CONTROL!$C$15, $D$11, 100%, $F$11)</f>
        <v>17.504200000000001</v>
      </c>
      <c r="J673" s="4">
        <f>CHOOSE( CONTROL!$C$32, 17.3844, 17.3821) * CHOOSE(CONTROL!$C$15, $D$11, 100%, $F$11)</f>
        <v>17.384399999999999</v>
      </c>
      <c r="K673" s="4"/>
      <c r="L673" s="9">
        <v>29.7257</v>
      </c>
      <c r="M673" s="9">
        <v>11.6745</v>
      </c>
      <c r="N673" s="9">
        <v>4.7850000000000001</v>
      </c>
      <c r="O673" s="9">
        <v>0.36199999999999999</v>
      </c>
      <c r="P673" s="9">
        <v>1.1791</v>
      </c>
      <c r="Q673" s="9">
        <v>19.053000000000001</v>
      </c>
      <c r="R673" s="9"/>
      <c r="S673" s="11"/>
    </row>
    <row r="674" spans="1:19" ht="15.75">
      <c r="A674" s="13">
        <v>62032</v>
      </c>
      <c r="B674" s="8">
        <f>18.9238 * CHOOSE(CONTROL!$C$15, $D$11, 100%, $F$11)</f>
        <v>18.9238</v>
      </c>
      <c r="C674" s="8">
        <f>18.9345 * CHOOSE(CONTROL!$C$15, $D$11, 100%, $F$11)</f>
        <v>18.9345</v>
      </c>
      <c r="D674" s="8">
        <f>18.9721 * CHOOSE( CONTROL!$C$15, $D$11, 100%, $F$11)</f>
        <v>18.972100000000001</v>
      </c>
      <c r="E674" s="12">
        <f>18.9585 * CHOOSE( CONTROL!$C$15, $D$11, 100%, $F$11)</f>
        <v>18.958500000000001</v>
      </c>
      <c r="F674" s="4">
        <f>19.663 * CHOOSE(CONTROL!$C$15, $D$11, 100%, $F$11)</f>
        <v>19.663</v>
      </c>
      <c r="G674" s="8">
        <f>18.4938 * CHOOSE( CONTROL!$C$15, $D$11, 100%, $F$11)</f>
        <v>18.4938</v>
      </c>
      <c r="H674" s="4">
        <f>19.4587 * CHOOSE(CONTROL!$C$15, $D$11, 100%, $F$11)</f>
        <v>19.4587</v>
      </c>
      <c r="I674" s="8">
        <f>18.2752 * CHOOSE(CONTROL!$C$15, $D$11, 100%, $F$11)</f>
        <v>18.275200000000002</v>
      </c>
      <c r="J674" s="4">
        <f>18.1543 * CHOOSE(CONTROL!$C$15, $D$11, 100%, $F$11)</f>
        <v>18.154299999999999</v>
      </c>
      <c r="K674" s="4"/>
      <c r="L674" s="9">
        <v>31.095300000000002</v>
      </c>
      <c r="M674" s="9">
        <v>12.063700000000001</v>
      </c>
      <c r="N674" s="9">
        <v>4.9444999999999997</v>
      </c>
      <c r="O674" s="9">
        <v>0.37409999999999999</v>
      </c>
      <c r="P674" s="9">
        <v>1.2183999999999999</v>
      </c>
      <c r="Q674" s="9">
        <v>19.688099999999999</v>
      </c>
      <c r="R674" s="9"/>
      <c r="S674" s="11"/>
    </row>
    <row r="675" spans="1:19" ht="15.75">
      <c r="A675" s="13">
        <v>62062</v>
      </c>
      <c r="B675" s="8">
        <f>20.4083 * CHOOSE(CONTROL!$C$15, $D$11, 100%, $F$11)</f>
        <v>20.408300000000001</v>
      </c>
      <c r="C675" s="8">
        <f>20.4191 * CHOOSE(CONTROL!$C$15, $D$11, 100%, $F$11)</f>
        <v>20.4191</v>
      </c>
      <c r="D675" s="8">
        <f>20.4018 * CHOOSE( CONTROL!$C$15, $D$11, 100%, $F$11)</f>
        <v>20.401800000000001</v>
      </c>
      <c r="E675" s="12">
        <f>20.407 * CHOOSE( CONTROL!$C$15, $D$11, 100%, $F$11)</f>
        <v>20.407</v>
      </c>
      <c r="F675" s="4">
        <f>21.0668 * CHOOSE(CONTROL!$C$15, $D$11, 100%, $F$11)</f>
        <v>21.066800000000001</v>
      </c>
      <c r="G675" s="8">
        <f>19.9519 * CHOOSE( CONTROL!$C$15, $D$11, 100%, $F$11)</f>
        <v>19.951899999999998</v>
      </c>
      <c r="H675" s="4">
        <f>20.8311 * CHOOSE(CONTROL!$C$15, $D$11, 100%, $F$11)</f>
        <v>20.831099999999999</v>
      </c>
      <c r="I675" s="8">
        <f>19.7384 * CHOOSE(CONTROL!$C$15, $D$11, 100%, $F$11)</f>
        <v>19.738399999999999</v>
      </c>
      <c r="J675" s="4">
        <f>19.5796 * CHOOSE(CONTROL!$C$15, $D$11, 100%, $F$11)</f>
        <v>19.579599999999999</v>
      </c>
      <c r="K675" s="4"/>
      <c r="L675" s="9">
        <v>28.360600000000002</v>
      </c>
      <c r="M675" s="9">
        <v>11.6745</v>
      </c>
      <c r="N675" s="9">
        <v>4.7850000000000001</v>
      </c>
      <c r="O675" s="9">
        <v>0.36199999999999999</v>
      </c>
      <c r="P675" s="9">
        <v>1.2509999999999999</v>
      </c>
      <c r="Q675" s="9">
        <v>19.053000000000001</v>
      </c>
      <c r="R675" s="9"/>
      <c r="S675" s="11"/>
    </row>
    <row r="676" spans="1:19" ht="15.75">
      <c r="A676" s="13">
        <v>62093</v>
      </c>
      <c r="B676" s="8">
        <f>20.3712 * CHOOSE(CONTROL!$C$15, $D$11, 100%, $F$11)</f>
        <v>20.371200000000002</v>
      </c>
      <c r="C676" s="8">
        <f>20.382 * CHOOSE(CONTROL!$C$15, $D$11, 100%, $F$11)</f>
        <v>20.382000000000001</v>
      </c>
      <c r="D676" s="8">
        <f>20.3664 * CHOOSE( CONTROL!$C$15, $D$11, 100%, $F$11)</f>
        <v>20.366399999999999</v>
      </c>
      <c r="E676" s="12">
        <f>20.371 * CHOOSE( CONTROL!$C$15, $D$11, 100%, $F$11)</f>
        <v>20.370999999999999</v>
      </c>
      <c r="F676" s="4">
        <f>21.0297 * CHOOSE(CONTROL!$C$15, $D$11, 100%, $F$11)</f>
        <v>21.029699999999998</v>
      </c>
      <c r="G676" s="8">
        <f>19.9168 * CHOOSE( CONTROL!$C$15, $D$11, 100%, $F$11)</f>
        <v>19.916799999999999</v>
      </c>
      <c r="H676" s="4">
        <f>20.7949 * CHOOSE(CONTROL!$C$15, $D$11, 100%, $F$11)</f>
        <v>20.794899999999998</v>
      </c>
      <c r="I676" s="8">
        <f>19.7079 * CHOOSE(CONTROL!$C$15, $D$11, 100%, $F$11)</f>
        <v>19.707899999999999</v>
      </c>
      <c r="J676" s="4">
        <f>19.544 * CHOOSE(CONTROL!$C$15, $D$11, 100%, $F$11)</f>
        <v>19.544</v>
      </c>
      <c r="K676" s="4"/>
      <c r="L676" s="9">
        <v>29.306000000000001</v>
      </c>
      <c r="M676" s="9">
        <v>12.063700000000001</v>
      </c>
      <c r="N676" s="9">
        <v>4.9444999999999997</v>
      </c>
      <c r="O676" s="9">
        <v>0.37409999999999999</v>
      </c>
      <c r="P676" s="9">
        <v>1.2927</v>
      </c>
      <c r="Q676" s="9">
        <v>19.688099999999999</v>
      </c>
      <c r="R676" s="9"/>
      <c r="S676" s="11"/>
    </row>
    <row r="677" spans="1:19" ht="15.75">
      <c r="A677" s="13">
        <v>62124</v>
      </c>
      <c r="B677" s="8">
        <f>20.9717 * CHOOSE(CONTROL!$C$15, $D$11, 100%, $F$11)</f>
        <v>20.971699999999998</v>
      </c>
      <c r="C677" s="8">
        <f>20.9824 * CHOOSE(CONTROL!$C$15, $D$11, 100%, $F$11)</f>
        <v>20.982399999999998</v>
      </c>
      <c r="D677" s="8">
        <f>20.9638 * CHOOSE( CONTROL!$C$15, $D$11, 100%, $F$11)</f>
        <v>20.963799999999999</v>
      </c>
      <c r="E677" s="12">
        <f>20.9695 * CHOOSE( CONTROL!$C$15, $D$11, 100%, $F$11)</f>
        <v>20.9695</v>
      </c>
      <c r="F677" s="4">
        <f>21.6302 * CHOOSE(CONTROL!$C$15, $D$11, 100%, $F$11)</f>
        <v>21.630199999999999</v>
      </c>
      <c r="G677" s="8">
        <f>20.4964 * CHOOSE( CONTROL!$C$15, $D$11, 100%, $F$11)</f>
        <v>20.496400000000001</v>
      </c>
      <c r="H677" s="4">
        <f>21.3819 * CHOOSE(CONTROL!$C$15, $D$11, 100%, $F$11)</f>
        <v>21.381900000000002</v>
      </c>
      <c r="I677" s="8">
        <f>20.2496 * CHOOSE(CONTROL!$C$15, $D$11, 100%, $F$11)</f>
        <v>20.249600000000001</v>
      </c>
      <c r="J677" s="4">
        <f>20.1204 * CHOOSE(CONTROL!$C$15, $D$11, 100%, $F$11)</f>
        <v>20.1204</v>
      </c>
      <c r="K677" s="4"/>
      <c r="L677" s="9">
        <v>29.306000000000001</v>
      </c>
      <c r="M677" s="9">
        <v>12.063700000000001</v>
      </c>
      <c r="N677" s="9">
        <v>4.9444999999999997</v>
      </c>
      <c r="O677" s="9">
        <v>0.37409999999999999</v>
      </c>
      <c r="P677" s="9">
        <v>1.2927</v>
      </c>
      <c r="Q677" s="9">
        <v>19.688099999999999</v>
      </c>
      <c r="R677" s="9"/>
      <c r="S677" s="11"/>
    </row>
    <row r="678" spans="1:19" ht="15.75">
      <c r="A678" s="13">
        <v>62152</v>
      </c>
      <c r="B678" s="8">
        <f>19.6169 * CHOOSE(CONTROL!$C$15, $D$11, 100%, $F$11)</f>
        <v>19.616900000000001</v>
      </c>
      <c r="C678" s="8">
        <f>19.6276 * CHOOSE(CONTROL!$C$15, $D$11, 100%, $F$11)</f>
        <v>19.627600000000001</v>
      </c>
      <c r="D678" s="8">
        <f>19.6089 * CHOOSE( CONTROL!$C$15, $D$11, 100%, $F$11)</f>
        <v>19.608899999999998</v>
      </c>
      <c r="E678" s="12">
        <f>19.6146 * CHOOSE( CONTROL!$C$15, $D$11, 100%, $F$11)</f>
        <v>19.614599999999999</v>
      </c>
      <c r="F678" s="4">
        <f>20.2754 * CHOOSE(CONTROL!$C$15, $D$11, 100%, $F$11)</f>
        <v>20.275400000000001</v>
      </c>
      <c r="G678" s="8">
        <f>19.1717 * CHOOSE( CONTROL!$C$15, $D$11, 100%, $F$11)</f>
        <v>19.171700000000001</v>
      </c>
      <c r="H678" s="4">
        <f>20.0573 * CHOOSE(CONTROL!$C$15, $D$11, 100%, $F$11)</f>
        <v>20.057300000000001</v>
      </c>
      <c r="I678" s="8">
        <f>18.9479 * CHOOSE(CONTROL!$C$15, $D$11, 100%, $F$11)</f>
        <v>18.947900000000001</v>
      </c>
      <c r="J678" s="4">
        <f>18.8197 * CHOOSE(CONTROL!$C$15, $D$11, 100%, $F$11)</f>
        <v>18.819700000000001</v>
      </c>
      <c r="K678" s="4"/>
      <c r="L678" s="9">
        <v>26.469899999999999</v>
      </c>
      <c r="M678" s="9">
        <v>10.8962</v>
      </c>
      <c r="N678" s="9">
        <v>4.4660000000000002</v>
      </c>
      <c r="O678" s="9">
        <v>0.33789999999999998</v>
      </c>
      <c r="P678" s="9">
        <v>1.1676</v>
      </c>
      <c r="Q678" s="9">
        <v>17.782800000000002</v>
      </c>
      <c r="R678" s="9"/>
      <c r="S678" s="11"/>
    </row>
    <row r="679" spans="1:19" ht="15.75">
      <c r="A679" s="13">
        <v>62183</v>
      </c>
      <c r="B679" s="8">
        <f>19.1996 * CHOOSE(CONTROL!$C$15, $D$11, 100%, $F$11)</f>
        <v>19.1996</v>
      </c>
      <c r="C679" s="8">
        <f>19.2104 * CHOOSE(CONTROL!$C$15, $D$11, 100%, $F$11)</f>
        <v>19.2104</v>
      </c>
      <c r="D679" s="8">
        <f>19.1912 * CHOOSE( CONTROL!$C$15, $D$11, 100%, $F$11)</f>
        <v>19.191199999999998</v>
      </c>
      <c r="E679" s="12">
        <f>19.1971 * CHOOSE( CONTROL!$C$15, $D$11, 100%, $F$11)</f>
        <v>19.197099999999999</v>
      </c>
      <c r="F679" s="4">
        <f>19.8581 * CHOOSE(CONTROL!$C$15, $D$11, 100%, $F$11)</f>
        <v>19.8581</v>
      </c>
      <c r="G679" s="8">
        <f>18.7634 * CHOOSE( CONTROL!$C$15, $D$11, 100%, $F$11)</f>
        <v>18.763400000000001</v>
      </c>
      <c r="H679" s="4">
        <f>19.6494 * CHOOSE(CONTROL!$C$15, $D$11, 100%, $F$11)</f>
        <v>19.6494</v>
      </c>
      <c r="I679" s="8">
        <f>18.5456 * CHOOSE(CONTROL!$C$15, $D$11, 100%, $F$11)</f>
        <v>18.5456</v>
      </c>
      <c r="J679" s="4">
        <f>18.4191 * CHOOSE(CONTROL!$C$15, $D$11, 100%, $F$11)</f>
        <v>18.4191</v>
      </c>
      <c r="K679" s="4"/>
      <c r="L679" s="9">
        <v>29.306000000000001</v>
      </c>
      <c r="M679" s="9">
        <v>12.063700000000001</v>
      </c>
      <c r="N679" s="9">
        <v>4.9444999999999997</v>
      </c>
      <c r="O679" s="9">
        <v>0.37409999999999999</v>
      </c>
      <c r="P679" s="9">
        <v>1.2927</v>
      </c>
      <c r="Q679" s="9">
        <v>19.688099999999999</v>
      </c>
      <c r="R679" s="9"/>
      <c r="S679" s="11"/>
    </row>
    <row r="680" spans="1:19" ht="15.75">
      <c r="A680" s="13">
        <v>62213</v>
      </c>
      <c r="B680" s="8">
        <f>19.4911 * CHOOSE(CONTROL!$C$15, $D$11, 100%, $F$11)</f>
        <v>19.491099999999999</v>
      </c>
      <c r="C680" s="8">
        <f>19.5019 * CHOOSE(CONTROL!$C$15, $D$11, 100%, $F$11)</f>
        <v>19.501899999999999</v>
      </c>
      <c r="D680" s="8">
        <f>19.5389 * CHOOSE( CONTROL!$C$15, $D$11, 100%, $F$11)</f>
        <v>19.538900000000002</v>
      </c>
      <c r="E680" s="12">
        <f>19.5254 * CHOOSE( CONTROL!$C$15, $D$11, 100%, $F$11)</f>
        <v>19.525400000000001</v>
      </c>
      <c r="F680" s="4">
        <f>20.2304 * CHOOSE(CONTROL!$C$15, $D$11, 100%, $F$11)</f>
        <v>20.230399999999999</v>
      </c>
      <c r="G680" s="8">
        <f>19.0477 * CHOOSE( CONTROL!$C$15, $D$11, 100%, $F$11)</f>
        <v>19.047699999999999</v>
      </c>
      <c r="H680" s="4">
        <f>20.0134 * CHOOSE(CONTROL!$C$15, $D$11, 100%, $F$11)</f>
        <v>20.013400000000001</v>
      </c>
      <c r="I680" s="8">
        <f>18.8175 * CHOOSE(CONTROL!$C$15, $D$11, 100%, $F$11)</f>
        <v>18.817499999999999</v>
      </c>
      <c r="J680" s="4">
        <f>18.699 * CHOOSE(CONTROL!$C$15, $D$11, 100%, $F$11)</f>
        <v>18.699000000000002</v>
      </c>
      <c r="K680" s="4"/>
      <c r="L680" s="9">
        <v>30.092199999999998</v>
      </c>
      <c r="M680" s="9">
        <v>11.6745</v>
      </c>
      <c r="N680" s="9">
        <v>4.7850000000000001</v>
      </c>
      <c r="O680" s="9">
        <v>0.36199999999999999</v>
      </c>
      <c r="P680" s="9">
        <v>1.1791</v>
      </c>
      <c r="Q680" s="9">
        <v>19.053000000000001</v>
      </c>
      <c r="R680" s="9"/>
      <c r="S680" s="11"/>
    </row>
    <row r="681" spans="1:19" ht="15.75">
      <c r="A681" s="13">
        <v>62244</v>
      </c>
      <c r="B681" s="8">
        <f>CHOOSE( CONTROL!$C$32, 20.0124, 20.01) * CHOOSE(CONTROL!$C$15, $D$11, 100%, $F$11)</f>
        <v>20.0124</v>
      </c>
      <c r="C681" s="8">
        <f>CHOOSE( CONTROL!$C$32, 20.0229, 20.0206) * CHOOSE(CONTROL!$C$15, $D$11, 100%, $F$11)</f>
        <v>20.0229</v>
      </c>
      <c r="D681" s="8">
        <f>CHOOSE( CONTROL!$C$32, 20.0588, 20.0564) * CHOOSE( CONTROL!$C$15, $D$11, 100%, $F$11)</f>
        <v>20.058800000000002</v>
      </c>
      <c r="E681" s="12">
        <f>CHOOSE( CONTROL!$C$32, 20.0442, 20.0418) * CHOOSE( CONTROL!$C$15, $D$11, 100%, $F$11)</f>
        <v>20.0442</v>
      </c>
      <c r="F681" s="4">
        <f>CHOOSE( CONTROL!$C$32, 20.7517, 20.7493) * CHOOSE(CONTROL!$C$15, $D$11, 100%, $F$11)</f>
        <v>20.7517</v>
      </c>
      <c r="G681" s="8">
        <f>CHOOSE( CONTROL!$C$32, 19.5579, 19.5556) * CHOOSE( CONTROL!$C$15, $D$11, 100%, $F$11)</f>
        <v>19.5579</v>
      </c>
      <c r="H681" s="4">
        <f>CHOOSE( CONTROL!$C$32, 20.5231, 20.5207) * CHOOSE(CONTROL!$C$15, $D$11, 100%, $F$11)</f>
        <v>20.523099999999999</v>
      </c>
      <c r="I681" s="8">
        <f>CHOOSE( CONTROL!$C$32, 19.3184, 19.3161) * CHOOSE(CONTROL!$C$15, $D$11, 100%, $F$11)</f>
        <v>19.3184</v>
      </c>
      <c r="J681" s="4">
        <f>CHOOSE( CONTROL!$C$32, 19.1996, 19.1973) * CHOOSE(CONTROL!$C$15, $D$11, 100%, $F$11)</f>
        <v>19.1996</v>
      </c>
      <c r="K681" s="4"/>
      <c r="L681" s="9">
        <v>30.7165</v>
      </c>
      <c r="M681" s="9">
        <v>12.063700000000001</v>
      </c>
      <c r="N681" s="9">
        <v>4.9444999999999997</v>
      </c>
      <c r="O681" s="9">
        <v>0.37409999999999999</v>
      </c>
      <c r="P681" s="9">
        <v>1.2183999999999999</v>
      </c>
      <c r="Q681" s="9">
        <v>19.688099999999999</v>
      </c>
      <c r="R681" s="9"/>
      <c r="S681" s="11"/>
    </row>
    <row r="682" spans="1:19" ht="15.75">
      <c r="A682" s="13">
        <v>62274</v>
      </c>
      <c r="B682" s="8">
        <f>CHOOSE( CONTROL!$C$32, 19.6909, 19.6885) * CHOOSE(CONTROL!$C$15, $D$11, 100%, $F$11)</f>
        <v>19.690899999999999</v>
      </c>
      <c r="C682" s="8">
        <f>CHOOSE( CONTROL!$C$32, 19.7015, 19.6991) * CHOOSE(CONTROL!$C$15, $D$11, 100%, $F$11)</f>
        <v>19.701499999999999</v>
      </c>
      <c r="D682" s="8">
        <f>CHOOSE( CONTROL!$C$32, 19.7375, 19.7351) * CHOOSE( CONTROL!$C$15, $D$11, 100%, $F$11)</f>
        <v>19.737500000000001</v>
      </c>
      <c r="E682" s="12">
        <f>CHOOSE( CONTROL!$C$32, 19.7228, 19.7204) * CHOOSE( CONTROL!$C$15, $D$11, 100%, $F$11)</f>
        <v>19.722799999999999</v>
      </c>
      <c r="F682" s="4">
        <f>CHOOSE( CONTROL!$C$32, 20.4303, 20.4279) * CHOOSE(CONTROL!$C$15, $D$11, 100%, $F$11)</f>
        <v>20.430299999999999</v>
      </c>
      <c r="G682" s="8">
        <f>CHOOSE( CONTROL!$C$32, 19.2439, 19.2415) * CHOOSE( CONTROL!$C$15, $D$11, 100%, $F$11)</f>
        <v>19.2439</v>
      </c>
      <c r="H682" s="4">
        <f>CHOOSE( CONTROL!$C$32, 20.2088, 20.2064) * CHOOSE(CONTROL!$C$15, $D$11, 100%, $F$11)</f>
        <v>20.2088</v>
      </c>
      <c r="I682" s="8">
        <f>CHOOSE( CONTROL!$C$32, 19.0105, 19.0082) * CHOOSE(CONTROL!$C$15, $D$11, 100%, $F$11)</f>
        <v>19.0105</v>
      </c>
      <c r="J682" s="4">
        <f>CHOOSE( CONTROL!$C$32, 18.8909, 18.8886) * CHOOSE(CONTROL!$C$15, $D$11, 100%, $F$11)</f>
        <v>18.890899999999998</v>
      </c>
      <c r="K682" s="4"/>
      <c r="L682" s="9">
        <v>29.7257</v>
      </c>
      <c r="M682" s="9">
        <v>11.6745</v>
      </c>
      <c r="N682" s="9">
        <v>4.7850000000000001</v>
      </c>
      <c r="O682" s="9">
        <v>0.36199999999999999</v>
      </c>
      <c r="P682" s="9">
        <v>1.1791</v>
      </c>
      <c r="Q682" s="9">
        <v>19.053000000000001</v>
      </c>
      <c r="R682" s="9"/>
      <c r="S682" s="11"/>
    </row>
    <row r="683" spans="1:19" ht="15.75">
      <c r="A683" s="13">
        <v>62305</v>
      </c>
      <c r="B683" s="8">
        <f>CHOOSE( CONTROL!$C$32, 20.5375, 20.5351) * CHOOSE(CONTROL!$C$15, $D$11, 100%, $F$11)</f>
        <v>20.537500000000001</v>
      </c>
      <c r="C683" s="8">
        <f>CHOOSE( CONTROL!$C$32, 20.548, 20.5456) * CHOOSE(CONTROL!$C$15, $D$11, 100%, $F$11)</f>
        <v>20.547999999999998</v>
      </c>
      <c r="D683" s="8">
        <f>CHOOSE( CONTROL!$C$32, 20.5843, 20.5819) * CHOOSE( CONTROL!$C$15, $D$11, 100%, $F$11)</f>
        <v>20.584299999999999</v>
      </c>
      <c r="E683" s="12">
        <f>CHOOSE( CONTROL!$C$32, 20.5695, 20.5671) * CHOOSE( CONTROL!$C$15, $D$11, 100%, $F$11)</f>
        <v>20.569500000000001</v>
      </c>
      <c r="F683" s="4">
        <f>CHOOSE( CONTROL!$C$32, 21.2768, 21.2744) * CHOOSE(CONTROL!$C$15, $D$11, 100%, $F$11)</f>
        <v>21.276800000000001</v>
      </c>
      <c r="G683" s="8">
        <f>CHOOSE( CONTROL!$C$32, 20.0719, 20.0696) * CHOOSE( CONTROL!$C$15, $D$11, 100%, $F$11)</f>
        <v>20.071899999999999</v>
      </c>
      <c r="H683" s="4">
        <f>CHOOSE( CONTROL!$C$32, 21.0365, 21.0341) * CHOOSE(CONTROL!$C$15, $D$11, 100%, $F$11)</f>
        <v>21.0365</v>
      </c>
      <c r="I683" s="8">
        <f>CHOOSE( CONTROL!$C$32, 19.8247, 19.8224) * CHOOSE(CONTROL!$C$15, $D$11, 100%, $F$11)</f>
        <v>19.8247</v>
      </c>
      <c r="J683" s="4">
        <f>CHOOSE( CONTROL!$C$32, 19.7037, 19.7014) * CHOOSE(CONTROL!$C$15, $D$11, 100%, $F$11)</f>
        <v>19.703700000000001</v>
      </c>
      <c r="K683" s="4"/>
      <c r="L683" s="9">
        <v>30.7165</v>
      </c>
      <c r="M683" s="9">
        <v>12.063700000000001</v>
      </c>
      <c r="N683" s="9">
        <v>4.9444999999999997</v>
      </c>
      <c r="O683" s="9">
        <v>0.37409999999999999</v>
      </c>
      <c r="P683" s="9">
        <v>1.2183999999999999</v>
      </c>
      <c r="Q683" s="9">
        <v>19.688099999999999</v>
      </c>
      <c r="R683" s="9"/>
      <c r="S683" s="11"/>
    </row>
    <row r="684" spans="1:19" ht="15.75">
      <c r="A684" s="13">
        <v>62336</v>
      </c>
      <c r="B684" s="8">
        <f>CHOOSE( CONTROL!$C$32, 18.9535, 18.9511) * CHOOSE(CONTROL!$C$15, $D$11, 100%, $F$11)</f>
        <v>18.953499999999998</v>
      </c>
      <c r="C684" s="8">
        <f>CHOOSE( CONTROL!$C$32, 18.964, 18.9616) * CHOOSE(CONTROL!$C$15, $D$11, 100%, $F$11)</f>
        <v>18.963999999999999</v>
      </c>
      <c r="D684" s="8">
        <f>CHOOSE( CONTROL!$C$32, 19.0003, 18.9979) * CHOOSE( CONTROL!$C$15, $D$11, 100%, $F$11)</f>
        <v>19.000299999999999</v>
      </c>
      <c r="E684" s="12">
        <f>CHOOSE( CONTROL!$C$32, 18.9855, 18.9831) * CHOOSE( CONTROL!$C$15, $D$11, 100%, $F$11)</f>
        <v>18.985499999999998</v>
      </c>
      <c r="F684" s="4">
        <f>CHOOSE( CONTROL!$C$32, 19.6928, 19.6904) * CHOOSE(CONTROL!$C$15, $D$11, 100%, $F$11)</f>
        <v>19.692799999999998</v>
      </c>
      <c r="G684" s="8">
        <f>CHOOSE( CONTROL!$C$32, 18.5233, 18.5209) * CHOOSE( CONTROL!$C$15, $D$11, 100%, $F$11)</f>
        <v>18.523299999999999</v>
      </c>
      <c r="H684" s="4">
        <f>CHOOSE( CONTROL!$C$32, 19.4878, 19.4854) * CHOOSE(CONTROL!$C$15, $D$11, 100%, $F$11)</f>
        <v>19.4878</v>
      </c>
      <c r="I684" s="8">
        <f>CHOOSE( CONTROL!$C$32, 18.3034, 18.3011) * CHOOSE(CONTROL!$C$15, $D$11, 100%, $F$11)</f>
        <v>18.3034</v>
      </c>
      <c r="J684" s="4">
        <f>CHOOSE( CONTROL!$C$32, 18.1829, 18.1806) * CHOOSE(CONTROL!$C$15, $D$11, 100%, $F$11)</f>
        <v>18.1829</v>
      </c>
      <c r="K684" s="4"/>
      <c r="L684" s="9">
        <v>30.7165</v>
      </c>
      <c r="M684" s="9">
        <v>12.063700000000001</v>
      </c>
      <c r="N684" s="9">
        <v>4.9444999999999997</v>
      </c>
      <c r="O684" s="9">
        <v>0.37409999999999999</v>
      </c>
      <c r="P684" s="9">
        <v>1.2183999999999999</v>
      </c>
      <c r="Q684" s="9">
        <v>19.688099999999999</v>
      </c>
      <c r="R684" s="9"/>
      <c r="S684" s="11"/>
    </row>
    <row r="685" spans="1:19" ht="15.75">
      <c r="A685" s="13">
        <v>62366</v>
      </c>
      <c r="B685" s="8">
        <f>CHOOSE( CONTROL!$C$32, 18.5568, 18.5544) * CHOOSE(CONTROL!$C$15, $D$11, 100%, $F$11)</f>
        <v>18.556799999999999</v>
      </c>
      <c r="C685" s="8">
        <f>CHOOSE( CONTROL!$C$32, 18.5674, 18.565) * CHOOSE(CONTROL!$C$15, $D$11, 100%, $F$11)</f>
        <v>18.567399999999999</v>
      </c>
      <c r="D685" s="8">
        <f>CHOOSE( CONTROL!$C$32, 18.6036, 18.6012) * CHOOSE( CONTROL!$C$15, $D$11, 100%, $F$11)</f>
        <v>18.6036</v>
      </c>
      <c r="E685" s="12">
        <f>CHOOSE( CONTROL!$C$32, 18.5889, 18.5865) * CHOOSE( CONTROL!$C$15, $D$11, 100%, $F$11)</f>
        <v>18.588899999999999</v>
      </c>
      <c r="F685" s="4">
        <f>CHOOSE( CONTROL!$C$32, 19.2962, 19.2938) * CHOOSE(CONTROL!$C$15, $D$11, 100%, $F$11)</f>
        <v>19.296199999999999</v>
      </c>
      <c r="G685" s="8">
        <f>CHOOSE( CONTROL!$C$32, 18.1354, 18.133) * CHOOSE( CONTROL!$C$15, $D$11, 100%, $F$11)</f>
        <v>18.135400000000001</v>
      </c>
      <c r="H685" s="4">
        <f>CHOOSE( CONTROL!$C$32, 19.1, 19.0976) * CHOOSE(CONTROL!$C$15, $D$11, 100%, $F$11)</f>
        <v>19.100000000000001</v>
      </c>
      <c r="I685" s="8">
        <f>CHOOSE( CONTROL!$C$32, 17.9221, 17.9198) * CHOOSE(CONTROL!$C$15, $D$11, 100%, $F$11)</f>
        <v>17.9221</v>
      </c>
      <c r="J685" s="4">
        <f>CHOOSE( CONTROL!$C$32, 17.8021, 17.7998) * CHOOSE(CONTROL!$C$15, $D$11, 100%, $F$11)</f>
        <v>17.802099999999999</v>
      </c>
      <c r="K685" s="4"/>
      <c r="L685" s="9">
        <v>29.7257</v>
      </c>
      <c r="M685" s="9">
        <v>11.6745</v>
      </c>
      <c r="N685" s="9">
        <v>4.7850000000000001</v>
      </c>
      <c r="O685" s="9">
        <v>0.36199999999999999</v>
      </c>
      <c r="P685" s="9">
        <v>1.1791</v>
      </c>
      <c r="Q685" s="9">
        <v>19.053000000000001</v>
      </c>
      <c r="R685" s="9"/>
      <c r="S685" s="11"/>
    </row>
    <row r="686" spans="1:19" ht="15.75">
      <c r="A686" s="13">
        <v>62397</v>
      </c>
      <c r="B686" s="8">
        <f>19.3781 * CHOOSE(CONTROL!$C$15, $D$11, 100%, $F$11)</f>
        <v>19.3781</v>
      </c>
      <c r="C686" s="8">
        <f>19.3889 * CHOOSE(CONTROL!$C$15, $D$11, 100%, $F$11)</f>
        <v>19.3889</v>
      </c>
      <c r="D686" s="8">
        <f>19.4264 * CHOOSE( CONTROL!$C$15, $D$11, 100%, $F$11)</f>
        <v>19.426400000000001</v>
      </c>
      <c r="E686" s="12">
        <f>19.4129 * CHOOSE( CONTROL!$C$15, $D$11, 100%, $F$11)</f>
        <v>19.4129</v>
      </c>
      <c r="F686" s="4">
        <f>20.1174 * CHOOSE(CONTROL!$C$15, $D$11, 100%, $F$11)</f>
        <v>20.1174</v>
      </c>
      <c r="G686" s="8">
        <f>18.938 * CHOOSE( CONTROL!$C$15, $D$11, 100%, $F$11)</f>
        <v>18.937999999999999</v>
      </c>
      <c r="H686" s="4">
        <f>19.9029 * CHOOSE(CONTROL!$C$15, $D$11, 100%, $F$11)</f>
        <v>19.902899999999999</v>
      </c>
      <c r="I686" s="8">
        <f>18.7117 * CHOOSE(CONTROL!$C$15, $D$11, 100%, $F$11)</f>
        <v>18.7117</v>
      </c>
      <c r="J686" s="4">
        <f>18.5905 * CHOOSE(CONTROL!$C$15, $D$11, 100%, $F$11)</f>
        <v>18.590499999999999</v>
      </c>
      <c r="K686" s="4"/>
      <c r="L686" s="9">
        <v>31.095300000000002</v>
      </c>
      <c r="M686" s="9">
        <v>12.063700000000001</v>
      </c>
      <c r="N686" s="9">
        <v>4.9444999999999997</v>
      </c>
      <c r="O686" s="9">
        <v>0.37409999999999999</v>
      </c>
      <c r="P686" s="9">
        <v>1.2183999999999999</v>
      </c>
      <c r="Q686" s="9">
        <v>19.688099999999999</v>
      </c>
      <c r="R686" s="9"/>
      <c r="S686" s="11"/>
    </row>
    <row r="687" spans="1:19" ht="15.75">
      <c r="A687" s="13">
        <v>62427</v>
      </c>
      <c r="B687" s="8">
        <f>20.8983 * CHOOSE(CONTROL!$C$15, $D$11, 100%, $F$11)</f>
        <v>20.898299999999999</v>
      </c>
      <c r="C687" s="8">
        <f>20.9091 * CHOOSE(CONTROL!$C$15, $D$11, 100%, $F$11)</f>
        <v>20.909099999999999</v>
      </c>
      <c r="D687" s="8">
        <f>20.8918 * CHOOSE( CONTROL!$C$15, $D$11, 100%, $F$11)</f>
        <v>20.8918</v>
      </c>
      <c r="E687" s="12">
        <f>20.897 * CHOOSE( CONTROL!$C$15, $D$11, 100%, $F$11)</f>
        <v>20.896999999999998</v>
      </c>
      <c r="F687" s="4">
        <f>21.5568 * CHOOSE(CONTROL!$C$15, $D$11, 100%, $F$11)</f>
        <v>21.556799999999999</v>
      </c>
      <c r="G687" s="8">
        <f>20.431 * CHOOSE( CONTROL!$C$15, $D$11, 100%, $F$11)</f>
        <v>20.431000000000001</v>
      </c>
      <c r="H687" s="4">
        <f>21.3102 * CHOOSE(CONTROL!$C$15, $D$11, 100%, $F$11)</f>
        <v>21.310199999999998</v>
      </c>
      <c r="I687" s="8">
        <f>20.2091 * CHOOSE(CONTROL!$C$15, $D$11, 100%, $F$11)</f>
        <v>20.209099999999999</v>
      </c>
      <c r="J687" s="4">
        <f>20.05 * CHOOSE(CONTROL!$C$15, $D$11, 100%, $F$11)</f>
        <v>20.05</v>
      </c>
      <c r="K687" s="4"/>
      <c r="L687" s="9">
        <v>28.360600000000002</v>
      </c>
      <c r="M687" s="9">
        <v>11.6745</v>
      </c>
      <c r="N687" s="9">
        <v>4.7850000000000001</v>
      </c>
      <c r="O687" s="9">
        <v>0.36199999999999999</v>
      </c>
      <c r="P687" s="9">
        <v>1.2509999999999999</v>
      </c>
      <c r="Q687" s="9">
        <v>19.053000000000001</v>
      </c>
      <c r="R687" s="9"/>
      <c r="S687" s="11"/>
    </row>
    <row r="688" spans="1:19" ht="15.75">
      <c r="A688" s="13">
        <v>62458</v>
      </c>
      <c r="B688" s="8">
        <f>20.8603 * CHOOSE(CONTROL!$C$15, $D$11, 100%, $F$11)</f>
        <v>20.860299999999999</v>
      </c>
      <c r="C688" s="8">
        <f>20.8711 * CHOOSE(CONTROL!$C$15, $D$11, 100%, $F$11)</f>
        <v>20.871099999999998</v>
      </c>
      <c r="D688" s="8">
        <f>20.8555 * CHOOSE( CONTROL!$C$15, $D$11, 100%, $F$11)</f>
        <v>20.855499999999999</v>
      </c>
      <c r="E688" s="12">
        <f>20.8601 * CHOOSE( CONTROL!$C$15, $D$11, 100%, $F$11)</f>
        <v>20.860099999999999</v>
      </c>
      <c r="F688" s="4">
        <f>21.5188 * CHOOSE(CONTROL!$C$15, $D$11, 100%, $F$11)</f>
        <v>21.518799999999999</v>
      </c>
      <c r="G688" s="8">
        <f>20.395 * CHOOSE( CONTROL!$C$15, $D$11, 100%, $F$11)</f>
        <v>20.395</v>
      </c>
      <c r="H688" s="4">
        <f>21.2731 * CHOOSE(CONTROL!$C$15, $D$11, 100%, $F$11)</f>
        <v>21.273099999999999</v>
      </c>
      <c r="I688" s="8">
        <f>20.1778 * CHOOSE(CONTROL!$C$15, $D$11, 100%, $F$11)</f>
        <v>20.177800000000001</v>
      </c>
      <c r="J688" s="4">
        <f>20.0135 * CHOOSE(CONTROL!$C$15, $D$11, 100%, $F$11)</f>
        <v>20.013500000000001</v>
      </c>
      <c r="K688" s="4"/>
      <c r="L688" s="9">
        <v>29.306000000000001</v>
      </c>
      <c r="M688" s="9">
        <v>12.063700000000001</v>
      </c>
      <c r="N688" s="9">
        <v>4.9444999999999997</v>
      </c>
      <c r="O688" s="9">
        <v>0.37409999999999999</v>
      </c>
      <c r="P688" s="9">
        <v>1.2927</v>
      </c>
      <c r="Q688" s="9">
        <v>19.688099999999999</v>
      </c>
      <c r="R688" s="9"/>
      <c r="S688" s="11"/>
    </row>
    <row r="689" spans="1:19" ht="15.75">
      <c r="A689" s="13">
        <v>62489</v>
      </c>
      <c r="B689" s="8">
        <f>21.4752 * CHOOSE(CONTROL!$C$15, $D$11, 100%, $F$11)</f>
        <v>21.475200000000001</v>
      </c>
      <c r="C689" s="8">
        <f>21.486 * CHOOSE(CONTROL!$C$15, $D$11, 100%, $F$11)</f>
        <v>21.486000000000001</v>
      </c>
      <c r="D689" s="8">
        <f>21.4674 * CHOOSE( CONTROL!$C$15, $D$11, 100%, $F$11)</f>
        <v>21.467400000000001</v>
      </c>
      <c r="E689" s="12">
        <f>21.4731 * CHOOSE( CONTROL!$C$15, $D$11, 100%, $F$11)</f>
        <v>21.473099999999999</v>
      </c>
      <c r="F689" s="4">
        <f>22.1337 * CHOOSE(CONTROL!$C$15, $D$11, 100%, $F$11)</f>
        <v>22.133700000000001</v>
      </c>
      <c r="G689" s="8">
        <f>20.9887 * CHOOSE( CONTROL!$C$15, $D$11, 100%, $F$11)</f>
        <v>20.988700000000001</v>
      </c>
      <c r="H689" s="4">
        <f>21.8742 * CHOOSE(CONTROL!$C$15, $D$11, 100%, $F$11)</f>
        <v>21.874199999999998</v>
      </c>
      <c r="I689" s="8">
        <f>20.7333 * CHOOSE(CONTROL!$C$15, $D$11, 100%, $F$11)</f>
        <v>20.7333</v>
      </c>
      <c r="J689" s="4">
        <f>20.6039 * CHOOSE(CONTROL!$C$15, $D$11, 100%, $F$11)</f>
        <v>20.603899999999999</v>
      </c>
      <c r="K689" s="4"/>
      <c r="L689" s="9">
        <v>29.306000000000001</v>
      </c>
      <c r="M689" s="9">
        <v>12.063700000000001</v>
      </c>
      <c r="N689" s="9">
        <v>4.9444999999999997</v>
      </c>
      <c r="O689" s="9">
        <v>0.37409999999999999</v>
      </c>
      <c r="P689" s="9">
        <v>1.2927</v>
      </c>
      <c r="Q689" s="9">
        <v>19.688099999999999</v>
      </c>
      <c r="R689" s="9"/>
      <c r="S689" s="11"/>
    </row>
    <row r="690" spans="1:19" ht="15.75">
      <c r="A690" s="13">
        <v>62517</v>
      </c>
      <c r="B690" s="8">
        <f>20.0878 * CHOOSE(CONTROL!$C$15, $D$11, 100%, $F$11)</f>
        <v>20.087800000000001</v>
      </c>
      <c r="C690" s="8">
        <f>20.0986 * CHOOSE(CONTROL!$C$15, $D$11, 100%, $F$11)</f>
        <v>20.098600000000001</v>
      </c>
      <c r="D690" s="8">
        <f>20.0799 * CHOOSE( CONTROL!$C$15, $D$11, 100%, $F$11)</f>
        <v>20.079899999999999</v>
      </c>
      <c r="E690" s="12">
        <f>20.0856 * CHOOSE( CONTROL!$C$15, $D$11, 100%, $F$11)</f>
        <v>20.085599999999999</v>
      </c>
      <c r="F690" s="4">
        <f>20.7463 * CHOOSE(CONTROL!$C$15, $D$11, 100%, $F$11)</f>
        <v>20.746300000000002</v>
      </c>
      <c r="G690" s="8">
        <f>19.6322 * CHOOSE( CONTROL!$C$15, $D$11, 100%, $F$11)</f>
        <v>19.632200000000001</v>
      </c>
      <c r="H690" s="4">
        <f>20.5178 * CHOOSE(CONTROL!$C$15, $D$11, 100%, $F$11)</f>
        <v>20.517800000000001</v>
      </c>
      <c r="I690" s="8">
        <f>19.4003 * CHOOSE(CONTROL!$C$15, $D$11, 100%, $F$11)</f>
        <v>19.400300000000001</v>
      </c>
      <c r="J690" s="4">
        <f>19.2719 * CHOOSE(CONTROL!$C$15, $D$11, 100%, $F$11)</f>
        <v>19.271899999999999</v>
      </c>
      <c r="K690" s="4"/>
      <c r="L690" s="9">
        <v>26.469899999999999</v>
      </c>
      <c r="M690" s="9">
        <v>10.8962</v>
      </c>
      <c r="N690" s="9">
        <v>4.4660000000000002</v>
      </c>
      <c r="O690" s="9">
        <v>0.33789999999999998</v>
      </c>
      <c r="P690" s="9">
        <v>1.1676</v>
      </c>
      <c r="Q690" s="9">
        <v>17.782800000000002</v>
      </c>
      <c r="R690" s="9"/>
      <c r="S690" s="11"/>
    </row>
    <row r="691" spans="1:19" ht="15.75">
      <c r="A691" s="13">
        <v>62548</v>
      </c>
      <c r="B691" s="8">
        <f>19.6605 * CHOOSE(CONTROL!$C$15, $D$11, 100%, $F$11)</f>
        <v>19.660499999999999</v>
      </c>
      <c r="C691" s="8">
        <f>19.6713 * CHOOSE(CONTROL!$C$15, $D$11, 100%, $F$11)</f>
        <v>19.671299999999999</v>
      </c>
      <c r="D691" s="8">
        <f>19.6521 * CHOOSE( CONTROL!$C$15, $D$11, 100%, $F$11)</f>
        <v>19.652100000000001</v>
      </c>
      <c r="E691" s="12">
        <f>19.658 * CHOOSE( CONTROL!$C$15, $D$11, 100%, $F$11)</f>
        <v>19.658000000000001</v>
      </c>
      <c r="F691" s="4">
        <f>20.319 * CHOOSE(CONTROL!$C$15, $D$11, 100%, $F$11)</f>
        <v>20.318999999999999</v>
      </c>
      <c r="G691" s="8">
        <f>19.214 * CHOOSE( CONTROL!$C$15, $D$11, 100%, $F$11)</f>
        <v>19.213999999999999</v>
      </c>
      <c r="H691" s="4">
        <f>20.1 * CHOOSE(CONTROL!$C$15, $D$11, 100%, $F$11)</f>
        <v>20.100000000000001</v>
      </c>
      <c r="I691" s="8">
        <f>18.9884 * CHOOSE(CONTROL!$C$15, $D$11, 100%, $F$11)</f>
        <v>18.988399999999999</v>
      </c>
      <c r="J691" s="4">
        <f>18.8616 * CHOOSE(CONTROL!$C$15, $D$11, 100%, $F$11)</f>
        <v>18.861599999999999</v>
      </c>
      <c r="K691" s="4"/>
      <c r="L691" s="9">
        <v>29.306000000000001</v>
      </c>
      <c r="M691" s="9">
        <v>12.063700000000001</v>
      </c>
      <c r="N691" s="9">
        <v>4.9444999999999997</v>
      </c>
      <c r="O691" s="9">
        <v>0.37409999999999999</v>
      </c>
      <c r="P691" s="9">
        <v>1.2927</v>
      </c>
      <c r="Q691" s="9">
        <v>19.688099999999999</v>
      </c>
      <c r="R691" s="9"/>
      <c r="S691" s="11"/>
    </row>
    <row r="692" spans="1:19" ht="15.75">
      <c r="A692" s="13">
        <v>62578</v>
      </c>
      <c r="B692" s="8">
        <f>19.9591 * CHOOSE(CONTROL!$C$15, $D$11, 100%, $F$11)</f>
        <v>19.959099999999999</v>
      </c>
      <c r="C692" s="8">
        <f>19.9699 * CHOOSE(CONTROL!$C$15, $D$11, 100%, $F$11)</f>
        <v>19.969899999999999</v>
      </c>
      <c r="D692" s="8">
        <f>20.0068 * CHOOSE( CONTROL!$C$15, $D$11, 100%, $F$11)</f>
        <v>20.006799999999998</v>
      </c>
      <c r="E692" s="12">
        <f>19.9934 * CHOOSE( CONTROL!$C$15, $D$11, 100%, $F$11)</f>
        <v>19.993400000000001</v>
      </c>
      <c r="F692" s="4">
        <f>20.6984 * CHOOSE(CONTROL!$C$15, $D$11, 100%, $F$11)</f>
        <v>20.698399999999999</v>
      </c>
      <c r="G692" s="8">
        <f>19.5052 * CHOOSE( CONTROL!$C$15, $D$11, 100%, $F$11)</f>
        <v>19.505199999999999</v>
      </c>
      <c r="H692" s="4">
        <f>20.4709 * CHOOSE(CONTROL!$C$15, $D$11, 100%, $F$11)</f>
        <v>20.4709</v>
      </c>
      <c r="I692" s="8">
        <f>19.267 * CHOOSE(CONTROL!$C$15, $D$11, 100%, $F$11)</f>
        <v>19.266999999999999</v>
      </c>
      <c r="J692" s="4">
        <f>19.1483 * CHOOSE(CONTROL!$C$15, $D$11, 100%, $F$11)</f>
        <v>19.148299999999999</v>
      </c>
      <c r="K692" s="4"/>
      <c r="L692" s="9">
        <v>30.092199999999998</v>
      </c>
      <c r="M692" s="9">
        <v>11.6745</v>
      </c>
      <c r="N692" s="9">
        <v>4.7850000000000001</v>
      </c>
      <c r="O692" s="9">
        <v>0.36199999999999999</v>
      </c>
      <c r="P692" s="9">
        <v>1.1791</v>
      </c>
      <c r="Q692" s="9">
        <v>19.053000000000001</v>
      </c>
      <c r="R692" s="9"/>
      <c r="S692" s="11"/>
    </row>
    <row r="693" spans="1:19" ht="15.75">
      <c r="A693" s="13">
        <v>62609</v>
      </c>
      <c r="B693" s="8">
        <f>CHOOSE( CONTROL!$C$32, 20.4928, 20.4904) * CHOOSE(CONTROL!$C$15, $D$11, 100%, $F$11)</f>
        <v>20.492799999999999</v>
      </c>
      <c r="C693" s="8">
        <f>CHOOSE( CONTROL!$C$32, 20.5034, 20.501) * CHOOSE(CONTROL!$C$15, $D$11, 100%, $F$11)</f>
        <v>20.503399999999999</v>
      </c>
      <c r="D693" s="8">
        <f>CHOOSE( CONTROL!$C$32, 20.5392, 20.5368) * CHOOSE( CONTROL!$C$15, $D$11, 100%, $F$11)</f>
        <v>20.539200000000001</v>
      </c>
      <c r="E693" s="12">
        <f>CHOOSE( CONTROL!$C$32, 20.5246, 20.5222) * CHOOSE( CONTROL!$C$15, $D$11, 100%, $F$11)</f>
        <v>20.5246</v>
      </c>
      <c r="F693" s="4">
        <f>CHOOSE( CONTROL!$C$32, 21.2322, 21.2298) * CHOOSE(CONTROL!$C$15, $D$11, 100%, $F$11)</f>
        <v>21.232199999999999</v>
      </c>
      <c r="G693" s="8">
        <f>CHOOSE( CONTROL!$C$32, 20.0276, 20.0253) * CHOOSE( CONTROL!$C$15, $D$11, 100%, $F$11)</f>
        <v>20.0276</v>
      </c>
      <c r="H693" s="4">
        <f>CHOOSE( CONTROL!$C$32, 20.9928, 20.9905) * CHOOSE(CONTROL!$C$15, $D$11, 100%, $F$11)</f>
        <v>20.992799999999999</v>
      </c>
      <c r="I693" s="8">
        <f>CHOOSE( CONTROL!$C$32, 19.7799, 19.7776) * CHOOSE(CONTROL!$C$15, $D$11, 100%, $F$11)</f>
        <v>19.779900000000001</v>
      </c>
      <c r="J693" s="4">
        <f>CHOOSE( CONTROL!$C$32, 19.6608, 19.6585) * CHOOSE(CONTROL!$C$15, $D$11, 100%, $F$11)</f>
        <v>19.660799999999998</v>
      </c>
      <c r="K693" s="4"/>
      <c r="L693" s="9">
        <v>30.7165</v>
      </c>
      <c r="M693" s="9">
        <v>12.063700000000001</v>
      </c>
      <c r="N693" s="9">
        <v>4.9444999999999997</v>
      </c>
      <c r="O693" s="9">
        <v>0.37409999999999999</v>
      </c>
      <c r="P693" s="9">
        <v>1.2183999999999999</v>
      </c>
      <c r="Q693" s="9">
        <v>19.688099999999999</v>
      </c>
      <c r="R693" s="9"/>
      <c r="S693" s="11"/>
    </row>
    <row r="694" spans="1:19" ht="15.75">
      <c r="A694" s="13">
        <v>62639</v>
      </c>
      <c r="B694" s="8">
        <f>CHOOSE( CONTROL!$C$32, 20.1636, 20.1612) * CHOOSE(CONTROL!$C$15, $D$11, 100%, $F$11)</f>
        <v>20.163599999999999</v>
      </c>
      <c r="C694" s="8">
        <f>CHOOSE( CONTROL!$C$32, 20.1742, 20.1718) * CHOOSE(CONTROL!$C$15, $D$11, 100%, $F$11)</f>
        <v>20.174199999999999</v>
      </c>
      <c r="D694" s="8">
        <f>CHOOSE( CONTROL!$C$32, 20.2102, 20.2078) * CHOOSE( CONTROL!$C$15, $D$11, 100%, $F$11)</f>
        <v>20.2102</v>
      </c>
      <c r="E694" s="12">
        <f>CHOOSE( CONTROL!$C$32, 20.1955, 20.1931) * CHOOSE( CONTROL!$C$15, $D$11, 100%, $F$11)</f>
        <v>20.195499999999999</v>
      </c>
      <c r="F694" s="4">
        <f>CHOOSE( CONTROL!$C$32, 20.903, 20.9006) * CHOOSE(CONTROL!$C$15, $D$11, 100%, $F$11)</f>
        <v>20.902999999999999</v>
      </c>
      <c r="G694" s="8">
        <f>CHOOSE( CONTROL!$C$32, 19.7061, 19.7037) * CHOOSE( CONTROL!$C$15, $D$11, 100%, $F$11)</f>
        <v>19.706099999999999</v>
      </c>
      <c r="H694" s="4">
        <f>CHOOSE( CONTROL!$C$32, 20.6709, 20.6686) * CHOOSE(CONTROL!$C$15, $D$11, 100%, $F$11)</f>
        <v>20.6709</v>
      </c>
      <c r="I694" s="8">
        <f>CHOOSE( CONTROL!$C$32, 19.4646, 19.4623) * CHOOSE(CONTROL!$C$15, $D$11, 100%, $F$11)</f>
        <v>19.464600000000001</v>
      </c>
      <c r="J694" s="4">
        <f>CHOOSE( CONTROL!$C$32, 19.3448, 19.3425) * CHOOSE(CONTROL!$C$15, $D$11, 100%, $F$11)</f>
        <v>19.344799999999999</v>
      </c>
      <c r="K694" s="4"/>
      <c r="L694" s="9">
        <v>29.7257</v>
      </c>
      <c r="M694" s="9">
        <v>11.6745</v>
      </c>
      <c r="N694" s="9">
        <v>4.7850000000000001</v>
      </c>
      <c r="O694" s="9">
        <v>0.36199999999999999</v>
      </c>
      <c r="P694" s="9">
        <v>1.1791</v>
      </c>
      <c r="Q694" s="9">
        <v>19.053000000000001</v>
      </c>
      <c r="R694" s="9"/>
      <c r="S694" s="11"/>
    </row>
    <row r="695" spans="1:19" ht="15.75">
      <c r="A695" s="13">
        <v>62670</v>
      </c>
      <c r="B695" s="8">
        <f>CHOOSE( CONTROL!$C$32, 21.0305, 21.0281) * CHOOSE(CONTROL!$C$15, $D$11, 100%, $F$11)</f>
        <v>21.0305</v>
      </c>
      <c r="C695" s="8">
        <f>CHOOSE( CONTROL!$C$32, 21.0411, 21.0387) * CHOOSE(CONTROL!$C$15, $D$11, 100%, $F$11)</f>
        <v>21.0411</v>
      </c>
      <c r="D695" s="8">
        <f>CHOOSE( CONTROL!$C$32, 21.0773, 21.0749) * CHOOSE( CONTROL!$C$15, $D$11, 100%, $F$11)</f>
        <v>21.077300000000001</v>
      </c>
      <c r="E695" s="12">
        <f>CHOOSE( CONTROL!$C$32, 21.0626, 21.0602) * CHOOSE( CONTROL!$C$15, $D$11, 100%, $F$11)</f>
        <v>21.0626</v>
      </c>
      <c r="F695" s="4">
        <f>CHOOSE( CONTROL!$C$32, 21.7699, 21.7675) * CHOOSE(CONTROL!$C$15, $D$11, 100%, $F$11)</f>
        <v>21.7699</v>
      </c>
      <c r="G695" s="8">
        <f>CHOOSE( CONTROL!$C$32, 20.5539, 20.5516) * CHOOSE( CONTROL!$C$15, $D$11, 100%, $F$11)</f>
        <v>20.553899999999999</v>
      </c>
      <c r="H695" s="4">
        <f>CHOOSE( CONTROL!$C$32, 21.5185, 21.5162) * CHOOSE(CONTROL!$C$15, $D$11, 100%, $F$11)</f>
        <v>21.5185</v>
      </c>
      <c r="I695" s="8">
        <f>CHOOSE( CONTROL!$C$32, 20.2983, 20.296) * CHOOSE(CONTROL!$C$15, $D$11, 100%, $F$11)</f>
        <v>20.298300000000001</v>
      </c>
      <c r="J695" s="4">
        <f>CHOOSE( CONTROL!$C$32, 20.1771, 20.1748) * CHOOSE(CONTROL!$C$15, $D$11, 100%, $F$11)</f>
        <v>20.177099999999999</v>
      </c>
      <c r="K695" s="4"/>
      <c r="L695" s="9">
        <v>30.7165</v>
      </c>
      <c r="M695" s="9">
        <v>12.063700000000001</v>
      </c>
      <c r="N695" s="9">
        <v>4.9444999999999997</v>
      </c>
      <c r="O695" s="9">
        <v>0.37409999999999999</v>
      </c>
      <c r="P695" s="9">
        <v>1.2183999999999999</v>
      </c>
      <c r="Q695" s="9">
        <v>19.688099999999999</v>
      </c>
      <c r="R695" s="9"/>
      <c r="S695" s="11"/>
    </row>
    <row r="696" spans="1:19" ht="15.75">
      <c r="A696" s="13">
        <v>62701</v>
      </c>
      <c r="B696" s="8">
        <f>CHOOSE( CONTROL!$C$32, 19.4084, 19.4061) * CHOOSE(CONTROL!$C$15, $D$11, 100%, $F$11)</f>
        <v>19.4084</v>
      </c>
      <c r="C696" s="8">
        <f>CHOOSE( CONTROL!$C$32, 19.419, 19.4166) * CHOOSE(CONTROL!$C$15, $D$11, 100%, $F$11)</f>
        <v>19.419</v>
      </c>
      <c r="D696" s="8">
        <f>CHOOSE( CONTROL!$C$32, 19.4553, 19.4529) * CHOOSE( CONTROL!$C$15, $D$11, 100%, $F$11)</f>
        <v>19.455300000000001</v>
      </c>
      <c r="E696" s="12">
        <f>CHOOSE( CONTROL!$C$32, 19.4405, 19.4381) * CHOOSE( CONTROL!$C$15, $D$11, 100%, $F$11)</f>
        <v>19.4405</v>
      </c>
      <c r="F696" s="4">
        <f>CHOOSE( CONTROL!$C$32, 20.1478, 20.1454) * CHOOSE(CONTROL!$C$15, $D$11, 100%, $F$11)</f>
        <v>20.1478</v>
      </c>
      <c r="G696" s="8">
        <f>CHOOSE( CONTROL!$C$32, 18.9681, 18.9658) * CHOOSE( CONTROL!$C$15, $D$11, 100%, $F$11)</f>
        <v>18.9681</v>
      </c>
      <c r="H696" s="4">
        <f>CHOOSE( CONTROL!$C$32, 19.9326, 19.9303) * CHOOSE(CONTROL!$C$15, $D$11, 100%, $F$11)</f>
        <v>19.932600000000001</v>
      </c>
      <c r="I696" s="8">
        <f>CHOOSE( CONTROL!$C$32, 18.7404, 18.7381) * CHOOSE(CONTROL!$C$15, $D$11, 100%, $F$11)</f>
        <v>18.740400000000001</v>
      </c>
      <c r="J696" s="4">
        <f>CHOOSE( CONTROL!$C$32, 18.6197, 18.6174) * CHOOSE(CONTROL!$C$15, $D$11, 100%, $F$11)</f>
        <v>18.619700000000002</v>
      </c>
      <c r="K696" s="4"/>
      <c r="L696" s="9">
        <v>30.7165</v>
      </c>
      <c r="M696" s="9">
        <v>12.063700000000001</v>
      </c>
      <c r="N696" s="9">
        <v>4.9444999999999997</v>
      </c>
      <c r="O696" s="9">
        <v>0.37409999999999999</v>
      </c>
      <c r="P696" s="9">
        <v>1.2183999999999999</v>
      </c>
      <c r="Q696" s="9">
        <v>19.688099999999999</v>
      </c>
      <c r="R696" s="9"/>
      <c r="S696" s="11"/>
    </row>
    <row r="697" spans="1:19" ht="15.75">
      <c r="A697" s="13">
        <v>62731</v>
      </c>
      <c r="B697" s="8">
        <f>CHOOSE( CONTROL!$C$32, 19.0023, 18.9999) * CHOOSE(CONTROL!$C$15, $D$11, 100%, $F$11)</f>
        <v>19.002300000000002</v>
      </c>
      <c r="C697" s="8">
        <f>CHOOSE( CONTROL!$C$32, 19.0128, 19.0104) * CHOOSE(CONTROL!$C$15, $D$11, 100%, $F$11)</f>
        <v>19.012799999999999</v>
      </c>
      <c r="D697" s="8">
        <f>CHOOSE( CONTROL!$C$32, 19.0491, 19.0467) * CHOOSE( CONTROL!$C$15, $D$11, 100%, $F$11)</f>
        <v>19.049099999999999</v>
      </c>
      <c r="E697" s="12">
        <f>CHOOSE( CONTROL!$C$32, 19.0343, 19.0319) * CHOOSE( CONTROL!$C$15, $D$11, 100%, $F$11)</f>
        <v>19.034300000000002</v>
      </c>
      <c r="F697" s="4">
        <f>CHOOSE( CONTROL!$C$32, 19.7416, 19.7392) * CHOOSE(CONTROL!$C$15, $D$11, 100%, $F$11)</f>
        <v>19.741599999999998</v>
      </c>
      <c r="G697" s="8">
        <f>CHOOSE( CONTROL!$C$32, 18.5709, 18.5686) * CHOOSE( CONTROL!$C$15, $D$11, 100%, $F$11)</f>
        <v>18.570900000000002</v>
      </c>
      <c r="H697" s="4">
        <f>CHOOSE( CONTROL!$C$32, 19.5355, 19.5332) * CHOOSE(CONTROL!$C$15, $D$11, 100%, $F$11)</f>
        <v>19.535499999999999</v>
      </c>
      <c r="I697" s="8">
        <f>CHOOSE( CONTROL!$C$32, 18.35, 18.3477) * CHOOSE(CONTROL!$C$15, $D$11, 100%, $F$11)</f>
        <v>18.350000000000001</v>
      </c>
      <c r="J697" s="4">
        <f>CHOOSE( CONTROL!$C$32, 18.2297, 18.2274) * CHOOSE(CONTROL!$C$15, $D$11, 100%, $F$11)</f>
        <v>18.229700000000001</v>
      </c>
      <c r="K697" s="4"/>
      <c r="L697" s="9">
        <v>29.7257</v>
      </c>
      <c r="M697" s="9">
        <v>11.6745</v>
      </c>
      <c r="N697" s="9">
        <v>4.7850000000000001</v>
      </c>
      <c r="O697" s="9">
        <v>0.36199999999999999</v>
      </c>
      <c r="P697" s="9">
        <v>1.1791</v>
      </c>
      <c r="Q697" s="9">
        <v>19.053000000000001</v>
      </c>
      <c r="R697" s="9"/>
      <c r="S697" s="11"/>
    </row>
    <row r="698" spans="1:19" ht="15.75">
      <c r="A698" s="13">
        <v>62762</v>
      </c>
      <c r="B698" s="8">
        <f>19.8434 * CHOOSE(CONTROL!$C$15, $D$11, 100%, $F$11)</f>
        <v>19.843399999999999</v>
      </c>
      <c r="C698" s="8">
        <f>19.8541 * CHOOSE(CONTROL!$C$15, $D$11, 100%, $F$11)</f>
        <v>19.854099999999999</v>
      </c>
      <c r="D698" s="8">
        <f>19.8917 * CHOOSE( CONTROL!$C$15, $D$11, 100%, $F$11)</f>
        <v>19.8917</v>
      </c>
      <c r="E698" s="12">
        <f>19.8781 * CHOOSE( CONTROL!$C$15, $D$11, 100%, $F$11)</f>
        <v>19.8781</v>
      </c>
      <c r="F698" s="4">
        <f>20.5826 * CHOOSE(CONTROL!$C$15, $D$11, 100%, $F$11)</f>
        <v>20.582599999999999</v>
      </c>
      <c r="G698" s="8">
        <f>19.3929 * CHOOSE( CONTROL!$C$15, $D$11, 100%, $F$11)</f>
        <v>19.392900000000001</v>
      </c>
      <c r="H698" s="4">
        <f>20.3577 * CHOOSE(CONTROL!$C$15, $D$11, 100%, $F$11)</f>
        <v>20.357700000000001</v>
      </c>
      <c r="I698" s="8">
        <f>19.1586 * CHOOSE(CONTROL!$C$15, $D$11, 100%, $F$11)</f>
        <v>19.1586</v>
      </c>
      <c r="J698" s="4">
        <f>19.0372 * CHOOSE(CONTROL!$C$15, $D$11, 100%, $F$11)</f>
        <v>19.037199999999999</v>
      </c>
      <c r="K698" s="4"/>
      <c r="L698" s="9">
        <v>31.095300000000002</v>
      </c>
      <c r="M698" s="9">
        <v>12.063700000000001</v>
      </c>
      <c r="N698" s="9">
        <v>4.9444999999999997</v>
      </c>
      <c r="O698" s="9">
        <v>0.37409999999999999</v>
      </c>
      <c r="P698" s="9">
        <v>1.2183999999999999</v>
      </c>
      <c r="Q698" s="9">
        <v>19.688099999999999</v>
      </c>
      <c r="R698" s="9"/>
      <c r="S698" s="11"/>
    </row>
    <row r="699" spans="1:19" ht="15.75">
      <c r="A699" s="13">
        <v>62792</v>
      </c>
      <c r="B699" s="8">
        <f>21.4001 * CHOOSE(CONTROL!$C$15, $D$11, 100%, $F$11)</f>
        <v>21.400099999999998</v>
      </c>
      <c r="C699" s="8">
        <f>21.4109 * CHOOSE(CONTROL!$C$15, $D$11, 100%, $F$11)</f>
        <v>21.410900000000002</v>
      </c>
      <c r="D699" s="8">
        <f>21.3936 * CHOOSE( CONTROL!$C$15, $D$11, 100%, $F$11)</f>
        <v>21.393599999999999</v>
      </c>
      <c r="E699" s="12">
        <f>21.3988 * CHOOSE( CONTROL!$C$15, $D$11, 100%, $F$11)</f>
        <v>21.398800000000001</v>
      </c>
      <c r="F699" s="4">
        <f>22.0586 * CHOOSE(CONTROL!$C$15, $D$11, 100%, $F$11)</f>
        <v>22.058599999999998</v>
      </c>
      <c r="G699" s="8">
        <f>20.9215 * CHOOSE( CONTROL!$C$15, $D$11, 100%, $F$11)</f>
        <v>20.921500000000002</v>
      </c>
      <c r="H699" s="4">
        <f>21.8008 * CHOOSE(CONTROL!$C$15, $D$11, 100%, $F$11)</f>
        <v>21.800799999999999</v>
      </c>
      <c r="I699" s="8">
        <f>20.6911 * CHOOSE(CONTROL!$C$15, $D$11, 100%, $F$11)</f>
        <v>20.691099999999999</v>
      </c>
      <c r="J699" s="4">
        <f>20.5318 * CHOOSE(CONTROL!$C$15, $D$11, 100%, $F$11)</f>
        <v>20.5318</v>
      </c>
      <c r="K699" s="4"/>
      <c r="L699" s="9">
        <v>28.360600000000002</v>
      </c>
      <c r="M699" s="9">
        <v>11.6745</v>
      </c>
      <c r="N699" s="9">
        <v>4.7850000000000001</v>
      </c>
      <c r="O699" s="9">
        <v>0.36199999999999999</v>
      </c>
      <c r="P699" s="9">
        <v>1.2509999999999999</v>
      </c>
      <c r="Q699" s="9">
        <v>19.053000000000001</v>
      </c>
      <c r="R699" s="9"/>
      <c r="S699" s="11"/>
    </row>
    <row r="700" spans="1:19" ht="15.75">
      <c r="A700" s="13">
        <v>62823</v>
      </c>
      <c r="B700" s="8">
        <f>21.3612 * CHOOSE(CONTROL!$C$15, $D$11, 100%, $F$11)</f>
        <v>21.3612</v>
      </c>
      <c r="C700" s="8">
        <f>21.372 * CHOOSE(CONTROL!$C$15, $D$11, 100%, $F$11)</f>
        <v>21.372</v>
      </c>
      <c r="D700" s="8">
        <f>21.3564 * CHOOSE( CONTROL!$C$15, $D$11, 100%, $F$11)</f>
        <v>21.356400000000001</v>
      </c>
      <c r="E700" s="12">
        <f>21.361 * CHOOSE( CONTROL!$C$15, $D$11, 100%, $F$11)</f>
        <v>21.361000000000001</v>
      </c>
      <c r="F700" s="4">
        <f>22.0197 * CHOOSE(CONTROL!$C$15, $D$11, 100%, $F$11)</f>
        <v>22.0197</v>
      </c>
      <c r="G700" s="8">
        <f>20.8847 * CHOOSE( CONTROL!$C$15, $D$11, 100%, $F$11)</f>
        <v>20.884699999999999</v>
      </c>
      <c r="H700" s="4">
        <f>21.7628 * CHOOSE(CONTROL!$C$15, $D$11, 100%, $F$11)</f>
        <v>21.762799999999999</v>
      </c>
      <c r="I700" s="8">
        <f>20.6589 * CHOOSE(CONTROL!$C$15, $D$11, 100%, $F$11)</f>
        <v>20.658899999999999</v>
      </c>
      <c r="J700" s="4">
        <f>20.4944 * CHOOSE(CONTROL!$C$15, $D$11, 100%, $F$11)</f>
        <v>20.494399999999999</v>
      </c>
      <c r="K700" s="4"/>
      <c r="L700" s="9">
        <v>29.306000000000001</v>
      </c>
      <c r="M700" s="9">
        <v>12.063700000000001</v>
      </c>
      <c r="N700" s="9">
        <v>4.9444999999999997</v>
      </c>
      <c r="O700" s="9">
        <v>0.37409999999999999</v>
      </c>
      <c r="P700" s="9">
        <v>1.2927</v>
      </c>
      <c r="Q700" s="9">
        <v>19.688099999999999</v>
      </c>
      <c r="R700" s="9"/>
      <c r="S700" s="11"/>
    </row>
    <row r="701" spans="1:19" ht="15.75">
      <c r="A701" s="13">
        <v>62854</v>
      </c>
      <c r="B701" s="8">
        <f>21.9908 * CHOOSE(CONTROL!$C$15, $D$11, 100%, $F$11)</f>
        <v>21.9908</v>
      </c>
      <c r="C701" s="8">
        <f>22.0016 * CHOOSE(CONTROL!$C$15, $D$11, 100%, $F$11)</f>
        <v>22.0016</v>
      </c>
      <c r="D701" s="8">
        <f>21.983 * CHOOSE( CONTROL!$C$15, $D$11, 100%, $F$11)</f>
        <v>21.983000000000001</v>
      </c>
      <c r="E701" s="12">
        <f>21.9887 * CHOOSE( CONTROL!$C$15, $D$11, 100%, $F$11)</f>
        <v>21.988700000000001</v>
      </c>
      <c r="F701" s="4">
        <f>22.6493 * CHOOSE(CONTROL!$C$15, $D$11, 100%, $F$11)</f>
        <v>22.6493</v>
      </c>
      <c r="G701" s="8">
        <f>21.4928 * CHOOSE( CONTROL!$C$15, $D$11, 100%, $F$11)</f>
        <v>21.492799999999999</v>
      </c>
      <c r="H701" s="4">
        <f>22.3784 * CHOOSE(CONTROL!$C$15, $D$11, 100%, $F$11)</f>
        <v>22.378399999999999</v>
      </c>
      <c r="I701" s="8">
        <f>21.2286 * CHOOSE(CONTROL!$C$15, $D$11, 100%, $F$11)</f>
        <v>21.2286</v>
      </c>
      <c r="J701" s="4">
        <f>21.0989 * CHOOSE(CONTROL!$C$15, $D$11, 100%, $F$11)</f>
        <v>21.0989</v>
      </c>
      <c r="K701" s="4"/>
      <c r="L701" s="9">
        <v>29.306000000000001</v>
      </c>
      <c r="M701" s="9">
        <v>12.063700000000001</v>
      </c>
      <c r="N701" s="9">
        <v>4.9444999999999997</v>
      </c>
      <c r="O701" s="9">
        <v>0.37409999999999999</v>
      </c>
      <c r="P701" s="9">
        <v>1.2927</v>
      </c>
      <c r="Q701" s="9">
        <v>19.688099999999999</v>
      </c>
      <c r="R701" s="9"/>
      <c r="S701" s="11"/>
    </row>
    <row r="702" spans="1:19" ht="15.75">
      <c r="A702" s="13">
        <v>62883</v>
      </c>
      <c r="B702" s="8">
        <f>20.5701 * CHOOSE(CONTROL!$C$15, $D$11, 100%, $F$11)</f>
        <v>20.5701</v>
      </c>
      <c r="C702" s="8">
        <f>20.5809 * CHOOSE(CONTROL!$C$15, $D$11, 100%, $F$11)</f>
        <v>20.5809</v>
      </c>
      <c r="D702" s="8">
        <f>20.5622 * CHOOSE( CONTROL!$C$15, $D$11, 100%, $F$11)</f>
        <v>20.562200000000001</v>
      </c>
      <c r="E702" s="12">
        <f>20.5679 * CHOOSE( CONTROL!$C$15, $D$11, 100%, $F$11)</f>
        <v>20.567900000000002</v>
      </c>
      <c r="F702" s="4">
        <f>21.2286 * CHOOSE(CONTROL!$C$15, $D$11, 100%, $F$11)</f>
        <v>21.2286</v>
      </c>
      <c r="G702" s="8">
        <f>20.1037 * CHOOSE( CONTROL!$C$15, $D$11, 100%, $F$11)</f>
        <v>20.1037</v>
      </c>
      <c r="H702" s="4">
        <f>20.9894 * CHOOSE(CONTROL!$C$15, $D$11, 100%, $F$11)</f>
        <v>20.9894</v>
      </c>
      <c r="I702" s="8">
        <f>19.8636 * CHOOSE(CONTROL!$C$15, $D$11, 100%, $F$11)</f>
        <v>19.863600000000002</v>
      </c>
      <c r="J702" s="4">
        <f>19.7349 * CHOOSE(CONTROL!$C$15, $D$11, 100%, $F$11)</f>
        <v>19.7349</v>
      </c>
      <c r="K702" s="4"/>
      <c r="L702" s="9">
        <v>27.415299999999998</v>
      </c>
      <c r="M702" s="9">
        <v>11.285299999999999</v>
      </c>
      <c r="N702" s="9">
        <v>4.6254999999999997</v>
      </c>
      <c r="O702" s="9">
        <v>0.34989999999999999</v>
      </c>
      <c r="P702" s="9">
        <v>1.2093</v>
      </c>
      <c r="Q702" s="9">
        <v>18.417899999999999</v>
      </c>
      <c r="R702" s="9"/>
      <c r="S702" s="11"/>
    </row>
    <row r="703" spans="1:19" ht="15.75">
      <c r="A703" s="13">
        <v>62914</v>
      </c>
      <c r="B703" s="8">
        <f>20.1326 * CHOOSE(CONTROL!$C$15, $D$11, 100%, $F$11)</f>
        <v>20.1326</v>
      </c>
      <c r="C703" s="8">
        <f>20.1433 * CHOOSE(CONTROL!$C$15, $D$11, 100%, $F$11)</f>
        <v>20.1433</v>
      </c>
      <c r="D703" s="8">
        <f>20.1241 * CHOOSE( CONTROL!$C$15, $D$11, 100%, $F$11)</f>
        <v>20.124099999999999</v>
      </c>
      <c r="E703" s="12">
        <f>20.13 * CHOOSE( CONTROL!$C$15, $D$11, 100%, $F$11)</f>
        <v>20.13</v>
      </c>
      <c r="F703" s="4">
        <f>20.7911 * CHOOSE(CONTROL!$C$15, $D$11, 100%, $F$11)</f>
        <v>20.7911</v>
      </c>
      <c r="G703" s="8">
        <f>19.6755 * CHOOSE( CONTROL!$C$15, $D$11, 100%, $F$11)</f>
        <v>19.6755</v>
      </c>
      <c r="H703" s="4">
        <f>20.5615 * CHOOSE(CONTROL!$C$15, $D$11, 100%, $F$11)</f>
        <v>20.561499999999999</v>
      </c>
      <c r="I703" s="8">
        <f>19.4418 * CHOOSE(CONTROL!$C$15, $D$11, 100%, $F$11)</f>
        <v>19.441800000000001</v>
      </c>
      <c r="J703" s="4">
        <f>19.3148 * CHOOSE(CONTROL!$C$15, $D$11, 100%, $F$11)</f>
        <v>19.314800000000002</v>
      </c>
      <c r="K703" s="4"/>
      <c r="L703" s="9">
        <v>29.306000000000001</v>
      </c>
      <c r="M703" s="9">
        <v>12.063700000000001</v>
      </c>
      <c r="N703" s="9">
        <v>4.9444999999999997</v>
      </c>
      <c r="O703" s="9">
        <v>0.37409999999999999</v>
      </c>
      <c r="P703" s="9">
        <v>1.2927</v>
      </c>
      <c r="Q703" s="9">
        <v>19.688099999999999</v>
      </c>
      <c r="R703" s="9"/>
      <c r="S703" s="11"/>
    </row>
    <row r="704" spans="1:19" ht="15.75">
      <c r="A704" s="13">
        <v>62944</v>
      </c>
      <c r="B704" s="8">
        <f>20.4383 * CHOOSE(CONTROL!$C$15, $D$11, 100%, $F$11)</f>
        <v>20.438300000000002</v>
      </c>
      <c r="C704" s="8">
        <f>20.4491 * CHOOSE(CONTROL!$C$15, $D$11, 100%, $F$11)</f>
        <v>20.449100000000001</v>
      </c>
      <c r="D704" s="8">
        <f>20.486 * CHOOSE( CONTROL!$C$15, $D$11, 100%, $F$11)</f>
        <v>20.486000000000001</v>
      </c>
      <c r="E704" s="12">
        <f>20.4726 * CHOOSE( CONTROL!$C$15, $D$11, 100%, $F$11)</f>
        <v>20.4726</v>
      </c>
      <c r="F704" s="4">
        <f>21.1776 * CHOOSE(CONTROL!$C$15, $D$11, 100%, $F$11)</f>
        <v>21.177600000000002</v>
      </c>
      <c r="G704" s="8">
        <f>19.9737 * CHOOSE( CONTROL!$C$15, $D$11, 100%, $F$11)</f>
        <v>19.973700000000001</v>
      </c>
      <c r="H704" s="4">
        <f>20.9394 * CHOOSE(CONTROL!$C$15, $D$11, 100%, $F$11)</f>
        <v>20.939399999999999</v>
      </c>
      <c r="I704" s="8">
        <f>19.7274 * CHOOSE(CONTROL!$C$15, $D$11, 100%, $F$11)</f>
        <v>19.727399999999999</v>
      </c>
      <c r="J704" s="4">
        <f>19.6084 * CHOOSE(CONTROL!$C$15, $D$11, 100%, $F$11)</f>
        <v>19.6084</v>
      </c>
      <c r="K704" s="4"/>
      <c r="L704" s="9">
        <v>30.092199999999998</v>
      </c>
      <c r="M704" s="9">
        <v>11.6745</v>
      </c>
      <c r="N704" s="9">
        <v>4.7850000000000001</v>
      </c>
      <c r="O704" s="9">
        <v>0.36199999999999999</v>
      </c>
      <c r="P704" s="9">
        <v>1.1791</v>
      </c>
      <c r="Q704" s="9">
        <v>19.053000000000001</v>
      </c>
      <c r="R704" s="9"/>
      <c r="S704" s="11"/>
    </row>
    <row r="705" spans="1:19" ht="15.75">
      <c r="A705" s="13">
        <v>62975</v>
      </c>
      <c r="B705" s="8">
        <f>CHOOSE( CONTROL!$C$32, 20.9848, 20.9824) * CHOOSE(CONTROL!$C$15, $D$11, 100%, $F$11)</f>
        <v>20.9848</v>
      </c>
      <c r="C705" s="8">
        <f>CHOOSE( CONTROL!$C$32, 20.9954, 20.993) * CHOOSE(CONTROL!$C$15, $D$11, 100%, $F$11)</f>
        <v>20.9954</v>
      </c>
      <c r="D705" s="8">
        <f>CHOOSE( CONTROL!$C$32, 21.0312, 21.0288) * CHOOSE( CONTROL!$C$15, $D$11, 100%, $F$11)</f>
        <v>21.031199999999998</v>
      </c>
      <c r="E705" s="12">
        <f>CHOOSE( CONTROL!$C$32, 21.0166, 21.0142) * CHOOSE( CONTROL!$C$15, $D$11, 100%, $F$11)</f>
        <v>21.0166</v>
      </c>
      <c r="F705" s="4">
        <f>CHOOSE( CONTROL!$C$32, 21.7241, 21.7218) * CHOOSE(CONTROL!$C$15, $D$11, 100%, $F$11)</f>
        <v>21.7241</v>
      </c>
      <c r="G705" s="8">
        <f>CHOOSE( CONTROL!$C$32, 20.5086, 20.5063) * CHOOSE( CONTROL!$C$15, $D$11, 100%, $F$11)</f>
        <v>20.508600000000001</v>
      </c>
      <c r="H705" s="4">
        <f>CHOOSE( CONTROL!$C$32, 21.4738, 21.4715) * CHOOSE(CONTROL!$C$15, $D$11, 100%, $F$11)</f>
        <v>21.473800000000001</v>
      </c>
      <c r="I705" s="8">
        <f>CHOOSE( CONTROL!$C$32, 20.2525, 20.2502) * CHOOSE(CONTROL!$C$15, $D$11, 100%, $F$11)</f>
        <v>20.252500000000001</v>
      </c>
      <c r="J705" s="4">
        <f>CHOOSE( CONTROL!$C$32, 20.1332, 20.1309) * CHOOSE(CONTROL!$C$15, $D$11, 100%, $F$11)</f>
        <v>20.133199999999999</v>
      </c>
      <c r="K705" s="4"/>
      <c r="L705" s="9">
        <v>30.7165</v>
      </c>
      <c r="M705" s="9">
        <v>12.063700000000001</v>
      </c>
      <c r="N705" s="9">
        <v>4.9444999999999997</v>
      </c>
      <c r="O705" s="9">
        <v>0.37409999999999999</v>
      </c>
      <c r="P705" s="9">
        <v>1.2183999999999999</v>
      </c>
      <c r="Q705" s="9">
        <v>19.688099999999999</v>
      </c>
      <c r="R705" s="9"/>
      <c r="S705" s="11"/>
    </row>
    <row r="706" spans="1:19" ht="15.75">
      <c r="A706" s="13">
        <v>63005</v>
      </c>
      <c r="B706" s="8">
        <f>CHOOSE( CONTROL!$C$32, 20.6477, 20.6453) * CHOOSE(CONTROL!$C$15, $D$11, 100%, $F$11)</f>
        <v>20.6477</v>
      </c>
      <c r="C706" s="8">
        <f>CHOOSE( CONTROL!$C$32, 20.6582, 20.6559) * CHOOSE(CONTROL!$C$15, $D$11, 100%, $F$11)</f>
        <v>20.658200000000001</v>
      </c>
      <c r="D706" s="8">
        <f>CHOOSE( CONTROL!$C$32, 20.6943, 20.6919) * CHOOSE( CONTROL!$C$15, $D$11, 100%, $F$11)</f>
        <v>20.694299999999998</v>
      </c>
      <c r="E706" s="12">
        <f>CHOOSE( CONTROL!$C$32, 20.6796, 20.6772) * CHOOSE( CONTROL!$C$15, $D$11, 100%, $F$11)</f>
        <v>20.679600000000001</v>
      </c>
      <c r="F706" s="4">
        <f>CHOOSE( CONTROL!$C$32, 21.387, 21.3846) * CHOOSE(CONTROL!$C$15, $D$11, 100%, $F$11)</f>
        <v>21.387</v>
      </c>
      <c r="G706" s="8">
        <f>CHOOSE( CONTROL!$C$32, 20.1793, 20.177) * CHOOSE( CONTROL!$C$15, $D$11, 100%, $F$11)</f>
        <v>20.179300000000001</v>
      </c>
      <c r="H706" s="4">
        <f>CHOOSE( CONTROL!$C$32, 21.1442, 21.1419) * CHOOSE(CONTROL!$C$15, $D$11, 100%, $F$11)</f>
        <v>21.144200000000001</v>
      </c>
      <c r="I706" s="8">
        <f>CHOOSE( CONTROL!$C$32, 19.9296, 19.9273) * CHOOSE(CONTROL!$C$15, $D$11, 100%, $F$11)</f>
        <v>19.929600000000001</v>
      </c>
      <c r="J706" s="4">
        <f>CHOOSE( CONTROL!$C$32, 19.8095, 19.8072) * CHOOSE(CONTROL!$C$15, $D$11, 100%, $F$11)</f>
        <v>19.8095</v>
      </c>
      <c r="K706" s="4"/>
      <c r="L706" s="9">
        <v>29.7257</v>
      </c>
      <c r="M706" s="9">
        <v>11.6745</v>
      </c>
      <c r="N706" s="9">
        <v>4.7850000000000001</v>
      </c>
      <c r="O706" s="9">
        <v>0.36199999999999999</v>
      </c>
      <c r="P706" s="9">
        <v>1.1791</v>
      </c>
      <c r="Q706" s="9">
        <v>19.053000000000001</v>
      </c>
      <c r="R706" s="9"/>
      <c r="S706" s="11"/>
    </row>
    <row r="707" spans="1:19" ht="15.75">
      <c r="A707" s="13">
        <v>63036</v>
      </c>
      <c r="B707" s="8">
        <f>CHOOSE( CONTROL!$C$32, 21.5354, 21.533) * CHOOSE(CONTROL!$C$15, $D$11, 100%, $F$11)</f>
        <v>21.535399999999999</v>
      </c>
      <c r="C707" s="8">
        <f>CHOOSE( CONTROL!$C$32, 21.546, 21.5436) * CHOOSE(CONTROL!$C$15, $D$11, 100%, $F$11)</f>
        <v>21.545999999999999</v>
      </c>
      <c r="D707" s="8">
        <f>CHOOSE( CONTROL!$C$32, 21.5822, 21.5798) * CHOOSE( CONTROL!$C$15, $D$11, 100%, $F$11)</f>
        <v>21.5822</v>
      </c>
      <c r="E707" s="12">
        <f>CHOOSE( CONTROL!$C$32, 21.5675, 21.5651) * CHOOSE( CONTROL!$C$15, $D$11, 100%, $F$11)</f>
        <v>21.567499999999999</v>
      </c>
      <c r="F707" s="4">
        <f>CHOOSE( CONTROL!$C$32, 22.2748, 22.2724) * CHOOSE(CONTROL!$C$15, $D$11, 100%, $F$11)</f>
        <v>22.274799999999999</v>
      </c>
      <c r="G707" s="8">
        <f>CHOOSE( CONTROL!$C$32, 21.0476, 21.0452) * CHOOSE( CONTROL!$C$15, $D$11, 100%, $F$11)</f>
        <v>21.047599999999999</v>
      </c>
      <c r="H707" s="4">
        <f>CHOOSE( CONTROL!$C$32, 22.0121, 22.0098) * CHOOSE(CONTROL!$C$15, $D$11, 100%, $F$11)</f>
        <v>22.0121</v>
      </c>
      <c r="I707" s="8">
        <f>CHOOSE( CONTROL!$C$32, 20.7833, 20.781) * CHOOSE(CONTROL!$C$15, $D$11, 100%, $F$11)</f>
        <v>20.783300000000001</v>
      </c>
      <c r="J707" s="4">
        <f>CHOOSE( CONTROL!$C$32, 20.6618, 20.6595) * CHOOSE(CONTROL!$C$15, $D$11, 100%, $F$11)</f>
        <v>20.661799999999999</v>
      </c>
      <c r="K707" s="4"/>
      <c r="L707" s="9">
        <v>30.7165</v>
      </c>
      <c r="M707" s="9">
        <v>12.063700000000001</v>
      </c>
      <c r="N707" s="9">
        <v>4.9444999999999997</v>
      </c>
      <c r="O707" s="9">
        <v>0.37409999999999999</v>
      </c>
      <c r="P707" s="9">
        <v>1.2183999999999999</v>
      </c>
      <c r="Q707" s="9">
        <v>19.688099999999999</v>
      </c>
      <c r="R707" s="9"/>
      <c r="S707" s="11"/>
    </row>
    <row r="708" spans="1:19" ht="15.75">
      <c r="A708" s="13">
        <v>63067</v>
      </c>
      <c r="B708" s="8">
        <f>CHOOSE( CONTROL!$C$32, 19.8744, 19.872) * CHOOSE(CONTROL!$C$15, $D$11, 100%, $F$11)</f>
        <v>19.874400000000001</v>
      </c>
      <c r="C708" s="8">
        <f>CHOOSE( CONTROL!$C$32, 19.8849, 19.8825) * CHOOSE(CONTROL!$C$15, $D$11, 100%, $F$11)</f>
        <v>19.884899999999998</v>
      </c>
      <c r="D708" s="8">
        <f>CHOOSE( CONTROL!$C$32, 19.9212, 19.9188) * CHOOSE( CONTROL!$C$15, $D$11, 100%, $F$11)</f>
        <v>19.921199999999999</v>
      </c>
      <c r="E708" s="12">
        <f>CHOOSE( CONTROL!$C$32, 19.9064, 19.904) * CHOOSE( CONTROL!$C$15, $D$11, 100%, $F$11)</f>
        <v>19.906400000000001</v>
      </c>
      <c r="F708" s="4">
        <f>CHOOSE( CONTROL!$C$32, 20.6137, 20.6113) * CHOOSE(CONTROL!$C$15, $D$11, 100%, $F$11)</f>
        <v>20.613700000000001</v>
      </c>
      <c r="G708" s="8">
        <f>CHOOSE( CONTROL!$C$32, 19.4237, 19.4213) * CHOOSE( CONTROL!$C$15, $D$11, 100%, $F$11)</f>
        <v>19.4237</v>
      </c>
      <c r="H708" s="4">
        <f>CHOOSE( CONTROL!$C$32, 20.3881, 20.3858) * CHOOSE(CONTROL!$C$15, $D$11, 100%, $F$11)</f>
        <v>20.388100000000001</v>
      </c>
      <c r="I708" s="8">
        <f>CHOOSE( CONTROL!$C$32, 19.188, 19.1857) * CHOOSE(CONTROL!$C$15, $D$11, 100%, $F$11)</f>
        <v>19.187999999999999</v>
      </c>
      <c r="J708" s="4">
        <f>CHOOSE( CONTROL!$C$32, 19.0671, 19.0648) * CHOOSE(CONTROL!$C$15, $D$11, 100%, $F$11)</f>
        <v>19.0671</v>
      </c>
      <c r="K708" s="4"/>
      <c r="L708" s="9">
        <v>30.7165</v>
      </c>
      <c r="M708" s="9">
        <v>12.063700000000001</v>
      </c>
      <c r="N708" s="9">
        <v>4.9444999999999997</v>
      </c>
      <c r="O708" s="9">
        <v>0.37409999999999999</v>
      </c>
      <c r="P708" s="9">
        <v>1.2183999999999999</v>
      </c>
      <c r="Q708" s="9">
        <v>19.688099999999999</v>
      </c>
      <c r="R708" s="9"/>
      <c r="S708" s="11"/>
    </row>
    <row r="709" spans="1:19" ht="15.75">
      <c r="A709" s="13">
        <v>63097</v>
      </c>
      <c r="B709" s="8">
        <f>CHOOSE( CONTROL!$C$32, 19.4584, 19.456) * CHOOSE(CONTROL!$C$15, $D$11, 100%, $F$11)</f>
        <v>19.458400000000001</v>
      </c>
      <c r="C709" s="8">
        <f>CHOOSE( CONTROL!$C$32, 19.469, 19.4666) * CHOOSE(CONTROL!$C$15, $D$11, 100%, $F$11)</f>
        <v>19.469000000000001</v>
      </c>
      <c r="D709" s="8">
        <f>CHOOSE( CONTROL!$C$32, 19.5052, 19.5028) * CHOOSE( CONTROL!$C$15, $D$11, 100%, $F$11)</f>
        <v>19.505199999999999</v>
      </c>
      <c r="E709" s="12">
        <f>CHOOSE( CONTROL!$C$32, 19.4905, 19.4881) * CHOOSE( CONTROL!$C$15, $D$11, 100%, $F$11)</f>
        <v>19.490500000000001</v>
      </c>
      <c r="F709" s="4">
        <f>CHOOSE( CONTROL!$C$32, 20.1978, 20.1954) * CHOOSE(CONTROL!$C$15, $D$11, 100%, $F$11)</f>
        <v>20.197800000000001</v>
      </c>
      <c r="G709" s="8">
        <f>CHOOSE( CONTROL!$C$32, 19.0169, 19.0146) * CHOOSE( CONTROL!$C$15, $D$11, 100%, $F$11)</f>
        <v>19.0169</v>
      </c>
      <c r="H709" s="4">
        <f>CHOOSE( CONTROL!$C$32, 19.9815, 19.9791) * CHOOSE(CONTROL!$C$15, $D$11, 100%, $F$11)</f>
        <v>19.9815</v>
      </c>
      <c r="I709" s="8">
        <f>CHOOSE( CONTROL!$C$32, 18.7882, 18.7859) * CHOOSE(CONTROL!$C$15, $D$11, 100%, $F$11)</f>
        <v>18.7882</v>
      </c>
      <c r="J709" s="4">
        <f>CHOOSE( CONTROL!$C$32, 18.6677, 18.6654) * CHOOSE(CONTROL!$C$15, $D$11, 100%, $F$11)</f>
        <v>18.6677</v>
      </c>
      <c r="K709" s="4"/>
      <c r="L709" s="9">
        <v>29.7257</v>
      </c>
      <c r="M709" s="9">
        <v>11.6745</v>
      </c>
      <c r="N709" s="9">
        <v>4.7850000000000001</v>
      </c>
      <c r="O709" s="9">
        <v>0.36199999999999999</v>
      </c>
      <c r="P709" s="9">
        <v>1.1791</v>
      </c>
      <c r="Q709" s="9">
        <v>19.053000000000001</v>
      </c>
      <c r="R709" s="9"/>
      <c r="S709" s="11"/>
    </row>
    <row r="710" spans="1:19" ht="15.75">
      <c r="A710" s="13">
        <v>63128</v>
      </c>
      <c r="B710" s="8">
        <f>20.3198 * CHOOSE(CONTROL!$C$15, $D$11, 100%, $F$11)</f>
        <v>20.319800000000001</v>
      </c>
      <c r="C710" s="8">
        <f>20.3305 * CHOOSE(CONTROL!$C$15, $D$11, 100%, $F$11)</f>
        <v>20.330500000000001</v>
      </c>
      <c r="D710" s="8">
        <f>20.3681 * CHOOSE( CONTROL!$C$15, $D$11, 100%, $F$11)</f>
        <v>20.368099999999998</v>
      </c>
      <c r="E710" s="12">
        <f>20.3545 * CHOOSE( CONTROL!$C$15, $D$11, 100%, $F$11)</f>
        <v>20.354500000000002</v>
      </c>
      <c r="F710" s="4">
        <f>21.059 * CHOOSE(CONTROL!$C$15, $D$11, 100%, $F$11)</f>
        <v>21.059000000000001</v>
      </c>
      <c r="G710" s="8">
        <f>19.8587 * CHOOSE( CONTROL!$C$15, $D$11, 100%, $F$11)</f>
        <v>19.858699999999999</v>
      </c>
      <c r="H710" s="4">
        <f>20.8235 * CHOOSE(CONTROL!$C$15, $D$11, 100%, $F$11)</f>
        <v>20.823499999999999</v>
      </c>
      <c r="I710" s="8">
        <f>19.6162 * CHOOSE(CONTROL!$C$15, $D$11, 100%, $F$11)</f>
        <v>19.616199999999999</v>
      </c>
      <c r="J710" s="4">
        <f>19.4946 * CHOOSE(CONTROL!$C$15, $D$11, 100%, $F$11)</f>
        <v>19.494599999999998</v>
      </c>
      <c r="K710" s="4"/>
      <c r="L710" s="9">
        <v>31.095300000000002</v>
      </c>
      <c r="M710" s="9">
        <v>12.063700000000001</v>
      </c>
      <c r="N710" s="9">
        <v>4.9444999999999997</v>
      </c>
      <c r="O710" s="9">
        <v>0.37409999999999999</v>
      </c>
      <c r="P710" s="9">
        <v>1.2183999999999999</v>
      </c>
      <c r="Q710" s="9">
        <v>19.688099999999999</v>
      </c>
      <c r="R710" s="9"/>
      <c r="S710" s="11"/>
    </row>
    <row r="711" spans="1:19" ht="15.75">
      <c r="A711" s="13">
        <v>63158</v>
      </c>
      <c r="B711" s="8">
        <f>21.9139 * CHOOSE(CONTROL!$C$15, $D$11, 100%, $F$11)</f>
        <v>21.913900000000002</v>
      </c>
      <c r="C711" s="8">
        <f>21.9247 * CHOOSE(CONTROL!$C$15, $D$11, 100%, $F$11)</f>
        <v>21.924700000000001</v>
      </c>
      <c r="D711" s="8">
        <f>21.9074 * CHOOSE( CONTROL!$C$15, $D$11, 100%, $F$11)</f>
        <v>21.907399999999999</v>
      </c>
      <c r="E711" s="12">
        <f>21.9126 * CHOOSE( CONTROL!$C$15, $D$11, 100%, $F$11)</f>
        <v>21.912600000000001</v>
      </c>
      <c r="F711" s="4">
        <f>22.5724 * CHOOSE(CONTROL!$C$15, $D$11, 100%, $F$11)</f>
        <v>22.572399999999998</v>
      </c>
      <c r="G711" s="8">
        <f>21.4239 * CHOOSE( CONTROL!$C$15, $D$11, 100%, $F$11)</f>
        <v>21.4239</v>
      </c>
      <c r="H711" s="4">
        <f>22.3032 * CHOOSE(CONTROL!$C$15, $D$11, 100%, $F$11)</f>
        <v>22.3032</v>
      </c>
      <c r="I711" s="8">
        <f>21.1846 * CHOOSE(CONTROL!$C$15, $D$11, 100%, $F$11)</f>
        <v>21.1846</v>
      </c>
      <c r="J711" s="4">
        <f>21.0251 * CHOOSE(CONTROL!$C$15, $D$11, 100%, $F$11)</f>
        <v>21.025099999999998</v>
      </c>
      <c r="K711" s="4"/>
      <c r="L711" s="9">
        <v>28.360600000000002</v>
      </c>
      <c r="M711" s="9">
        <v>11.6745</v>
      </c>
      <c r="N711" s="9">
        <v>4.7850000000000001</v>
      </c>
      <c r="O711" s="9">
        <v>0.36199999999999999</v>
      </c>
      <c r="P711" s="9">
        <v>1.2509999999999999</v>
      </c>
      <c r="Q711" s="9">
        <v>19.053000000000001</v>
      </c>
      <c r="R711" s="9"/>
      <c r="S711" s="11"/>
    </row>
    <row r="712" spans="1:19" ht="15.75">
      <c r="A712" s="13">
        <v>63189</v>
      </c>
      <c r="B712" s="8">
        <f>21.8741 * CHOOSE(CONTROL!$C$15, $D$11, 100%, $F$11)</f>
        <v>21.874099999999999</v>
      </c>
      <c r="C712" s="8">
        <f>21.8849 * CHOOSE(CONTROL!$C$15, $D$11, 100%, $F$11)</f>
        <v>21.884899999999998</v>
      </c>
      <c r="D712" s="8">
        <f>21.8693 * CHOOSE( CONTROL!$C$15, $D$11, 100%, $F$11)</f>
        <v>21.869299999999999</v>
      </c>
      <c r="E712" s="12">
        <f>21.8739 * CHOOSE( CONTROL!$C$15, $D$11, 100%, $F$11)</f>
        <v>21.873899999999999</v>
      </c>
      <c r="F712" s="4">
        <f>22.5326 * CHOOSE(CONTROL!$C$15, $D$11, 100%, $F$11)</f>
        <v>22.532599999999999</v>
      </c>
      <c r="G712" s="8">
        <f>21.3862 * CHOOSE( CONTROL!$C$15, $D$11, 100%, $F$11)</f>
        <v>21.386199999999999</v>
      </c>
      <c r="H712" s="4">
        <f>22.2642 * CHOOSE(CONTROL!$C$15, $D$11, 100%, $F$11)</f>
        <v>22.264199999999999</v>
      </c>
      <c r="I712" s="8">
        <f>21.1516 * CHOOSE(CONTROL!$C$15, $D$11, 100%, $F$11)</f>
        <v>21.151599999999998</v>
      </c>
      <c r="J712" s="4">
        <f>20.9869 * CHOOSE(CONTROL!$C$15, $D$11, 100%, $F$11)</f>
        <v>20.986899999999999</v>
      </c>
      <c r="K712" s="4"/>
      <c r="L712" s="9">
        <v>29.306000000000001</v>
      </c>
      <c r="M712" s="9">
        <v>12.063700000000001</v>
      </c>
      <c r="N712" s="9">
        <v>4.9444999999999997</v>
      </c>
      <c r="O712" s="9">
        <v>0.37409999999999999</v>
      </c>
      <c r="P712" s="9">
        <v>1.2927</v>
      </c>
      <c r="Q712" s="9">
        <v>19.688099999999999</v>
      </c>
      <c r="R712" s="9"/>
      <c r="S712" s="11"/>
    </row>
    <row r="713" spans="1:19" ht="15.75">
      <c r="A713" s="13">
        <v>63220</v>
      </c>
      <c r="B713" s="8">
        <f>22.5189 * CHOOSE(CONTROL!$C$15, $D$11, 100%, $F$11)</f>
        <v>22.518899999999999</v>
      </c>
      <c r="C713" s="8">
        <f>22.5296 * CHOOSE(CONTROL!$C$15, $D$11, 100%, $F$11)</f>
        <v>22.529599999999999</v>
      </c>
      <c r="D713" s="8">
        <f>22.511 * CHOOSE( CONTROL!$C$15, $D$11, 100%, $F$11)</f>
        <v>22.510999999999999</v>
      </c>
      <c r="E713" s="12">
        <f>22.5167 * CHOOSE( CONTROL!$C$15, $D$11, 100%, $F$11)</f>
        <v>22.5167</v>
      </c>
      <c r="F713" s="4">
        <f>23.1774 * CHOOSE(CONTROL!$C$15, $D$11, 100%, $F$11)</f>
        <v>23.177399999999999</v>
      </c>
      <c r="G713" s="8">
        <f>22.009 * CHOOSE( CONTROL!$C$15, $D$11, 100%, $F$11)</f>
        <v>22.009</v>
      </c>
      <c r="H713" s="4">
        <f>22.8946 * CHOOSE(CONTROL!$C$15, $D$11, 100%, $F$11)</f>
        <v>22.894600000000001</v>
      </c>
      <c r="I713" s="8">
        <f>21.7358 * CHOOSE(CONTROL!$C$15, $D$11, 100%, $F$11)</f>
        <v>21.735800000000001</v>
      </c>
      <c r="J713" s="4">
        <f>21.6059 * CHOOSE(CONTROL!$C$15, $D$11, 100%, $F$11)</f>
        <v>21.605899999999998</v>
      </c>
      <c r="K713" s="4"/>
      <c r="L713" s="9">
        <v>29.306000000000001</v>
      </c>
      <c r="M713" s="9">
        <v>12.063700000000001</v>
      </c>
      <c r="N713" s="9">
        <v>4.9444999999999997</v>
      </c>
      <c r="O713" s="9">
        <v>0.37409999999999999</v>
      </c>
      <c r="P713" s="9">
        <v>1.2927</v>
      </c>
      <c r="Q713" s="9">
        <v>19.688099999999999</v>
      </c>
      <c r="R713" s="9"/>
      <c r="S713" s="11"/>
    </row>
    <row r="714" spans="1:19" ht="15.75">
      <c r="A714" s="13">
        <v>63248</v>
      </c>
      <c r="B714" s="8">
        <f>21.064 * CHOOSE(CONTROL!$C$15, $D$11, 100%, $F$11)</f>
        <v>21.064</v>
      </c>
      <c r="C714" s="8">
        <f>21.0748 * CHOOSE(CONTROL!$C$15, $D$11, 100%, $F$11)</f>
        <v>21.0748</v>
      </c>
      <c r="D714" s="8">
        <f>21.0561 * CHOOSE( CONTROL!$C$15, $D$11, 100%, $F$11)</f>
        <v>21.056100000000001</v>
      </c>
      <c r="E714" s="12">
        <f>21.0618 * CHOOSE( CONTROL!$C$15, $D$11, 100%, $F$11)</f>
        <v>21.061800000000002</v>
      </c>
      <c r="F714" s="4">
        <f>21.7225 * CHOOSE(CONTROL!$C$15, $D$11, 100%, $F$11)</f>
        <v>21.7225</v>
      </c>
      <c r="G714" s="8">
        <f>20.5866 * CHOOSE( CONTROL!$C$15, $D$11, 100%, $F$11)</f>
        <v>20.586600000000001</v>
      </c>
      <c r="H714" s="4">
        <f>21.4722 * CHOOSE(CONTROL!$C$15, $D$11, 100%, $F$11)</f>
        <v>21.472200000000001</v>
      </c>
      <c r="I714" s="8">
        <f>20.338 * CHOOSE(CONTROL!$C$15, $D$11, 100%, $F$11)</f>
        <v>20.338000000000001</v>
      </c>
      <c r="J714" s="4">
        <f>20.2091 * CHOOSE(CONTROL!$C$15, $D$11, 100%, $F$11)</f>
        <v>20.209099999999999</v>
      </c>
      <c r="K714" s="4"/>
      <c r="L714" s="9">
        <v>26.469899999999999</v>
      </c>
      <c r="M714" s="9">
        <v>10.8962</v>
      </c>
      <c r="N714" s="9">
        <v>4.4660000000000002</v>
      </c>
      <c r="O714" s="9">
        <v>0.33789999999999998</v>
      </c>
      <c r="P714" s="9">
        <v>1.1676</v>
      </c>
      <c r="Q714" s="9">
        <v>17.782800000000002</v>
      </c>
      <c r="R714" s="9"/>
      <c r="S714" s="11"/>
    </row>
    <row r="715" spans="1:19" ht="15.75">
      <c r="A715" s="13">
        <v>63279</v>
      </c>
      <c r="B715" s="8">
        <f>20.6159 * CHOOSE(CONTROL!$C$15, $D$11, 100%, $F$11)</f>
        <v>20.6159</v>
      </c>
      <c r="C715" s="8">
        <f>20.6267 * CHOOSE(CONTROL!$C$15, $D$11, 100%, $F$11)</f>
        <v>20.6267</v>
      </c>
      <c r="D715" s="8">
        <f>20.6075 * CHOOSE( CONTROL!$C$15, $D$11, 100%, $F$11)</f>
        <v>20.607500000000002</v>
      </c>
      <c r="E715" s="12">
        <f>20.6134 * CHOOSE( CONTROL!$C$15, $D$11, 100%, $F$11)</f>
        <v>20.613399999999999</v>
      </c>
      <c r="F715" s="4">
        <f>21.2744 * CHOOSE(CONTROL!$C$15, $D$11, 100%, $F$11)</f>
        <v>21.2744</v>
      </c>
      <c r="G715" s="8">
        <f>20.1481 * CHOOSE( CONTROL!$C$15, $D$11, 100%, $F$11)</f>
        <v>20.148099999999999</v>
      </c>
      <c r="H715" s="4">
        <f>21.0341 * CHOOSE(CONTROL!$C$15, $D$11, 100%, $F$11)</f>
        <v>21.034099999999999</v>
      </c>
      <c r="I715" s="8">
        <f>19.9061 * CHOOSE(CONTROL!$C$15, $D$11, 100%, $F$11)</f>
        <v>19.906099999999999</v>
      </c>
      <c r="J715" s="4">
        <f>19.7789 * CHOOSE(CONTROL!$C$15, $D$11, 100%, $F$11)</f>
        <v>19.7789</v>
      </c>
      <c r="K715" s="4"/>
      <c r="L715" s="9">
        <v>29.306000000000001</v>
      </c>
      <c r="M715" s="9">
        <v>12.063700000000001</v>
      </c>
      <c r="N715" s="9">
        <v>4.9444999999999997</v>
      </c>
      <c r="O715" s="9">
        <v>0.37409999999999999</v>
      </c>
      <c r="P715" s="9">
        <v>1.2927</v>
      </c>
      <c r="Q715" s="9">
        <v>19.688099999999999</v>
      </c>
      <c r="R715" s="9"/>
      <c r="S715" s="11"/>
    </row>
    <row r="716" spans="1:19" ht="15.75">
      <c r="A716" s="13">
        <v>63309</v>
      </c>
      <c r="B716" s="8">
        <f>20.929 * CHOOSE(CONTROL!$C$15, $D$11, 100%, $F$11)</f>
        <v>20.928999999999998</v>
      </c>
      <c r="C716" s="8">
        <f>20.9398 * CHOOSE(CONTROL!$C$15, $D$11, 100%, $F$11)</f>
        <v>20.939800000000002</v>
      </c>
      <c r="D716" s="8">
        <f>20.9767 * CHOOSE( CONTROL!$C$15, $D$11, 100%, $F$11)</f>
        <v>20.976700000000001</v>
      </c>
      <c r="E716" s="12">
        <f>20.9633 * CHOOSE( CONTROL!$C$15, $D$11, 100%, $F$11)</f>
        <v>20.9633</v>
      </c>
      <c r="F716" s="4">
        <f>21.6683 * CHOOSE(CONTROL!$C$15, $D$11, 100%, $F$11)</f>
        <v>21.668299999999999</v>
      </c>
      <c r="G716" s="8">
        <f>20.4535 * CHOOSE( CONTROL!$C$15, $D$11, 100%, $F$11)</f>
        <v>20.453499999999998</v>
      </c>
      <c r="H716" s="4">
        <f>21.4192 * CHOOSE(CONTROL!$C$15, $D$11, 100%, $F$11)</f>
        <v>21.4192</v>
      </c>
      <c r="I716" s="8">
        <f>20.1987 * CHOOSE(CONTROL!$C$15, $D$11, 100%, $F$11)</f>
        <v>20.198699999999999</v>
      </c>
      <c r="J716" s="4">
        <f>20.0795 * CHOOSE(CONTROL!$C$15, $D$11, 100%, $F$11)</f>
        <v>20.079499999999999</v>
      </c>
      <c r="K716" s="4"/>
      <c r="L716" s="9">
        <v>30.092199999999998</v>
      </c>
      <c r="M716" s="9">
        <v>11.6745</v>
      </c>
      <c r="N716" s="9">
        <v>4.7850000000000001</v>
      </c>
      <c r="O716" s="9">
        <v>0.36199999999999999</v>
      </c>
      <c r="P716" s="9">
        <v>1.1791</v>
      </c>
      <c r="Q716" s="9">
        <v>19.053000000000001</v>
      </c>
      <c r="R716" s="9"/>
      <c r="S716" s="11"/>
    </row>
    <row r="717" spans="1:19" ht="15.75">
      <c r="A717" s="13">
        <v>63340</v>
      </c>
      <c r="B717" s="8">
        <f>CHOOSE( CONTROL!$C$32, 21.4886, 21.4862) * CHOOSE(CONTROL!$C$15, $D$11, 100%, $F$11)</f>
        <v>21.488600000000002</v>
      </c>
      <c r="C717" s="8">
        <f>CHOOSE( CONTROL!$C$32, 21.4991, 21.4968) * CHOOSE(CONTROL!$C$15, $D$11, 100%, $F$11)</f>
        <v>21.499099999999999</v>
      </c>
      <c r="D717" s="8">
        <f>CHOOSE( CONTROL!$C$32, 21.535, 21.5326) * CHOOSE( CONTROL!$C$15, $D$11, 100%, $F$11)</f>
        <v>21.535</v>
      </c>
      <c r="E717" s="12">
        <f>CHOOSE( CONTROL!$C$32, 21.5204, 21.518) * CHOOSE( CONTROL!$C$15, $D$11, 100%, $F$11)</f>
        <v>21.520399999999999</v>
      </c>
      <c r="F717" s="4">
        <f>CHOOSE( CONTROL!$C$32, 22.2279, 22.2255) * CHOOSE(CONTROL!$C$15, $D$11, 100%, $F$11)</f>
        <v>22.227900000000002</v>
      </c>
      <c r="G717" s="8">
        <f>CHOOSE( CONTROL!$C$32, 21.0012, 20.9988) * CHOOSE( CONTROL!$C$15, $D$11, 100%, $F$11)</f>
        <v>21.001200000000001</v>
      </c>
      <c r="H717" s="4">
        <f>CHOOSE( CONTROL!$C$32, 21.9664, 21.964) * CHOOSE(CONTROL!$C$15, $D$11, 100%, $F$11)</f>
        <v>21.9664</v>
      </c>
      <c r="I717" s="8">
        <f>CHOOSE( CONTROL!$C$32, 20.7364, 20.7341) * CHOOSE(CONTROL!$C$15, $D$11, 100%, $F$11)</f>
        <v>20.7364</v>
      </c>
      <c r="J717" s="4">
        <f>CHOOSE( CONTROL!$C$32, 20.6169, 20.6146) * CHOOSE(CONTROL!$C$15, $D$11, 100%, $F$11)</f>
        <v>20.616900000000001</v>
      </c>
      <c r="K717" s="4"/>
      <c r="L717" s="9">
        <v>30.7165</v>
      </c>
      <c r="M717" s="9">
        <v>12.063700000000001</v>
      </c>
      <c r="N717" s="9">
        <v>4.9444999999999997</v>
      </c>
      <c r="O717" s="9">
        <v>0.37409999999999999</v>
      </c>
      <c r="P717" s="9">
        <v>1.2183999999999999</v>
      </c>
      <c r="Q717" s="9">
        <v>19.688099999999999</v>
      </c>
      <c r="R717" s="9"/>
      <c r="S717" s="11"/>
    </row>
    <row r="718" spans="1:19" ht="15.75">
      <c r="A718" s="13">
        <v>63370</v>
      </c>
      <c r="B718" s="8">
        <f>CHOOSE( CONTROL!$C$32, 21.1434, 21.141) * CHOOSE(CONTROL!$C$15, $D$11, 100%, $F$11)</f>
        <v>21.1434</v>
      </c>
      <c r="C718" s="8">
        <f>CHOOSE( CONTROL!$C$32, 21.1539, 21.1515) * CHOOSE(CONTROL!$C$15, $D$11, 100%, $F$11)</f>
        <v>21.1539</v>
      </c>
      <c r="D718" s="8">
        <f>CHOOSE( CONTROL!$C$32, 21.19, 21.1876) * CHOOSE( CONTROL!$C$15, $D$11, 100%, $F$11)</f>
        <v>21.19</v>
      </c>
      <c r="E718" s="12">
        <f>CHOOSE( CONTROL!$C$32, 21.1753, 21.1729) * CHOOSE( CONTROL!$C$15, $D$11, 100%, $F$11)</f>
        <v>21.1753</v>
      </c>
      <c r="F718" s="4">
        <f>CHOOSE( CONTROL!$C$32, 21.8827, 21.8803) * CHOOSE(CONTROL!$C$15, $D$11, 100%, $F$11)</f>
        <v>21.8827</v>
      </c>
      <c r="G718" s="8">
        <f>CHOOSE( CONTROL!$C$32, 20.664, 20.6616) * CHOOSE( CONTROL!$C$15, $D$11, 100%, $F$11)</f>
        <v>20.664000000000001</v>
      </c>
      <c r="H718" s="4">
        <f>CHOOSE( CONTROL!$C$32, 21.6289, 21.6265) * CHOOSE(CONTROL!$C$15, $D$11, 100%, $F$11)</f>
        <v>21.628900000000002</v>
      </c>
      <c r="I718" s="8">
        <f>CHOOSE( CONTROL!$C$32, 20.4057, 20.4034) * CHOOSE(CONTROL!$C$15, $D$11, 100%, $F$11)</f>
        <v>20.4057</v>
      </c>
      <c r="J718" s="4">
        <f>CHOOSE( CONTROL!$C$32, 20.2854, 20.2831) * CHOOSE(CONTROL!$C$15, $D$11, 100%, $F$11)</f>
        <v>20.285399999999999</v>
      </c>
      <c r="K718" s="4"/>
      <c r="L718" s="9">
        <v>29.7257</v>
      </c>
      <c r="M718" s="9">
        <v>11.6745</v>
      </c>
      <c r="N718" s="9">
        <v>4.7850000000000001</v>
      </c>
      <c r="O718" s="9">
        <v>0.36199999999999999</v>
      </c>
      <c r="P718" s="9">
        <v>1.1791</v>
      </c>
      <c r="Q718" s="9">
        <v>19.053000000000001</v>
      </c>
      <c r="R718" s="9"/>
      <c r="S718" s="11"/>
    </row>
    <row r="719" spans="1:19" ht="15.75">
      <c r="A719" s="13">
        <v>63401</v>
      </c>
      <c r="B719" s="8">
        <f>CHOOSE( CONTROL!$C$32, 22.0524, 22.05) * CHOOSE(CONTROL!$C$15, $D$11, 100%, $F$11)</f>
        <v>22.052399999999999</v>
      </c>
      <c r="C719" s="8">
        <f>CHOOSE( CONTROL!$C$32, 22.063, 22.0606) * CHOOSE(CONTROL!$C$15, $D$11, 100%, $F$11)</f>
        <v>22.062999999999999</v>
      </c>
      <c r="D719" s="8">
        <f>CHOOSE( CONTROL!$C$32, 22.0992, 22.0969) * CHOOSE( CONTROL!$C$15, $D$11, 100%, $F$11)</f>
        <v>22.0992</v>
      </c>
      <c r="E719" s="12">
        <f>CHOOSE( CONTROL!$C$32, 22.0845, 22.0821) * CHOOSE( CONTROL!$C$15, $D$11, 100%, $F$11)</f>
        <v>22.084499999999998</v>
      </c>
      <c r="F719" s="4">
        <f>CHOOSE( CONTROL!$C$32, 22.7918, 22.7894) * CHOOSE(CONTROL!$C$15, $D$11, 100%, $F$11)</f>
        <v>22.791799999999999</v>
      </c>
      <c r="G719" s="8">
        <f>CHOOSE( CONTROL!$C$32, 21.5531, 21.5507) * CHOOSE( CONTROL!$C$15, $D$11, 100%, $F$11)</f>
        <v>21.553100000000001</v>
      </c>
      <c r="H719" s="4">
        <f>CHOOSE( CONTROL!$C$32, 22.5176, 22.5153) * CHOOSE(CONTROL!$C$15, $D$11, 100%, $F$11)</f>
        <v>22.517600000000002</v>
      </c>
      <c r="I719" s="8">
        <f>CHOOSE( CONTROL!$C$32, 21.28, 21.2777) * CHOOSE(CONTROL!$C$15, $D$11, 100%, $F$11)</f>
        <v>21.28</v>
      </c>
      <c r="J719" s="4">
        <f>CHOOSE( CONTROL!$C$32, 21.1582, 21.1559) * CHOOSE(CONTROL!$C$15, $D$11, 100%, $F$11)</f>
        <v>21.158200000000001</v>
      </c>
      <c r="K719" s="4"/>
      <c r="L719" s="9">
        <v>30.7165</v>
      </c>
      <c r="M719" s="9">
        <v>12.063700000000001</v>
      </c>
      <c r="N719" s="9">
        <v>4.9444999999999997</v>
      </c>
      <c r="O719" s="9">
        <v>0.37409999999999999</v>
      </c>
      <c r="P719" s="9">
        <v>1.2183999999999999</v>
      </c>
      <c r="Q719" s="9">
        <v>19.688099999999999</v>
      </c>
      <c r="R719" s="9"/>
      <c r="S719" s="11"/>
    </row>
    <row r="720" spans="1:19" ht="15.75">
      <c r="A720" s="13">
        <v>63432</v>
      </c>
      <c r="B720" s="8">
        <f>CHOOSE( CONTROL!$C$32, 20.3515, 20.3491) * CHOOSE(CONTROL!$C$15, $D$11, 100%, $F$11)</f>
        <v>20.351500000000001</v>
      </c>
      <c r="C720" s="8">
        <f>CHOOSE( CONTROL!$C$32, 20.3621, 20.3597) * CHOOSE(CONTROL!$C$15, $D$11, 100%, $F$11)</f>
        <v>20.362100000000002</v>
      </c>
      <c r="D720" s="8">
        <f>CHOOSE( CONTROL!$C$32, 20.3983, 20.396) * CHOOSE( CONTROL!$C$15, $D$11, 100%, $F$11)</f>
        <v>20.398299999999999</v>
      </c>
      <c r="E720" s="12">
        <f>CHOOSE( CONTROL!$C$32, 20.3836, 20.3812) * CHOOSE( CONTROL!$C$15, $D$11, 100%, $F$11)</f>
        <v>20.383600000000001</v>
      </c>
      <c r="F720" s="4">
        <f>CHOOSE( CONTROL!$C$32, 21.0908, 21.0885) * CHOOSE(CONTROL!$C$15, $D$11, 100%, $F$11)</f>
        <v>21.090800000000002</v>
      </c>
      <c r="G720" s="8">
        <f>CHOOSE( CONTROL!$C$32, 19.8901, 19.8878) * CHOOSE( CONTROL!$C$15, $D$11, 100%, $F$11)</f>
        <v>19.8901</v>
      </c>
      <c r="H720" s="4">
        <f>CHOOSE( CONTROL!$C$32, 20.8546, 20.8523) * CHOOSE(CONTROL!$C$15, $D$11, 100%, $F$11)</f>
        <v>20.854600000000001</v>
      </c>
      <c r="I720" s="8">
        <f>CHOOSE( CONTROL!$C$32, 19.6463, 19.644) * CHOOSE(CONTROL!$C$15, $D$11, 100%, $F$11)</f>
        <v>19.6463</v>
      </c>
      <c r="J720" s="4">
        <f>CHOOSE( CONTROL!$C$32, 19.5251, 19.5228) * CHOOSE(CONTROL!$C$15, $D$11, 100%, $F$11)</f>
        <v>19.525099999999998</v>
      </c>
      <c r="K720" s="4"/>
      <c r="L720" s="9">
        <v>30.7165</v>
      </c>
      <c r="M720" s="9">
        <v>12.063700000000001</v>
      </c>
      <c r="N720" s="9">
        <v>4.9444999999999997</v>
      </c>
      <c r="O720" s="9">
        <v>0.37409999999999999</v>
      </c>
      <c r="P720" s="9">
        <v>1.2183999999999999</v>
      </c>
      <c r="Q720" s="9">
        <v>19.688099999999999</v>
      </c>
      <c r="R720" s="9"/>
      <c r="S720" s="11"/>
    </row>
    <row r="721" spans="1:19" ht="15.75">
      <c r="A721" s="13">
        <v>63462</v>
      </c>
      <c r="B721" s="8">
        <f>CHOOSE( CONTROL!$C$32, 19.9255, 19.9232) * CHOOSE(CONTROL!$C$15, $D$11, 100%, $F$11)</f>
        <v>19.9255</v>
      </c>
      <c r="C721" s="8">
        <f>CHOOSE( CONTROL!$C$32, 19.9361, 19.9337) * CHOOSE(CONTROL!$C$15, $D$11, 100%, $F$11)</f>
        <v>19.9361</v>
      </c>
      <c r="D721" s="8">
        <f>CHOOSE( CONTROL!$C$32, 19.9723, 19.97) * CHOOSE( CONTROL!$C$15, $D$11, 100%, $F$11)</f>
        <v>19.972300000000001</v>
      </c>
      <c r="E721" s="12">
        <f>CHOOSE( CONTROL!$C$32, 19.9576, 19.9552) * CHOOSE( CONTROL!$C$15, $D$11, 100%, $F$11)</f>
        <v>19.957599999999999</v>
      </c>
      <c r="F721" s="4">
        <f>CHOOSE( CONTROL!$C$32, 20.6649, 20.6625) * CHOOSE(CONTROL!$C$15, $D$11, 100%, $F$11)</f>
        <v>20.664899999999999</v>
      </c>
      <c r="G721" s="8">
        <f>CHOOSE( CONTROL!$C$32, 19.4736, 19.4713) * CHOOSE( CONTROL!$C$15, $D$11, 100%, $F$11)</f>
        <v>19.473600000000001</v>
      </c>
      <c r="H721" s="4">
        <f>CHOOSE( CONTROL!$C$32, 20.4382, 20.4358) * CHOOSE(CONTROL!$C$15, $D$11, 100%, $F$11)</f>
        <v>20.438199999999998</v>
      </c>
      <c r="I721" s="8">
        <f>CHOOSE( CONTROL!$C$32, 19.2369, 19.2346) * CHOOSE(CONTROL!$C$15, $D$11, 100%, $F$11)</f>
        <v>19.236899999999999</v>
      </c>
      <c r="J721" s="4">
        <f>CHOOSE( CONTROL!$C$32, 19.1162, 19.1139) * CHOOSE(CONTROL!$C$15, $D$11, 100%, $F$11)</f>
        <v>19.116199999999999</v>
      </c>
      <c r="K721" s="4"/>
      <c r="L721" s="9">
        <v>29.7257</v>
      </c>
      <c r="M721" s="9">
        <v>11.6745</v>
      </c>
      <c r="N721" s="9">
        <v>4.7850000000000001</v>
      </c>
      <c r="O721" s="9">
        <v>0.36199999999999999</v>
      </c>
      <c r="P721" s="9">
        <v>1.1791</v>
      </c>
      <c r="Q721" s="9">
        <v>19.053000000000001</v>
      </c>
      <c r="R721" s="9"/>
      <c r="S721" s="11"/>
    </row>
    <row r="722" spans="1:19" ht="15.75">
      <c r="A722" s="13">
        <v>63493</v>
      </c>
      <c r="B722" s="8">
        <f>20.8077 * CHOOSE(CONTROL!$C$15, $D$11, 100%, $F$11)</f>
        <v>20.807700000000001</v>
      </c>
      <c r="C722" s="8">
        <f>20.8184 * CHOOSE(CONTROL!$C$15, $D$11, 100%, $F$11)</f>
        <v>20.8184</v>
      </c>
      <c r="D722" s="8">
        <f>20.856 * CHOOSE( CONTROL!$C$15, $D$11, 100%, $F$11)</f>
        <v>20.856000000000002</v>
      </c>
      <c r="E722" s="12">
        <f>20.8424 * CHOOSE( CONTROL!$C$15, $D$11, 100%, $F$11)</f>
        <v>20.842400000000001</v>
      </c>
      <c r="F722" s="4">
        <f>21.5469 * CHOOSE(CONTROL!$C$15, $D$11, 100%, $F$11)</f>
        <v>21.546900000000001</v>
      </c>
      <c r="G722" s="8">
        <f>20.3357 * CHOOSE( CONTROL!$C$15, $D$11, 100%, $F$11)</f>
        <v>20.335699999999999</v>
      </c>
      <c r="H722" s="4">
        <f>21.3005 * CHOOSE(CONTROL!$C$15, $D$11, 100%, $F$11)</f>
        <v>21.3005</v>
      </c>
      <c r="I722" s="8">
        <f>20.0848 * CHOOSE(CONTROL!$C$15, $D$11, 100%, $F$11)</f>
        <v>20.084800000000001</v>
      </c>
      <c r="J722" s="4">
        <f>19.963 * CHOOSE(CONTROL!$C$15, $D$11, 100%, $F$11)</f>
        <v>19.963000000000001</v>
      </c>
      <c r="K722" s="4"/>
      <c r="L722" s="9">
        <v>31.095300000000002</v>
      </c>
      <c r="M722" s="9">
        <v>12.063700000000001</v>
      </c>
      <c r="N722" s="9">
        <v>4.9444999999999997</v>
      </c>
      <c r="O722" s="9">
        <v>0.37409999999999999</v>
      </c>
      <c r="P722" s="9">
        <v>1.2183999999999999</v>
      </c>
      <c r="Q722" s="9">
        <v>19.688099999999999</v>
      </c>
      <c r="R722" s="9"/>
      <c r="S722" s="11"/>
    </row>
    <row r="723" spans="1:19" ht="15.75">
      <c r="A723" s="13">
        <v>63523</v>
      </c>
      <c r="B723" s="8">
        <f>22.4401 * CHOOSE(CONTROL!$C$15, $D$11, 100%, $F$11)</f>
        <v>22.440100000000001</v>
      </c>
      <c r="C723" s="8">
        <f>22.4509 * CHOOSE(CONTROL!$C$15, $D$11, 100%, $F$11)</f>
        <v>22.450900000000001</v>
      </c>
      <c r="D723" s="8">
        <f>22.4336 * CHOOSE( CONTROL!$C$15, $D$11, 100%, $F$11)</f>
        <v>22.433599999999998</v>
      </c>
      <c r="E723" s="12">
        <f>22.4388 * CHOOSE( CONTROL!$C$15, $D$11, 100%, $F$11)</f>
        <v>22.438800000000001</v>
      </c>
      <c r="F723" s="4">
        <f>23.0986 * CHOOSE(CONTROL!$C$15, $D$11, 100%, $F$11)</f>
        <v>23.098600000000001</v>
      </c>
      <c r="G723" s="8">
        <f>21.9383 * CHOOSE( CONTROL!$C$15, $D$11, 100%, $F$11)</f>
        <v>21.938300000000002</v>
      </c>
      <c r="H723" s="4">
        <f>22.8176 * CHOOSE(CONTROL!$C$15, $D$11, 100%, $F$11)</f>
        <v>22.817599999999999</v>
      </c>
      <c r="I723" s="8">
        <f>21.6901 * CHOOSE(CONTROL!$C$15, $D$11, 100%, $F$11)</f>
        <v>21.690100000000001</v>
      </c>
      <c r="J723" s="4">
        <f>21.5303 * CHOOSE(CONTROL!$C$15, $D$11, 100%, $F$11)</f>
        <v>21.5303</v>
      </c>
      <c r="K723" s="4"/>
      <c r="L723" s="9">
        <v>28.360600000000002</v>
      </c>
      <c r="M723" s="9">
        <v>11.6745</v>
      </c>
      <c r="N723" s="9">
        <v>4.7850000000000001</v>
      </c>
      <c r="O723" s="9">
        <v>0.36199999999999999</v>
      </c>
      <c r="P723" s="9">
        <v>1.2509999999999999</v>
      </c>
      <c r="Q723" s="9">
        <v>19.053000000000001</v>
      </c>
      <c r="R723" s="9"/>
      <c r="S723" s="11"/>
    </row>
    <row r="724" spans="1:19" ht="15.75">
      <c r="A724" s="13">
        <v>63554</v>
      </c>
      <c r="B724" s="8">
        <f>22.3993 * CHOOSE(CONTROL!$C$15, $D$11, 100%, $F$11)</f>
        <v>22.3993</v>
      </c>
      <c r="C724" s="8">
        <f>22.4101 * CHOOSE(CONTROL!$C$15, $D$11, 100%, $F$11)</f>
        <v>22.4101</v>
      </c>
      <c r="D724" s="8">
        <f>22.3945 * CHOOSE( CONTROL!$C$15, $D$11, 100%, $F$11)</f>
        <v>22.394500000000001</v>
      </c>
      <c r="E724" s="12">
        <f>22.3991 * CHOOSE( CONTROL!$C$15, $D$11, 100%, $F$11)</f>
        <v>22.399100000000001</v>
      </c>
      <c r="F724" s="4">
        <f>23.0578 * CHOOSE(CONTROL!$C$15, $D$11, 100%, $F$11)</f>
        <v>23.0578</v>
      </c>
      <c r="G724" s="8">
        <f>21.8997 * CHOOSE( CONTROL!$C$15, $D$11, 100%, $F$11)</f>
        <v>21.899699999999999</v>
      </c>
      <c r="H724" s="4">
        <f>22.7777 * CHOOSE(CONTROL!$C$15, $D$11, 100%, $F$11)</f>
        <v>22.777699999999999</v>
      </c>
      <c r="I724" s="8">
        <f>21.6561 * CHOOSE(CONTROL!$C$15, $D$11, 100%, $F$11)</f>
        <v>21.656099999999999</v>
      </c>
      <c r="J724" s="4">
        <f>21.4911 * CHOOSE(CONTROL!$C$15, $D$11, 100%, $F$11)</f>
        <v>21.491099999999999</v>
      </c>
      <c r="K724" s="4"/>
      <c r="L724" s="9">
        <v>29.306000000000001</v>
      </c>
      <c r="M724" s="9">
        <v>12.063700000000001</v>
      </c>
      <c r="N724" s="9">
        <v>4.9444999999999997</v>
      </c>
      <c r="O724" s="9">
        <v>0.37409999999999999</v>
      </c>
      <c r="P724" s="9">
        <v>1.2927</v>
      </c>
      <c r="Q724" s="9">
        <v>19.688099999999999</v>
      </c>
      <c r="R724" s="9"/>
      <c r="S724" s="11"/>
    </row>
    <row r="725" spans="1:19" ht="15.75">
      <c r="A725" s="13">
        <v>63585</v>
      </c>
      <c r="B725" s="8">
        <f>23.0596 * CHOOSE(CONTROL!$C$15, $D$11, 100%, $F$11)</f>
        <v>23.0596</v>
      </c>
      <c r="C725" s="8">
        <f>23.0703 * CHOOSE(CONTROL!$C$15, $D$11, 100%, $F$11)</f>
        <v>23.0703</v>
      </c>
      <c r="D725" s="8">
        <f>23.0517 * CHOOSE( CONTROL!$C$15, $D$11, 100%, $F$11)</f>
        <v>23.0517</v>
      </c>
      <c r="E725" s="12">
        <f>23.0574 * CHOOSE( CONTROL!$C$15, $D$11, 100%, $F$11)</f>
        <v>23.057400000000001</v>
      </c>
      <c r="F725" s="4">
        <f>23.7181 * CHOOSE(CONTROL!$C$15, $D$11, 100%, $F$11)</f>
        <v>23.7181</v>
      </c>
      <c r="G725" s="8">
        <f>22.5377 * CHOOSE( CONTROL!$C$15, $D$11, 100%, $F$11)</f>
        <v>22.537700000000001</v>
      </c>
      <c r="H725" s="4">
        <f>23.4233 * CHOOSE(CONTROL!$C$15, $D$11, 100%, $F$11)</f>
        <v>23.423300000000001</v>
      </c>
      <c r="I725" s="8">
        <f>22.2552 * CHOOSE(CONTROL!$C$15, $D$11, 100%, $F$11)</f>
        <v>22.255199999999999</v>
      </c>
      <c r="J725" s="4">
        <f>22.125 * CHOOSE(CONTROL!$C$15, $D$11, 100%, $F$11)</f>
        <v>22.125</v>
      </c>
      <c r="K725" s="4"/>
      <c r="L725" s="9">
        <v>29.306000000000001</v>
      </c>
      <c r="M725" s="9">
        <v>12.063700000000001</v>
      </c>
      <c r="N725" s="9">
        <v>4.9444999999999997</v>
      </c>
      <c r="O725" s="9">
        <v>0.37409999999999999</v>
      </c>
      <c r="P725" s="9">
        <v>1.2927</v>
      </c>
      <c r="Q725" s="9">
        <v>19.688099999999999</v>
      </c>
      <c r="R725" s="9"/>
      <c r="S725" s="11"/>
    </row>
    <row r="726" spans="1:19" ht="15.75">
      <c r="A726" s="13">
        <v>63613</v>
      </c>
      <c r="B726" s="8">
        <f>21.5698 * CHOOSE(CONTROL!$C$15, $D$11, 100%, $F$11)</f>
        <v>21.569800000000001</v>
      </c>
      <c r="C726" s="8">
        <f>21.5805 * CHOOSE(CONTROL!$C$15, $D$11, 100%, $F$11)</f>
        <v>21.580500000000001</v>
      </c>
      <c r="D726" s="8">
        <f>21.5618 * CHOOSE( CONTROL!$C$15, $D$11, 100%, $F$11)</f>
        <v>21.561800000000002</v>
      </c>
      <c r="E726" s="12">
        <f>21.5675 * CHOOSE( CONTROL!$C$15, $D$11, 100%, $F$11)</f>
        <v>21.567499999999999</v>
      </c>
      <c r="F726" s="4">
        <f>22.2283 * CHOOSE(CONTROL!$C$15, $D$11, 100%, $F$11)</f>
        <v>22.228300000000001</v>
      </c>
      <c r="G726" s="8">
        <f>21.0811 * CHOOSE( CONTROL!$C$15, $D$11, 100%, $F$11)</f>
        <v>21.081099999999999</v>
      </c>
      <c r="H726" s="4">
        <f>21.9667 * CHOOSE(CONTROL!$C$15, $D$11, 100%, $F$11)</f>
        <v>21.966699999999999</v>
      </c>
      <c r="I726" s="8">
        <f>20.8238 * CHOOSE(CONTROL!$C$15, $D$11, 100%, $F$11)</f>
        <v>20.823799999999999</v>
      </c>
      <c r="J726" s="4">
        <f>20.6947 * CHOOSE(CONTROL!$C$15, $D$11, 100%, $F$11)</f>
        <v>20.694700000000001</v>
      </c>
      <c r="K726" s="4"/>
      <c r="L726" s="9">
        <v>26.469899999999999</v>
      </c>
      <c r="M726" s="9">
        <v>10.8962</v>
      </c>
      <c r="N726" s="9">
        <v>4.4660000000000002</v>
      </c>
      <c r="O726" s="9">
        <v>0.33789999999999998</v>
      </c>
      <c r="P726" s="9">
        <v>1.1676</v>
      </c>
      <c r="Q726" s="9">
        <v>17.782800000000002</v>
      </c>
      <c r="R726" s="9"/>
      <c r="S726" s="11"/>
    </row>
    <row r="727" spans="1:19" ht="15.75">
      <c r="A727" s="13">
        <v>63644</v>
      </c>
      <c r="B727" s="8">
        <f>21.1109 * CHOOSE(CONTROL!$C$15, $D$11, 100%, $F$11)</f>
        <v>21.110900000000001</v>
      </c>
      <c r="C727" s="8">
        <f>21.1217 * CHOOSE(CONTROL!$C$15, $D$11, 100%, $F$11)</f>
        <v>21.121700000000001</v>
      </c>
      <c r="D727" s="8">
        <f>21.1025 * CHOOSE( CONTROL!$C$15, $D$11, 100%, $F$11)</f>
        <v>21.102499999999999</v>
      </c>
      <c r="E727" s="12">
        <f>21.1084 * CHOOSE( CONTROL!$C$15, $D$11, 100%, $F$11)</f>
        <v>21.1084</v>
      </c>
      <c r="F727" s="4">
        <f>21.7694 * CHOOSE(CONTROL!$C$15, $D$11, 100%, $F$11)</f>
        <v>21.769400000000001</v>
      </c>
      <c r="G727" s="8">
        <f>20.6321 * CHOOSE( CONTROL!$C$15, $D$11, 100%, $F$11)</f>
        <v>20.632100000000001</v>
      </c>
      <c r="H727" s="4">
        <f>21.5181 * CHOOSE(CONTROL!$C$15, $D$11, 100%, $F$11)</f>
        <v>21.5181</v>
      </c>
      <c r="I727" s="8">
        <f>20.3816 * CHOOSE(CONTROL!$C$15, $D$11, 100%, $F$11)</f>
        <v>20.381599999999999</v>
      </c>
      <c r="J727" s="4">
        <f>20.2541 * CHOOSE(CONTROL!$C$15, $D$11, 100%, $F$11)</f>
        <v>20.254100000000001</v>
      </c>
      <c r="K727" s="4"/>
      <c r="L727" s="9">
        <v>29.306000000000001</v>
      </c>
      <c r="M727" s="9">
        <v>12.063700000000001</v>
      </c>
      <c r="N727" s="9">
        <v>4.9444999999999997</v>
      </c>
      <c r="O727" s="9">
        <v>0.37409999999999999</v>
      </c>
      <c r="P727" s="9">
        <v>1.2927</v>
      </c>
      <c r="Q727" s="9">
        <v>19.688099999999999</v>
      </c>
      <c r="R727" s="9"/>
      <c r="S727" s="11"/>
    </row>
    <row r="728" spans="1:19" ht="15.75">
      <c r="A728" s="13">
        <v>63674</v>
      </c>
      <c r="B728" s="8">
        <f>21.4315 * CHOOSE(CONTROL!$C$15, $D$11, 100%, $F$11)</f>
        <v>21.4315</v>
      </c>
      <c r="C728" s="8">
        <f>21.4423 * CHOOSE(CONTROL!$C$15, $D$11, 100%, $F$11)</f>
        <v>21.442299999999999</v>
      </c>
      <c r="D728" s="8">
        <f>21.4792 * CHOOSE( CONTROL!$C$15, $D$11, 100%, $F$11)</f>
        <v>21.479199999999999</v>
      </c>
      <c r="E728" s="12">
        <f>21.4658 * CHOOSE( CONTROL!$C$15, $D$11, 100%, $F$11)</f>
        <v>21.465800000000002</v>
      </c>
      <c r="F728" s="4">
        <f>22.1708 * CHOOSE(CONTROL!$C$15, $D$11, 100%, $F$11)</f>
        <v>22.1708</v>
      </c>
      <c r="G728" s="8">
        <f>20.9448 * CHOOSE( CONTROL!$C$15, $D$11, 100%, $F$11)</f>
        <v>20.944800000000001</v>
      </c>
      <c r="H728" s="4">
        <f>21.9105 * CHOOSE(CONTROL!$C$15, $D$11, 100%, $F$11)</f>
        <v>21.910499999999999</v>
      </c>
      <c r="I728" s="8">
        <f>20.6814 * CHOOSE(CONTROL!$C$15, $D$11, 100%, $F$11)</f>
        <v>20.6814</v>
      </c>
      <c r="J728" s="4">
        <f>20.562 * CHOOSE(CONTROL!$C$15, $D$11, 100%, $F$11)</f>
        <v>20.562000000000001</v>
      </c>
      <c r="K728" s="4"/>
      <c r="L728" s="9">
        <v>30.092199999999998</v>
      </c>
      <c r="M728" s="9">
        <v>11.6745</v>
      </c>
      <c r="N728" s="9">
        <v>4.7850000000000001</v>
      </c>
      <c r="O728" s="9">
        <v>0.36199999999999999</v>
      </c>
      <c r="P728" s="9">
        <v>1.1791</v>
      </c>
      <c r="Q728" s="9">
        <v>19.053000000000001</v>
      </c>
      <c r="R728" s="9"/>
      <c r="S728" s="11"/>
    </row>
    <row r="729" spans="1:19" ht="15.75">
      <c r="A729" s="13">
        <v>63705</v>
      </c>
      <c r="B729" s="8">
        <f>CHOOSE( CONTROL!$C$32, 22.0045, 22.0021) * CHOOSE(CONTROL!$C$15, $D$11, 100%, $F$11)</f>
        <v>22.0045</v>
      </c>
      <c r="C729" s="8">
        <f>CHOOSE( CONTROL!$C$32, 22.015, 22.0127) * CHOOSE(CONTROL!$C$15, $D$11, 100%, $F$11)</f>
        <v>22.015000000000001</v>
      </c>
      <c r="D729" s="8">
        <f>CHOOSE( CONTROL!$C$32, 22.0509, 22.0485) * CHOOSE( CONTROL!$C$15, $D$11, 100%, $F$11)</f>
        <v>22.050899999999999</v>
      </c>
      <c r="E729" s="12">
        <f>CHOOSE( CONTROL!$C$32, 22.0363, 22.0339) * CHOOSE( CONTROL!$C$15, $D$11, 100%, $F$11)</f>
        <v>22.036300000000001</v>
      </c>
      <c r="F729" s="4">
        <f>CHOOSE( CONTROL!$C$32, 22.7438, 22.7414) * CHOOSE(CONTROL!$C$15, $D$11, 100%, $F$11)</f>
        <v>22.7438</v>
      </c>
      <c r="G729" s="8">
        <f>CHOOSE( CONTROL!$C$32, 21.5056, 21.5032) * CHOOSE( CONTROL!$C$15, $D$11, 100%, $F$11)</f>
        <v>21.505600000000001</v>
      </c>
      <c r="H729" s="4">
        <f>CHOOSE( CONTROL!$C$32, 22.4708, 22.4684) * CHOOSE(CONTROL!$C$15, $D$11, 100%, $F$11)</f>
        <v>22.470800000000001</v>
      </c>
      <c r="I729" s="8">
        <f>CHOOSE( CONTROL!$C$32, 21.232, 21.2297) * CHOOSE(CONTROL!$C$15, $D$11, 100%, $F$11)</f>
        <v>21.231999999999999</v>
      </c>
      <c r="J729" s="4">
        <f>CHOOSE( CONTROL!$C$32, 21.1122, 21.1099) * CHOOSE(CONTROL!$C$15, $D$11, 100%, $F$11)</f>
        <v>21.112200000000001</v>
      </c>
      <c r="K729" s="4"/>
      <c r="L729" s="9">
        <v>30.7165</v>
      </c>
      <c r="M729" s="9">
        <v>12.063700000000001</v>
      </c>
      <c r="N729" s="9">
        <v>4.9444999999999997</v>
      </c>
      <c r="O729" s="9">
        <v>0.37409999999999999</v>
      </c>
      <c r="P729" s="9">
        <v>1.2183999999999999</v>
      </c>
      <c r="Q729" s="9">
        <v>19.688099999999999</v>
      </c>
      <c r="R729" s="9"/>
      <c r="S729" s="11"/>
    </row>
    <row r="730" spans="1:19" ht="15.75">
      <c r="A730" s="13">
        <v>63735</v>
      </c>
      <c r="B730" s="8">
        <f>CHOOSE( CONTROL!$C$32, 21.651, 21.6486) * CHOOSE(CONTROL!$C$15, $D$11, 100%, $F$11)</f>
        <v>21.651</v>
      </c>
      <c r="C730" s="8">
        <f>CHOOSE( CONTROL!$C$32, 21.6615, 21.6592) * CHOOSE(CONTROL!$C$15, $D$11, 100%, $F$11)</f>
        <v>21.6615</v>
      </c>
      <c r="D730" s="8">
        <f>CHOOSE( CONTROL!$C$32, 21.6976, 21.6952) * CHOOSE( CONTROL!$C$15, $D$11, 100%, $F$11)</f>
        <v>21.697600000000001</v>
      </c>
      <c r="E730" s="12">
        <f>CHOOSE( CONTROL!$C$32, 21.6829, 21.6805) * CHOOSE( CONTROL!$C$15, $D$11, 100%, $F$11)</f>
        <v>21.6829</v>
      </c>
      <c r="F730" s="4">
        <f>CHOOSE( CONTROL!$C$32, 22.3903, 22.3879) * CHOOSE(CONTROL!$C$15, $D$11, 100%, $F$11)</f>
        <v>22.3903</v>
      </c>
      <c r="G730" s="8">
        <f>CHOOSE( CONTROL!$C$32, 21.1602, 21.1579) * CHOOSE( CONTROL!$C$15, $D$11, 100%, $F$11)</f>
        <v>21.1602</v>
      </c>
      <c r="H730" s="4">
        <f>CHOOSE( CONTROL!$C$32, 22.1251, 22.1228) * CHOOSE(CONTROL!$C$15, $D$11, 100%, $F$11)</f>
        <v>22.1251</v>
      </c>
      <c r="I730" s="8">
        <f>CHOOSE( CONTROL!$C$32, 20.8933, 20.891) * CHOOSE(CONTROL!$C$15, $D$11, 100%, $F$11)</f>
        <v>20.8933</v>
      </c>
      <c r="J730" s="4">
        <f>CHOOSE( CONTROL!$C$32, 20.7728, 20.7705) * CHOOSE(CONTROL!$C$15, $D$11, 100%, $F$11)</f>
        <v>20.7728</v>
      </c>
      <c r="K730" s="4"/>
      <c r="L730" s="9">
        <v>29.7257</v>
      </c>
      <c r="M730" s="9">
        <v>11.6745</v>
      </c>
      <c r="N730" s="9">
        <v>4.7850000000000001</v>
      </c>
      <c r="O730" s="9">
        <v>0.36199999999999999</v>
      </c>
      <c r="P730" s="9">
        <v>1.1791</v>
      </c>
      <c r="Q730" s="9">
        <v>19.053000000000001</v>
      </c>
      <c r="R730" s="9"/>
      <c r="S730" s="11"/>
    </row>
    <row r="731" spans="1:19" ht="15.75">
      <c r="A731" s="13">
        <v>63766</v>
      </c>
      <c r="B731" s="8">
        <f>CHOOSE( CONTROL!$C$32, 22.5819, 22.5795) * CHOOSE(CONTROL!$C$15, $D$11, 100%, $F$11)</f>
        <v>22.581900000000001</v>
      </c>
      <c r="C731" s="8">
        <f>CHOOSE( CONTROL!$C$32, 22.5924, 22.5901) * CHOOSE(CONTROL!$C$15, $D$11, 100%, $F$11)</f>
        <v>22.592400000000001</v>
      </c>
      <c r="D731" s="8">
        <f>CHOOSE( CONTROL!$C$32, 22.6287, 22.6263) * CHOOSE( CONTROL!$C$15, $D$11, 100%, $F$11)</f>
        <v>22.628699999999998</v>
      </c>
      <c r="E731" s="12">
        <f>CHOOSE( CONTROL!$C$32, 22.6139, 22.6116) * CHOOSE( CONTROL!$C$15, $D$11, 100%, $F$11)</f>
        <v>22.613900000000001</v>
      </c>
      <c r="F731" s="4">
        <f>CHOOSE( CONTROL!$C$32, 23.3212, 23.3188) * CHOOSE(CONTROL!$C$15, $D$11, 100%, $F$11)</f>
        <v>23.321200000000001</v>
      </c>
      <c r="G731" s="8">
        <f>CHOOSE( CONTROL!$C$32, 22.0707, 22.0684) * CHOOSE( CONTROL!$C$15, $D$11, 100%, $F$11)</f>
        <v>22.070699999999999</v>
      </c>
      <c r="H731" s="4">
        <f>CHOOSE( CONTROL!$C$32, 23.0353, 23.0329) * CHOOSE(CONTROL!$C$15, $D$11, 100%, $F$11)</f>
        <v>23.035299999999999</v>
      </c>
      <c r="I731" s="8">
        <f>CHOOSE( CONTROL!$C$32, 21.7885, 21.7862) * CHOOSE(CONTROL!$C$15, $D$11, 100%, $F$11)</f>
        <v>21.788499999999999</v>
      </c>
      <c r="J731" s="4">
        <f>CHOOSE( CONTROL!$C$32, 21.6665, 21.6642) * CHOOSE(CONTROL!$C$15, $D$11, 100%, $F$11)</f>
        <v>21.666499999999999</v>
      </c>
      <c r="K731" s="4"/>
      <c r="L731" s="9">
        <v>30.7165</v>
      </c>
      <c r="M731" s="9">
        <v>12.063700000000001</v>
      </c>
      <c r="N731" s="9">
        <v>4.9444999999999997</v>
      </c>
      <c r="O731" s="9">
        <v>0.37409999999999999</v>
      </c>
      <c r="P731" s="9">
        <v>1.2183999999999999</v>
      </c>
      <c r="Q731" s="9">
        <v>19.688099999999999</v>
      </c>
      <c r="R731" s="9"/>
      <c r="S731" s="11"/>
    </row>
    <row r="732" spans="1:19" ht="15.75">
      <c r="A732" s="13">
        <v>63797</v>
      </c>
      <c r="B732" s="8">
        <f>CHOOSE( CONTROL!$C$32, 20.8401, 20.8377) * CHOOSE(CONTROL!$C$15, $D$11, 100%, $F$11)</f>
        <v>20.8401</v>
      </c>
      <c r="C732" s="8">
        <f>CHOOSE( CONTROL!$C$32, 20.8506, 20.8482) * CHOOSE(CONTROL!$C$15, $D$11, 100%, $F$11)</f>
        <v>20.8506</v>
      </c>
      <c r="D732" s="8">
        <f>CHOOSE( CONTROL!$C$32, 20.8869, 20.8845) * CHOOSE( CONTROL!$C$15, $D$11, 100%, $F$11)</f>
        <v>20.886900000000001</v>
      </c>
      <c r="E732" s="12">
        <f>CHOOSE( CONTROL!$C$32, 20.8721, 20.8697) * CHOOSE( CONTROL!$C$15, $D$11, 100%, $F$11)</f>
        <v>20.8721</v>
      </c>
      <c r="F732" s="4">
        <f>CHOOSE( CONTROL!$C$32, 21.5794, 21.577) * CHOOSE(CONTROL!$C$15, $D$11, 100%, $F$11)</f>
        <v>21.5794</v>
      </c>
      <c r="G732" s="8">
        <f>CHOOSE( CONTROL!$C$32, 20.3678, 20.3655) * CHOOSE( CONTROL!$C$15, $D$11, 100%, $F$11)</f>
        <v>20.367799999999999</v>
      </c>
      <c r="H732" s="4">
        <f>CHOOSE( CONTROL!$C$32, 21.3323, 21.33) * CHOOSE(CONTROL!$C$15, $D$11, 100%, $F$11)</f>
        <v>21.3323</v>
      </c>
      <c r="I732" s="8">
        <f>CHOOSE( CONTROL!$C$32, 20.1156, 20.1133) * CHOOSE(CONTROL!$C$15, $D$11, 100%, $F$11)</f>
        <v>20.115600000000001</v>
      </c>
      <c r="J732" s="4">
        <f>CHOOSE( CONTROL!$C$32, 19.9942, 19.9919) * CHOOSE(CONTROL!$C$15, $D$11, 100%, $F$11)</f>
        <v>19.994199999999999</v>
      </c>
      <c r="K732" s="4"/>
      <c r="L732" s="9">
        <v>30.7165</v>
      </c>
      <c r="M732" s="9">
        <v>12.063700000000001</v>
      </c>
      <c r="N732" s="9">
        <v>4.9444999999999997</v>
      </c>
      <c r="O732" s="9">
        <v>0.37409999999999999</v>
      </c>
      <c r="P732" s="9">
        <v>1.2183999999999999</v>
      </c>
      <c r="Q732" s="9">
        <v>19.688099999999999</v>
      </c>
      <c r="R732" s="9"/>
      <c r="S732" s="11"/>
    </row>
    <row r="733" spans="1:19" ht="15.75">
      <c r="A733" s="13">
        <v>63827</v>
      </c>
      <c r="B733" s="8">
        <f>CHOOSE( CONTROL!$C$32, 20.4039, 20.4015) * CHOOSE(CONTROL!$C$15, $D$11, 100%, $F$11)</f>
        <v>20.4039</v>
      </c>
      <c r="C733" s="8">
        <f>CHOOSE( CONTROL!$C$32, 20.4145, 20.4121) * CHOOSE(CONTROL!$C$15, $D$11, 100%, $F$11)</f>
        <v>20.4145</v>
      </c>
      <c r="D733" s="8">
        <f>CHOOSE( CONTROL!$C$32, 20.4507, 20.4483) * CHOOSE( CONTROL!$C$15, $D$11, 100%, $F$11)</f>
        <v>20.450700000000001</v>
      </c>
      <c r="E733" s="12">
        <f>CHOOSE( CONTROL!$C$32, 20.436, 20.4336) * CHOOSE( CONTROL!$C$15, $D$11, 100%, $F$11)</f>
        <v>20.436</v>
      </c>
      <c r="F733" s="4">
        <f>CHOOSE( CONTROL!$C$32, 21.1433, 21.1409) * CHOOSE(CONTROL!$C$15, $D$11, 100%, $F$11)</f>
        <v>21.1433</v>
      </c>
      <c r="G733" s="8">
        <f>CHOOSE( CONTROL!$C$32, 19.9413, 19.9389) * CHOOSE( CONTROL!$C$15, $D$11, 100%, $F$11)</f>
        <v>19.941299999999998</v>
      </c>
      <c r="H733" s="4">
        <f>CHOOSE( CONTROL!$C$32, 20.9059, 20.9035) * CHOOSE(CONTROL!$C$15, $D$11, 100%, $F$11)</f>
        <v>20.905899999999999</v>
      </c>
      <c r="I733" s="8">
        <f>CHOOSE( CONTROL!$C$32, 19.6964, 19.6941) * CHOOSE(CONTROL!$C$15, $D$11, 100%, $F$11)</f>
        <v>19.696400000000001</v>
      </c>
      <c r="J733" s="4">
        <f>CHOOSE( CONTROL!$C$32, 19.5754, 19.5731) * CHOOSE(CONTROL!$C$15, $D$11, 100%, $F$11)</f>
        <v>19.575399999999998</v>
      </c>
      <c r="K733" s="4"/>
      <c r="L733" s="9">
        <v>29.7257</v>
      </c>
      <c r="M733" s="9">
        <v>11.6745</v>
      </c>
      <c r="N733" s="9">
        <v>4.7850000000000001</v>
      </c>
      <c r="O733" s="9">
        <v>0.36199999999999999</v>
      </c>
      <c r="P733" s="9">
        <v>1.1791</v>
      </c>
      <c r="Q733" s="9">
        <v>19.053000000000001</v>
      </c>
      <c r="R733" s="9"/>
      <c r="S733" s="11"/>
    </row>
    <row r="734" spans="1:19" ht="15.75">
      <c r="A734" s="13">
        <v>63858</v>
      </c>
      <c r="B734" s="8">
        <f>21.3073 * CHOOSE(CONTROL!$C$15, $D$11, 100%, $F$11)</f>
        <v>21.307300000000001</v>
      </c>
      <c r="C734" s="8">
        <f>21.318 * CHOOSE(CONTROL!$C$15, $D$11, 100%, $F$11)</f>
        <v>21.318000000000001</v>
      </c>
      <c r="D734" s="8">
        <f>21.3556 * CHOOSE( CONTROL!$C$15, $D$11, 100%, $F$11)</f>
        <v>21.355599999999999</v>
      </c>
      <c r="E734" s="12">
        <f>21.342 * CHOOSE( CONTROL!$C$15, $D$11, 100%, $F$11)</f>
        <v>21.341999999999999</v>
      </c>
      <c r="F734" s="4">
        <f>22.0465 * CHOOSE(CONTROL!$C$15, $D$11, 100%, $F$11)</f>
        <v>22.046500000000002</v>
      </c>
      <c r="G734" s="8">
        <f>20.8241 * CHOOSE( CONTROL!$C$15, $D$11, 100%, $F$11)</f>
        <v>20.824100000000001</v>
      </c>
      <c r="H734" s="4">
        <f>21.789 * CHOOSE(CONTROL!$C$15, $D$11, 100%, $F$11)</f>
        <v>21.789000000000001</v>
      </c>
      <c r="I734" s="8">
        <f>20.5647 * CHOOSE(CONTROL!$C$15, $D$11, 100%, $F$11)</f>
        <v>20.564699999999998</v>
      </c>
      <c r="J734" s="4">
        <f>20.4427 * CHOOSE(CONTROL!$C$15, $D$11, 100%, $F$11)</f>
        <v>20.442699999999999</v>
      </c>
      <c r="K734" s="4"/>
      <c r="L734" s="9">
        <v>31.095300000000002</v>
      </c>
      <c r="M734" s="9">
        <v>12.063700000000001</v>
      </c>
      <c r="N734" s="9">
        <v>4.9444999999999997</v>
      </c>
      <c r="O734" s="9">
        <v>0.37409999999999999</v>
      </c>
      <c r="P734" s="9">
        <v>1.2183999999999999</v>
      </c>
      <c r="Q734" s="9">
        <v>19.688099999999999</v>
      </c>
      <c r="R734" s="9"/>
      <c r="S734" s="11"/>
    </row>
    <row r="735" spans="1:19" ht="15.75">
      <c r="A735" s="13">
        <v>63888</v>
      </c>
      <c r="B735" s="8">
        <f>22.9789 * CHOOSE(CONTROL!$C$15, $D$11, 100%, $F$11)</f>
        <v>22.978899999999999</v>
      </c>
      <c r="C735" s="8">
        <f>22.9897 * CHOOSE(CONTROL!$C$15, $D$11, 100%, $F$11)</f>
        <v>22.989699999999999</v>
      </c>
      <c r="D735" s="8">
        <f>22.9724 * CHOOSE( CONTROL!$C$15, $D$11, 100%, $F$11)</f>
        <v>22.9724</v>
      </c>
      <c r="E735" s="12">
        <f>22.9776 * CHOOSE( CONTROL!$C$15, $D$11, 100%, $F$11)</f>
        <v>22.977599999999999</v>
      </c>
      <c r="F735" s="4">
        <f>23.6374 * CHOOSE(CONTROL!$C$15, $D$11, 100%, $F$11)</f>
        <v>23.6374</v>
      </c>
      <c r="G735" s="8">
        <f>22.4651 * CHOOSE( CONTROL!$C$15, $D$11, 100%, $F$11)</f>
        <v>22.4651</v>
      </c>
      <c r="H735" s="4">
        <f>23.3444 * CHOOSE(CONTROL!$C$15, $D$11, 100%, $F$11)</f>
        <v>23.3444</v>
      </c>
      <c r="I735" s="8">
        <f>22.2076 * CHOOSE(CONTROL!$C$15, $D$11, 100%, $F$11)</f>
        <v>22.207599999999999</v>
      </c>
      <c r="J735" s="4">
        <f>22.0476 * CHOOSE(CONTROL!$C$15, $D$11, 100%, $F$11)</f>
        <v>22.047599999999999</v>
      </c>
      <c r="K735" s="4"/>
      <c r="L735" s="9">
        <v>28.360600000000002</v>
      </c>
      <c r="M735" s="9">
        <v>11.6745</v>
      </c>
      <c r="N735" s="9">
        <v>4.7850000000000001</v>
      </c>
      <c r="O735" s="9">
        <v>0.36199999999999999</v>
      </c>
      <c r="P735" s="9">
        <v>1.2509999999999999</v>
      </c>
      <c r="Q735" s="9">
        <v>19.053000000000001</v>
      </c>
      <c r="R735" s="9"/>
      <c r="S735" s="11"/>
    </row>
    <row r="736" spans="1:19" ht="15.75">
      <c r="A736" s="13">
        <v>63919</v>
      </c>
      <c r="B736" s="8">
        <f>22.9371 * CHOOSE(CONTROL!$C$15, $D$11, 100%, $F$11)</f>
        <v>22.937100000000001</v>
      </c>
      <c r="C736" s="8">
        <f>22.9479 * CHOOSE(CONTROL!$C$15, $D$11, 100%, $F$11)</f>
        <v>22.947900000000001</v>
      </c>
      <c r="D736" s="8">
        <f>22.9323 * CHOOSE( CONTROL!$C$15, $D$11, 100%, $F$11)</f>
        <v>22.932300000000001</v>
      </c>
      <c r="E736" s="12">
        <f>22.9369 * CHOOSE( CONTROL!$C$15, $D$11, 100%, $F$11)</f>
        <v>22.936900000000001</v>
      </c>
      <c r="F736" s="4">
        <f>23.5956 * CHOOSE(CONTROL!$C$15, $D$11, 100%, $F$11)</f>
        <v>23.595600000000001</v>
      </c>
      <c r="G736" s="8">
        <f>22.4255 * CHOOSE( CONTROL!$C$15, $D$11, 100%, $F$11)</f>
        <v>22.4255</v>
      </c>
      <c r="H736" s="4">
        <f>23.3036 * CHOOSE(CONTROL!$C$15, $D$11, 100%, $F$11)</f>
        <v>23.303599999999999</v>
      </c>
      <c r="I736" s="8">
        <f>22.1727 * CHOOSE(CONTROL!$C$15, $D$11, 100%, $F$11)</f>
        <v>22.172699999999999</v>
      </c>
      <c r="J736" s="4">
        <f>22.0075 * CHOOSE(CONTROL!$C$15, $D$11, 100%, $F$11)</f>
        <v>22.0075</v>
      </c>
      <c r="K736" s="4"/>
      <c r="L736" s="9">
        <v>29.306000000000001</v>
      </c>
      <c r="M736" s="9">
        <v>12.063700000000001</v>
      </c>
      <c r="N736" s="9">
        <v>4.9444999999999997</v>
      </c>
      <c r="O736" s="9">
        <v>0.37409999999999999</v>
      </c>
      <c r="P736" s="9">
        <v>1.2927</v>
      </c>
      <c r="Q736" s="9">
        <v>19.688099999999999</v>
      </c>
      <c r="R736" s="9"/>
      <c r="S736" s="11"/>
    </row>
    <row r="737" spans="1:19" ht="15.75">
      <c r="A737" s="13">
        <v>63950</v>
      </c>
      <c r="B737" s="8">
        <f>23.6133 * CHOOSE(CONTROL!$C$15, $D$11, 100%, $F$11)</f>
        <v>23.613299999999999</v>
      </c>
      <c r="C737" s="8">
        <f>23.624 * CHOOSE(CONTROL!$C$15, $D$11, 100%, $F$11)</f>
        <v>23.623999999999999</v>
      </c>
      <c r="D737" s="8">
        <f>23.6054 * CHOOSE( CONTROL!$C$15, $D$11, 100%, $F$11)</f>
        <v>23.605399999999999</v>
      </c>
      <c r="E737" s="12">
        <f>23.6111 * CHOOSE( CONTROL!$C$15, $D$11, 100%, $F$11)</f>
        <v>23.6111</v>
      </c>
      <c r="F737" s="4">
        <f>24.2718 * CHOOSE(CONTROL!$C$15, $D$11, 100%, $F$11)</f>
        <v>24.271799999999999</v>
      </c>
      <c r="G737" s="8">
        <f>23.079 * CHOOSE( CONTROL!$C$15, $D$11, 100%, $F$11)</f>
        <v>23.079000000000001</v>
      </c>
      <c r="H737" s="4">
        <f>23.9646 * CHOOSE(CONTROL!$C$15, $D$11, 100%, $F$11)</f>
        <v>23.964600000000001</v>
      </c>
      <c r="I737" s="8">
        <f>22.7871 * CHOOSE(CONTROL!$C$15, $D$11, 100%, $F$11)</f>
        <v>22.787099999999999</v>
      </c>
      <c r="J737" s="4">
        <f>22.6566 * CHOOSE(CONTROL!$C$15, $D$11, 100%, $F$11)</f>
        <v>22.656600000000001</v>
      </c>
      <c r="K737" s="4"/>
      <c r="L737" s="9">
        <v>29.306000000000001</v>
      </c>
      <c r="M737" s="9">
        <v>12.063700000000001</v>
      </c>
      <c r="N737" s="9">
        <v>4.9444999999999997</v>
      </c>
      <c r="O737" s="9">
        <v>0.37409999999999999</v>
      </c>
      <c r="P737" s="9">
        <v>1.2927</v>
      </c>
      <c r="Q737" s="9">
        <v>19.688099999999999</v>
      </c>
      <c r="R737" s="9"/>
      <c r="S737" s="11"/>
    </row>
    <row r="738" spans="1:19" ht="15.75">
      <c r="A738" s="13">
        <v>63978</v>
      </c>
      <c r="B738" s="8">
        <f>22.0877 * CHOOSE(CONTROL!$C$15, $D$11, 100%, $F$11)</f>
        <v>22.087700000000002</v>
      </c>
      <c r="C738" s="8">
        <f>22.0985 * CHOOSE(CONTROL!$C$15, $D$11, 100%, $F$11)</f>
        <v>22.098500000000001</v>
      </c>
      <c r="D738" s="8">
        <f>22.0797 * CHOOSE( CONTROL!$C$15, $D$11, 100%, $F$11)</f>
        <v>22.079699999999999</v>
      </c>
      <c r="E738" s="12">
        <f>22.0854 * CHOOSE( CONTROL!$C$15, $D$11, 100%, $F$11)</f>
        <v>22.0854</v>
      </c>
      <c r="F738" s="4">
        <f>22.7462 * CHOOSE(CONTROL!$C$15, $D$11, 100%, $F$11)</f>
        <v>22.746200000000002</v>
      </c>
      <c r="G738" s="8">
        <f>21.5874 * CHOOSE( CONTROL!$C$15, $D$11, 100%, $F$11)</f>
        <v>21.587399999999999</v>
      </c>
      <c r="H738" s="4">
        <f>22.4731 * CHOOSE(CONTROL!$C$15, $D$11, 100%, $F$11)</f>
        <v>22.473099999999999</v>
      </c>
      <c r="I738" s="8">
        <f>21.3213 * CHOOSE(CONTROL!$C$15, $D$11, 100%, $F$11)</f>
        <v>21.321300000000001</v>
      </c>
      <c r="J738" s="4">
        <f>21.1919 * CHOOSE(CONTROL!$C$15, $D$11, 100%, $F$11)</f>
        <v>21.1919</v>
      </c>
      <c r="K738" s="4"/>
      <c r="L738" s="9">
        <v>26.469899999999999</v>
      </c>
      <c r="M738" s="9">
        <v>10.8962</v>
      </c>
      <c r="N738" s="9">
        <v>4.4660000000000002</v>
      </c>
      <c r="O738" s="9">
        <v>0.33789999999999998</v>
      </c>
      <c r="P738" s="9">
        <v>1.1676</v>
      </c>
      <c r="Q738" s="9">
        <v>17.782800000000002</v>
      </c>
      <c r="R738" s="9"/>
      <c r="S738" s="11"/>
    </row>
    <row r="739" spans="1:19" ht="15.75">
      <c r="A739" s="13">
        <v>64009</v>
      </c>
      <c r="B739" s="8">
        <f>21.6178 * CHOOSE(CONTROL!$C$15, $D$11, 100%, $F$11)</f>
        <v>21.617799999999999</v>
      </c>
      <c r="C739" s="8">
        <f>21.6286 * CHOOSE(CONTROL!$C$15, $D$11, 100%, $F$11)</f>
        <v>21.628599999999999</v>
      </c>
      <c r="D739" s="8">
        <f>21.6094 * CHOOSE( CONTROL!$C$15, $D$11, 100%, $F$11)</f>
        <v>21.609400000000001</v>
      </c>
      <c r="E739" s="12">
        <f>21.6153 * CHOOSE( CONTROL!$C$15, $D$11, 100%, $F$11)</f>
        <v>21.615300000000001</v>
      </c>
      <c r="F739" s="4">
        <f>22.2763 * CHOOSE(CONTROL!$C$15, $D$11, 100%, $F$11)</f>
        <v>22.276299999999999</v>
      </c>
      <c r="G739" s="8">
        <f>21.1277 * CHOOSE( CONTROL!$C$15, $D$11, 100%, $F$11)</f>
        <v>21.127700000000001</v>
      </c>
      <c r="H739" s="4">
        <f>22.0137 * CHOOSE(CONTROL!$C$15, $D$11, 100%, $F$11)</f>
        <v>22.0137</v>
      </c>
      <c r="I739" s="8">
        <f>20.8685 * CHOOSE(CONTROL!$C$15, $D$11, 100%, $F$11)</f>
        <v>20.868500000000001</v>
      </c>
      <c r="J739" s="4">
        <f>20.7408 * CHOOSE(CONTROL!$C$15, $D$11, 100%, $F$11)</f>
        <v>20.7408</v>
      </c>
      <c r="K739" s="4"/>
      <c r="L739" s="9">
        <v>29.306000000000001</v>
      </c>
      <c r="M739" s="9">
        <v>12.063700000000001</v>
      </c>
      <c r="N739" s="9">
        <v>4.9444999999999997</v>
      </c>
      <c r="O739" s="9">
        <v>0.37409999999999999</v>
      </c>
      <c r="P739" s="9">
        <v>1.2927</v>
      </c>
      <c r="Q739" s="9">
        <v>19.688099999999999</v>
      </c>
      <c r="R739" s="9"/>
      <c r="S739" s="11"/>
    </row>
    <row r="740" spans="1:19" ht="15.75">
      <c r="A740" s="13">
        <v>64039</v>
      </c>
      <c r="B740" s="8">
        <f>21.9461 * CHOOSE(CONTROL!$C$15, $D$11, 100%, $F$11)</f>
        <v>21.946100000000001</v>
      </c>
      <c r="C740" s="8">
        <f>21.9569 * CHOOSE(CONTROL!$C$15, $D$11, 100%, $F$11)</f>
        <v>21.956900000000001</v>
      </c>
      <c r="D740" s="8">
        <f>21.9938 * CHOOSE( CONTROL!$C$15, $D$11, 100%, $F$11)</f>
        <v>21.9938</v>
      </c>
      <c r="E740" s="12">
        <f>21.9804 * CHOOSE( CONTROL!$C$15, $D$11, 100%, $F$11)</f>
        <v>21.980399999999999</v>
      </c>
      <c r="F740" s="4">
        <f>22.6854 * CHOOSE(CONTROL!$C$15, $D$11, 100%, $F$11)</f>
        <v>22.685400000000001</v>
      </c>
      <c r="G740" s="8">
        <f>21.4479 * CHOOSE( CONTROL!$C$15, $D$11, 100%, $F$11)</f>
        <v>21.447900000000001</v>
      </c>
      <c r="H740" s="4">
        <f>22.4136 * CHOOSE(CONTROL!$C$15, $D$11, 100%, $F$11)</f>
        <v>22.413599999999999</v>
      </c>
      <c r="I740" s="8">
        <f>21.1757 * CHOOSE(CONTROL!$C$15, $D$11, 100%, $F$11)</f>
        <v>21.175699999999999</v>
      </c>
      <c r="J740" s="4">
        <f>21.056 * CHOOSE(CONTROL!$C$15, $D$11, 100%, $F$11)</f>
        <v>21.056000000000001</v>
      </c>
      <c r="K740" s="4"/>
      <c r="L740" s="9">
        <v>30.092199999999998</v>
      </c>
      <c r="M740" s="9">
        <v>11.6745</v>
      </c>
      <c r="N740" s="9">
        <v>4.7850000000000001</v>
      </c>
      <c r="O740" s="9">
        <v>0.36199999999999999</v>
      </c>
      <c r="P740" s="9">
        <v>1.1791</v>
      </c>
      <c r="Q740" s="9">
        <v>19.053000000000001</v>
      </c>
      <c r="R740" s="9"/>
      <c r="S740" s="11"/>
    </row>
    <row r="741" spans="1:19" ht="15.75">
      <c r="A741" s="13">
        <v>64070</v>
      </c>
      <c r="B741" s="8">
        <f>CHOOSE( CONTROL!$C$32, 22.5328, 22.5304) * CHOOSE(CONTROL!$C$15, $D$11, 100%, $F$11)</f>
        <v>22.532800000000002</v>
      </c>
      <c r="C741" s="8">
        <f>CHOOSE( CONTROL!$C$32, 22.5433, 22.541) * CHOOSE(CONTROL!$C$15, $D$11, 100%, $F$11)</f>
        <v>22.543299999999999</v>
      </c>
      <c r="D741" s="8">
        <f>CHOOSE( CONTROL!$C$32, 22.5792, 22.5768) * CHOOSE( CONTROL!$C$15, $D$11, 100%, $F$11)</f>
        <v>22.5792</v>
      </c>
      <c r="E741" s="12">
        <f>CHOOSE( CONTROL!$C$32, 22.5646, 22.5622) * CHOOSE( CONTROL!$C$15, $D$11, 100%, $F$11)</f>
        <v>22.564599999999999</v>
      </c>
      <c r="F741" s="4">
        <f>CHOOSE( CONTROL!$C$32, 23.2721, 23.2697) * CHOOSE(CONTROL!$C$15, $D$11, 100%, $F$11)</f>
        <v>23.272099999999998</v>
      </c>
      <c r="G741" s="8">
        <f>CHOOSE( CONTROL!$C$32, 22.0221, 22.0197) * CHOOSE( CONTROL!$C$15, $D$11, 100%, $F$11)</f>
        <v>22.022099999999998</v>
      </c>
      <c r="H741" s="4">
        <f>CHOOSE( CONTROL!$C$32, 22.9873, 22.9849) * CHOOSE(CONTROL!$C$15, $D$11, 100%, $F$11)</f>
        <v>22.987300000000001</v>
      </c>
      <c r="I741" s="8">
        <f>CHOOSE( CONTROL!$C$32, 21.7394, 21.7371) * CHOOSE(CONTROL!$C$15, $D$11, 100%, $F$11)</f>
        <v>21.7394</v>
      </c>
      <c r="J741" s="4">
        <f>CHOOSE( CONTROL!$C$32, 21.6194, 21.6171) * CHOOSE(CONTROL!$C$15, $D$11, 100%, $F$11)</f>
        <v>21.619399999999999</v>
      </c>
      <c r="K741" s="4"/>
      <c r="L741" s="9">
        <v>30.7165</v>
      </c>
      <c r="M741" s="9">
        <v>12.063700000000001</v>
      </c>
      <c r="N741" s="9">
        <v>4.9444999999999997</v>
      </c>
      <c r="O741" s="9">
        <v>0.37409999999999999</v>
      </c>
      <c r="P741" s="9">
        <v>1.2183999999999999</v>
      </c>
      <c r="Q741" s="9">
        <v>19.688099999999999</v>
      </c>
      <c r="R741" s="9"/>
      <c r="S741" s="11"/>
    </row>
    <row r="742" spans="1:19" ht="15.75">
      <c r="A742" s="13">
        <v>64100</v>
      </c>
      <c r="B742" s="8">
        <f>CHOOSE( CONTROL!$C$32, 22.1708, 22.1684) * CHOOSE(CONTROL!$C$15, $D$11, 100%, $F$11)</f>
        <v>22.1708</v>
      </c>
      <c r="C742" s="8">
        <f>CHOOSE( CONTROL!$C$32, 22.1813, 22.179) * CHOOSE(CONTROL!$C$15, $D$11, 100%, $F$11)</f>
        <v>22.1813</v>
      </c>
      <c r="D742" s="8">
        <f>CHOOSE( CONTROL!$C$32, 22.2174, 22.215) * CHOOSE( CONTROL!$C$15, $D$11, 100%, $F$11)</f>
        <v>22.217400000000001</v>
      </c>
      <c r="E742" s="12">
        <f>CHOOSE( CONTROL!$C$32, 22.2027, 22.2003) * CHOOSE( CONTROL!$C$15, $D$11, 100%, $F$11)</f>
        <v>22.2027</v>
      </c>
      <c r="F742" s="4">
        <f>CHOOSE( CONTROL!$C$32, 22.9101, 22.9077) * CHOOSE(CONTROL!$C$15, $D$11, 100%, $F$11)</f>
        <v>22.9101</v>
      </c>
      <c r="G742" s="8">
        <f>CHOOSE( CONTROL!$C$32, 21.6685, 21.6661) * CHOOSE( CONTROL!$C$15, $D$11, 100%, $F$11)</f>
        <v>21.668500000000002</v>
      </c>
      <c r="H742" s="4">
        <f>CHOOSE( CONTROL!$C$32, 22.6333, 22.631) * CHOOSE(CONTROL!$C$15, $D$11, 100%, $F$11)</f>
        <v>22.633299999999998</v>
      </c>
      <c r="I742" s="8">
        <f>CHOOSE( CONTROL!$C$32, 21.3926, 21.3903) * CHOOSE(CONTROL!$C$15, $D$11, 100%, $F$11)</f>
        <v>21.392600000000002</v>
      </c>
      <c r="J742" s="4">
        <f>CHOOSE( CONTROL!$C$32, 21.2718, 21.2695) * CHOOSE(CONTROL!$C$15, $D$11, 100%, $F$11)</f>
        <v>21.271799999999999</v>
      </c>
      <c r="K742" s="4"/>
      <c r="L742" s="9">
        <v>29.7257</v>
      </c>
      <c r="M742" s="9">
        <v>11.6745</v>
      </c>
      <c r="N742" s="9">
        <v>4.7850000000000001</v>
      </c>
      <c r="O742" s="9">
        <v>0.36199999999999999</v>
      </c>
      <c r="P742" s="9">
        <v>1.1791</v>
      </c>
      <c r="Q742" s="9">
        <v>19.053000000000001</v>
      </c>
      <c r="R742" s="9"/>
      <c r="S742" s="11"/>
    </row>
    <row r="743" spans="1:19" ht="15.75">
      <c r="A743" s="13">
        <v>64131</v>
      </c>
      <c r="B743" s="8">
        <f>CHOOSE( CONTROL!$C$32, 23.124, 23.1217) * CHOOSE(CONTROL!$C$15, $D$11, 100%, $F$11)</f>
        <v>23.123999999999999</v>
      </c>
      <c r="C743" s="8">
        <f>CHOOSE( CONTROL!$C$32, 23.1346, 23.1322) * CHOOSE(CONTROL!$C$15, $D$11, 100%, $F$11)</f>
        <v>23.134599999999999</v>
      </c>
      <c r="D743" s="8">
        <f>CHOOSE( CONTROL!$C$32, 23.1709, 23.1685) * CHOOSE( CONTROL!$C$15, $D$11, 100%, $F$11)</f>
        <v>23.1709</v>
      </c>
      <c r="E743" s="12">
        <f>CHOOSE( CONTROL!$C$32, 23.1561, 23.1537) * CHOOSE( CONTROL!$C$15, $D$11, 100%, $F$11)</f>
        <v>23.156099999999999</v>
      </c>
      <c r="F743" s="4">
        <f>CHOOSE( CONTROL!$C$32, 23.8634, 23.861) * CHOOSE(CONTROL!$C$15, $D$11, 100%, $F$11)</f>
        <v>23.863399999999999</v>
      </c>
      <c r="G743" s="8">
        <f>CHOOSE( CONTROL!$C$32, 22.6008, 22.5985) * CHOOSE( CONTROL!$C$15, $D$11, 100%, $F$11)</f>
        <v>22.6008</v>
      </c>
      <c r="H743" s="4">
        <f>CHOOSE( CONTROL!$C$32, 23.5654, 23.563) * CHOOSE(CONTROL!$C$15, $D$11, 100%, $F$11)</f>
        <v>23.5654</v>
      </c>
      <c r="I743" s="8">
        <f>CHOOSE( CONTROL!$C$32, 22.3093, 22.307) * CHOOSE(CONTROL!$C$15, $D$11, 100%, $F$11)</f>
        <v>22.3093</v>
      </c>
      <c r="J743" s="4">
        <f>CHOOSE( CONTROL!$C$32, 22.1871, 22.1848) * CHOOSE(CONTROL!$C$15, $D$11, 100%, $F$11)</f>
        <v>22.187100000000001</v>
      </c>
      <c r="K743" s="4"/>
      <c r="L743" s="9">
        <v>30.7165</v>
      </c>
      <c r="M743" s="9">
        <v>12.063700000000001</v>
      </c>
      <c r="N743" s="9">
        <v>4.9444999999999997</v>
      </c>
      <c r="O743" s="9">
        <v>0.37409999999999999</v>
      </c>
      <c r="P743" s="9">
        <v>1.2183999999999999</v>
      </c>
      <c r="Q743" s="9">
        <v>19.688099999999999</v>
      </c>
      <c r="R743" s="9"/>
      <c r="S743" s="11"/>
    </row>
    <row r="744" spans="1:19" ht="15.75">
      <c r="A744" s="13">
        <v>64162</v>
      </c>
      <c r="B744" s="8">
        <f>CHOOSE( CONTROL!$C$32, 21.3404, 21.338) * CHOOSE(CONTROL!$C$15, $D$11, 100%, $F$11)</f>
        <v>21.340399999999999</v>
      </c>
      <c r="C744" s="8">
        <f>CHOOSE( CONTROL!$C$32, 21.3509, 21.3486) * CHOOSE(CONTROL!$C$15, $D$11, 100%, $F$11)</f>
        <v>21.350899999999999</v>
      </c>
      <c r="D744" s="8">
        <f>CHOOSE( CONTROL!$C$32, 21.3872, 21.3849) * CHOOSE( CONTROL!$C$15, $D$11, 100%, $F$11)</f>
        <v>21.3872</v>
      </c>
      <c r="E744" s="12">
        <f>CHOOSE( CONTROL!$C$32, 21.3724, 21.3701) * CHOOSE( CONTROL!$C$15, $D$11, 100%, $F$11)</f>
        <v>21.372399999999999</v>
      </c>
      <c r="F744" s="4">
        <f>CHOOSE( CONTROL!$C$32, 22.0797, 22.0773) * CHOOSE(CONTROL!$C$15, $D$11, 100%, $F$11)</f>
        <v>22.079699999999999</v>
      </c>
      <c r="G744" s="8">
        <f>CHOOSE( CONTROL!$C$32, 20.857, 20.8546) * CHOOSE( CONTROL!$C$15, $D$11, 100%, $F$11)</f>
        <v>20.856999999999999</v>
      </c>
      <c r="H744" s="4">
        <f>CHOOSE( CONTROL!$C$32, 21.8215, 21.8191) * CHOOSE(CONTROL!$C$15, $D$11, 100%, $F$11)</f>
        <v>21.8215</v>
      </c>
      <c r="I744" s="8">
        <f>CHOOSE( CONTROL!$C$32, 20.5962, 20.5939) * CHOOSE(CONTROL!$C$15, $D$11, 100%, $F$11)</f>
        <v>20.5962</v>
      </c>
      <c r="J744" s="4">
        <f>CHOOSE( CONTROL!$C$32, 20.4746, 20.4723) * CHOOSE(CONTROL!$C$15, $D$11, 100%, $F$11)</f>
        <v>20.474599999999999</v>
      </c>
      <c r="K744" s="4"/>
      <c r="L744" s="9">
        <v>30.7165</v>
      </c>
      <c r="M744" s="9">
        <v>12.063700000000001</v>
      </c>
      <c r="N744" s="9">
        <v>4.9444999999999997</v>
      </c>
      <c r="O744" s="9">
        <v>0.37409999999999999</v>
      </c>
      <c r="P744" s="9">
        <v>1.2183999999999999</v>
      </c>
      <c r="Q744" s="9">
        <v>19.688099999999999</v>
      </c>
      <c r="R744" s="9"/>
      <c r="S744" s="11"/>
    </row>
    <row r="745" spans="1:19" ht="15.75">
      <c r="A745" s="13">
        <v>64192</v>
      </c>
      <c r="B745" s="8">
        <f>CHOOSE( CONTROL!$C$32, 20.8937, 20.8913) * CHOOSE(CONTROL!$C$15, $D$11, 100%, $F$11)</f>
        <v>20.893699999999999</v>
      </c>
      <c r="C745" s="8">
        <f>CHOOSE( CONTROL!$C$32, 20.9043, 20.9019) * CHOOSE(CONTROL!$C$15, $D$11, 100%, $F$11)</f>
        <v>20.904299999999999</v>
      </c>
      <c r="D745" s="8">
        <f>CHOOSE( CONTROL!$C$32, 20.9405, 20.9381) * CHOOSE( CONTROL!$C$15, $D$11, 100%, $F$11)</f>
        <v>20.9405</v>
      </c>
      <c r="E745" s="12">
        <f>CHOOSE( CONTROL!$C$32, 20.9258, 20.9234) * CHOOSE( CONTROL!$C$15, $D$11, 100%, $F$11)</f>
        <v>20.925799999999999</v>
      </c>
      <c r="F745" s="4">
        <f>CHOOSE( CONTROL!$C$32, 21.6331, 21.6307) * CHOOSE(CONTROL!$C$15, $D$11, 100%, $F$11)</f>
        <v>21.633099999999999</v>
      </c>
      <c r="G745" s="8">
        <f>CHOOSE( CONTROL!$C$32, 20.4202, 20.4178) * CHOOSE( CONTROL!$C$15, $D$11, 100%, $F$11)</f>
        <v>20.420200000000001</v>
      </c>
      <c r="H745" s="4">
        <f>CHOOSE( CONTROL!$C$32, 21.3848, 21.3824) * CHOOSE(CONTROL!$C$15, $D$11, 100%, $F$11)</f>
        <v>21.384799999999998</v>
      </c>
      <c r="I745" s="8">
        <f>CHOOSE( CONTROL!$C$32, 20.1669, 20.1646) * CHOOSE(CONTROL!$C$15, $D$11, 100%, $F$11)</f>
        <v>20.166899999999998</v>
      </c>
      <c r="J745" s="4">
        <f>CHOOSE( CONTROL!$C$32, 20.0457, 20.0434) * CHOOSE(CONTROL!$C$15, $D$11, 100%, $F$11)</f>
        <v>20.0457</v>
      </c>
      <c r="K745" s="4"/>
      <c r="L745" s="9">
        <v>29.7257</v>
      </c>
      <c r="M745" s="9">
        <v>11.6745</v>
      </c>
      <c r="N745" s="9">
        <v>4.7850000000000001</v>
      </c>
      <c r="O745" s="9">
        <v>0.36199999999999999</v>
      </c>
      <c r="P745" s="9">
        <v>1.1791</v>
      </c>
      <c r="Q745" s="9">
        <v>19.053000000000001</v>
      </c>
      <c r="R745" s="9"/>
      <c r="S745" s="11"/>
    </row>
    <row r="746" spans="1:19" ht="15.75">
      <c r="A746" s="13">
        <v>64223</v>
      </c>
      <c r="B746" s="8">
        <f>21.8188 * CHOOSE(CONTROL!$C$15, $D$11, 100%, $F$11)</f>
        <v>21.8188</v>
      </c>
      <c r="C746" s="8">
        <f>21.8296 * CHOOSE(CONTROL!$C$15, $D$11, 100%, $F$11)</f>
        <v>21.829599999999999</v>
      </c>
      <c r="D746" s="8">
        <f>21.8671 * CHOOSE( CONTROL!$C$15, $D$11, 100%, $F$11)</f>
        <v>21.867100000000001</v>
      </c>
      <c r="E746" s="12">
        <f>21.8536 * CHOOSE( CONTROL!$C$15, $D$11, 100%, $F$11)</f>
        <v>21.8536</v>
      </c>
      <c r="F746" s="4">
        <f>22.5581 * CHOOSE(CONTROL!$C$15, $D$11, 100%, $F$11)</f>
        <v>22.5581</v>
      </c>
      <c r="G746" s="8">
        <f>21.3243 * CHOOSE( CONTROL!$C$15, $D$11, 100%, $F$11)</f>
        <v>21.324300000000001</v>
      </c>
      <c r="H746" s="4">
        <f>22.2892 * CHOOSE(CONTROL!$C$15, $D$11, 100%, $F$11)</f>
        <v>22.289200000000001</v>
      </c>
      <c r="I746" s="8">
        <f>21.0562 * CHOOSE(CONTROL!$C$15, $D$11, 100%, $F$11)</f>
        <v>21.0562</v>
      </c>
      <c r="J746" s="4">
        <f>20.9338 * CHOOSE(CONTROL!$C$15, $D$11, 100%, $F$11)</f>
        <v>20.933800000000002</v>
      </c>
      <c r="K746" s="4"/>
      <c r="L746" s="9">
        <v>31.095300000000002</v>
      </c>
      <c r="M746" s="9">
        <v>12.063700000000001</v>
      </c>
      <c r="N746" s="9">
        <v>4.9444999999999997</v>
      </c>
      <c r="O746" s="9">
        <v>0.37409999999999999</v>
      </c>
      <c r="P746" s="9">
        <v>1.2183999999999999</v>
      </c>
      <c r="Q746" s="9">
        <v>19.688099999999999</v>
      </c>
      <c r="R746" s="9"/>
      <c r="S746" s="11"/>
    </row>
    <row r="747" spans="1:19" ht="15.75">
      <c r="A747" s="13">
        <v>64253</v>
      </c>
      <c r="B747" s="8">
        <f>23.5307 * CHOOSE(CONTROL!$C$15, $D$11, 100%, $F$11)</f>
        <v>23.5307</v>
      </c>
      <c r="C747" s="8">
        <f>23.5414 * CHOOSE(CONTROL!$C$15, $D$11, 100%, $F$11)</f>
        <v>23.541399999999999</v>
      </c>
      <c r="D747" s="8">
        <f>23.5242 * CHOOSE( CONTROL!$C$15, $D$11, 100%, $F$11)</f>
        <v>23.5242</v>
      </c>
      <c r="E747" s="12">
        <f>23.5293 * CHOOSE( CONTROL!$C$15, $D$11, 100%, $F$11)</f>
        <v>23.529299999999999</v>
      </c>
      <c r="F747" s="4">
        <f>24.1892 * CHOOSE(CONTROL!$C$15, $D$11, 100%, $F$11)</f>
        <v>24.1892</v>
      </c>
      <c r="G747" s="8">
        <f>23.0046 * CHOOSE( CONTROL!$C$15, $D$11, 100%, $F$11)</f>
        <v>23.0046</v>
      </c>
      <c r="H747" s="4">
        <f>23.8839 * CHOOSE(CONTROL!$C$15, $D$11, 100%, $F$11)</f>
        <v>23.883900000000001</v>
      </c>
      <c r="I747" s="8">
        <f>22.7377 * CHOOSE(CONTROL!$C$15, $D$11, 100%, $F$11)</f>
        <v>22.7377</v>
      </c>
      <c r="J747" s="4">
        <f>22.5773 * CHOOSE(CONTROL!$C$15, $D$11, 100%, $F$11)</f>
        <v>22.577300000000001</v>
      </c>
      <c r="K747" s="4"/>
      <c r="L747" s="9">
        <v>28.360600000000002</v>
      </c>
      <c r="M747" s="9">
        <v>11.6745</v>
      </c>
      <c r="N747" s="9">
        <v>4.7850000000000001</v>
      </c>
      <c r="O747" s="9">
        <v>0.36199999999999999</v>
      </c>
      <c r="P747" s="9">
        <v>1.2509999999999999</v>
      </c>
      <c r="Q747" s="9">
        <v>19.053000000000001</v>
      </c>
      <c r="R747" s="9"/>
      <c r="S747" s="11"/>
    </row>
    <row r="748" spans="1:19" ht="15.75">
      <c r="A748" s="13">
        <v>64284</v>
      </c>
      <c r="B748" s="8">
        <f>23.4879 * CHOOSE(CONTROL!$C$15, $D$11, 100%, $F$11)</f>
        <v>23.4879</v>
      </c>
      <c r="C748" s="8">
        <f>23.4987 * CHOOSE(CONTROL!$C$15, $D$11, 100%, $F$11)</f>
        <v>23.498699999999999</v>
      </c>
      <c r="D748" s="8">
        <f>23.4831 * CHOOSE( CONTROL!$C$15, $D$11, 100%, $F$11)</f>
        <v>23.4831</v>
      </c>
      <c r="E748" s="12">
        <f>23.4877 * CHOOSE( CONTROL!$C$15, $D$11, 100%, $F$11)</f>
        <v>23.4877</v>
      </c>
      <c r="F748" s="4">
        <f>24.1464 * CHOOSE(CONTROL!$C$15, $D$11, 100%, $F$11)</f>
        <v>24.1464</v>
      </c>
      <c r="G748" s="8">
        <f>22.964 * CHOOSE( CONTROL!$C$15, $D$11, 100%, $F$11)</f>
        <v>22.963999999999999</v>
      </c>
      <c r="H748" s="4">
        <f>23.842 * CHOOSE(CONTROL!$C$15, $D$11, 100%, $F$11)</f>
        <v>23.841999999999999</v>
      </c>
      <c r="I748" s="8">
        <f>22.7018 * CHOOSE(CONTROL!$C$15, $D$11, 100%, $F$11)</f>
        <v>22.701799999999999</v>
      </c>
      <c r="J748" s="4">
        <f>22.5363 * CHOOSE(CONTROL!$C$15, $D$11, 100%, $F$11)</f>
        <v>22.536300000000001</v>
      </c>
      <c r="K748" s="4"/>
      <c r="L748" s="9">
        <v>29.306000000000001</v>
      </c>
      <c r="M748" s="9">
        <v>12.063700000000001</v>
      </c>
      <c r="N748" s="9">
        <v>4.9444999999999997</v>
      </c>
      <c r="O748" s="9">
        <v>0.37409999999999999</v>
      </c>
      <c r="P748" s="9">
        <v>1.2927</v>
      </c>
      <c r="Q748" s="9">
        <v>19.688099999999999</v>
      </c>
      <c r="R748" s="9"/>
      <c r="S748" s="11"/>
    </row>
    <row r="749" spans="1:19" ht="15.75">
      <c r="A749" s="13">
        <v>64315</v>
      </c>
      <c r="B749" s="8">
        <f>24.1803 * CHOOSE(CONTROL!$C$15, $D$11, 100%, $F$11)</f>
        <v>24.180299999999999</v>
      </c>
      <c r="C749" s="8">
        <f>24.191 * CHOOSE(CONTROL!$C$15, $D$11, 100%, $F$11)</f>
        <v>24.190999999999999</v>
      </c>
      <c r="D749" s="8">
        <f>24.1724 * CHOOSE( CONTROL!$C$15, $D$11, 100%, $F$11)</f>
        <v>24.1724</v>
      </c>
      <c r="E749" s="12">
        <f>24.1781 * CHOOSE( CONTROL!$C$15, $D$11, 100%, $F$11)</f>
        <v>24.178100000000001</v>
      </c>
      <c r="F749" s="4">
        <f>24.8388 * CHOOSE(CONTROL!$C$15, $D$11, 100%, $F$11)</f>
        <v>24.838799999999999</v>
      </c>
      <c r="G749" s="8">
        <f>23.6334 * CHOOSE( CONTROL!$C$15, $D$11, 100%, $F$11)</f>
        <v>23.633400000000002</v>
      </c>
      <c r="H749" s="4">
        <f>24.519 * CHOOSE(CONTROL!$C$15, $D$11, 100%, $F$11)</f>
        <v>24.518999999999998</v>
      </c>
      <c r="I749" s="8">
        <f>23.3317 * CHOOSE(CONTROL!$C$15, $D$11, 100%, $F$11)</f>
        <v>23.331700000000001</v>
      </c>
      <c r="J749" s="4">
        <f>23.201 * CHOOSE(CONTROL!$C$15, $D$11, 100%, $F$11)</f>
        <v>23.201000000000001</v>
      </c>
      <c r="K749" s="4"/>
      <c r="L749" s="9">
        <v>29.306000000000001</v>
      </c>
      <c r="M749" s="9">
        <v>12.063700000000001</v>
      </c>
      <c r="N749" s="9">
        <v>4.9444999999999997</v>
      </c>
      <c r="O749" s="9">
        <v>0.37409999999999999</v>
      </c>
      <c r="P749" s="9">
        <v>1.2927</v>
      </c>
      <c r="Q749" s="9">
        <v>19.688099999999999</v>
      </c>
      <c r="R749" s="9"/>
      <c r="S749" s="11"/>
    </row>
    <row r="750" spans="1:19" ht="15.75">
      <c r="A750" s="13">
        <v>64344</v>
      </c>
      <c r="B750" s="8">
        <f>22.618 * CHOOSE(CONTROL!$C$15, $D$11, 100%, $F$11)</f>
        <v>22.617999999999999</v>
      </c>
      <c r="C750" s="8">
        <f>22.6288 * CHOOSE(CONTROL!$C$15, $D$11, 100%, $F$11)</f>
        <v>22.628799999999998</v>
      </c>
      <c r="D750" s="8">
        <f>22.6101 * CHOOSE( CONTROL!$C$15, $D$11, 100%, $F$11)</f>
        <v>22.610099999999999</v>
      </c>
      <c r="E750" s="12">
        <f>22.6158 * CHOOSE( CONTROL!$C$15, $D$11, 100%, $F$11)</f>
        <v>22.6158</v>
      </c>
      <c r="F750" s="4">
        <f>23.2765 * CHOOSE(CONTROL!$C$15, $D$11, 100%, $F$11)</f>
        <v>23.276499999999999</v>
      </c>
      <c r="G750" s="8">
        <f>22.1059 * CHOOSE( CONTROL!$C$15, $D$11, 100%, $F$11)</f>
        <v>22.105899999999998</v>
      </c>
      <c r="H750" s="4">
        <f>22.9916 * CHOOSE(CONTROL!$C$15, $D$11, 100%, $F$11)</f>
        <v>22.991599999999998</v>
      </c>
      <c r="I750" s="8">
        <f>21.8308 * CHOOSE(CONTROL!$C$15, $D$11, 100%, $F$11)</f>
        <v>21.8308</v>
      </c>
      <c r="J750" s="4">
        <f>21.7011 * CHOOSE(CONTROL!$C$15, $D$11, 100%, $F$11)</f>
        <v>21.7011</v>
      </c>
      <c r="K750" s="4"/>
      <c r="L750" s="9">
        <v>27.415299999999998</v>
      </c>
      <c r="M750" s="9">
        <v>11.285299999999999</v>
      </c>
      <c r="N750" s="9">
        <v>4.6254999999999997</v>
      </c>
      <c r="O750" s="9">
        <v>0.34989999999999999</v>
      </c>
      <c r="P750" s="9">
        <v>1.2093</v>
      </c>
      <c r="Q750" s="9">
        <v>18.417899999999999</v>
      </c>
      <c r="R750" s="9"/>
      <c r="S750" s="11"/>
    </row>
    <row r="751" spans="1:19" ht="15.75">
      <c r="A751" s="13">
        <v>64375</v>
      </c>
      <c r="B751" s="8">
        <f>22.1369 * CHOOSE(CONTROL!$C$15, $D$11, 100%, $F$11)</f>
        <v>22.136900000000001</v>
      </c>
      <c r="C751" s="8">
        <f>22.1476 * CHOOSE(CONTROL!$C$15, $D$11, 100%, $F$11)</f>
        <v>22.147600000000001</v>
      </c>
      <c r="D751" s="8">
        <f>22.1284 * CHOOSE( CONTROL!$C$15, $D$11, 100%, $F$11)</f>
        <v>22.128399999999999</v>
      </c>
      <c r="E751" s="12">
        <f>22.1343 * CHOOSE( CONTROL!$C$15, $D$11, 100%, $F$11)</f>
        <v>22.1343</v>
      </c>
      <c r="F751" s="4">
        <f>22.7954 * CHOOSE(CONTROL!$C$15, $D$11, 100%, $F$11)</f>
        <v>22.795400000000001</v>
      </c>
      <c r="G751" s="8">
        <f>21.6351 * CHOOSE( CONTROL!$C$15, $D$11, 100%, $F$11)</f>
        <v>21.635100000000001</v>
      </c>
      <c r="H751" s="4">
        <f>22.5211 * CHOOSE(CONTROL!$C$15, $D$11, 100%, $F$11)</f>
        <v>22.521100000000001</v>
      </c>
      <c r="I751" s="8">
        <f>21.3671 * CHOOSE(CONTROL!$C$15, $D$11, 100%, $F$11)</f>
        <v>21.367100000000001</v>
      </c>
      <c r="J751" s="4">
        <f>21.2391 * CHOOSE(CONTROL!$C$15, $D$11, 100%, $F$11)</f>
        <v>21.239100000000001</v>
      </c>
      <c r="K751" s="4"/>
      <c r="L751" s="9">
        <v>29.306000000000001</v>
      </c>
      <c r="M751" s="9">
        <v>12.063700000000001</v>
      </c>
      <c r="N751" s="9">
        <v>4.9444999999999997</v>
      </c>
      <c r="O751" s="9">
        <v>0.37409999999999999</v>
      </c>
      <c r="P751" s="9">
        <v>1.2927</v>
      </c>
      <c r="Q751" s="9">
        <v>19.688099999999999</v>
      </c>
      <c r="R751" s="9"/>
      <c r="S751" s="11"/>
    </row>
    <row r="752" spans="1:19" ht="15.75">
      <c r="A752" s="13">
        <v>64405</v>
      </c>
      <c r="B752" s="8">
        <f>22.4731 * CHOOSE(CONTROL!$C$15, $D$11, 100%, $F$11)</f>
        <v>22.473099999999999</v>
      </c>
      <c r="C752" s="8">
        <f>22.4839 * CHOOSE(CONTROL!$C$15, $D$11, 100%, $F$11)</f>
        <v>22.483899999999998</v>
      </c>
      <c r="D752" s="8">
        <f>22.5208 * CHOOSE( CONTROL!$C$15, $D$11, 100%, $F$11)</f>
        <v>22.520800000000001</v>
      </c>
      <c r="E752" s="12">
        <f>22.5074 * CHOOSE( CONTROL!$C$15, $D$11, 100%, $F$11)</f>
        <v>22.507400000000001</v>
      </c>
      <c r="F752" s="4">
        <f>23.2123 * CHOOSE(CONTROL!$C$15, $D$11, 100%, $F$11)</f>
        <v>23.212299999999999</v>
      </c>
      <c r="G752" s="8">
        <f>21.9631 * CHOOSE( CONTROL!$C$15, $D$11, 100%, $F$11)</f>
        <v>21.963100000000001</v>
      </c>
      <c r="H752" s="4">
        <f>22.9288 * CHOOSE(CONTROL!$C$15, $D$11, 100%, $F$11)</f>
        <v>22.928799999999999</v>
      </c>
      <c r="I752" s="8">
        <f>21.6819 * CHOOSE(CONTROL!$C$15, $D$11, 100%, $F$11)</f>
        <v>21.681899999999999</v>
      </c>
      <c r="J752" s="4">
        <f>21.562 * CHOOSE(CONTROL!$C$15, $D$11, 100%, $F$11)</f>
        <v>21.562000000000001</v>
      </c>
      <c r="K752" s="4"/>
      <c r="L752" s="9">
        <v>30.092199999999998</v>
      </c>
      <c r="M752" s="9">
        <v>11.6745</v>
      </c>
      <c r="N752" s="9">
        <v>4.7850000000000001</v>
      </c>
      <c r="O752" s="9">
        <v>0.36199999999999999</v>
      </c>
      <c r="P752" s="9">
        <v>1.1791</v>
      </c>
      <c r="Q752" s="9">
        <v>19.053000000000001</v>
      </c>
      <c r="R752" s="9"/>
      <c r="S752" s="11"/>
    </row>
    <row r="753" spans="1:19" ht="15.75">
      <c r="A753" s="13">
        <v>64436</v>
      </c>
      <c r="B753" s="8">
        <f>CHOOSE( CONTROL!$C$32, 23.0738, 23.0714) * CHOOSE(CONTROL!$C$15, $D$11, 100%, $F$11)</f>
        <v>23.073799999999999</v>
      </c>
      <c r="C753" s="8">
        <f>CHOOSE( CONTROL!$C$32, 23.0843, 23.0819) * CHOOSE(CONTROL!$C$15, $D$11, 100%, $F$11)</f>
        <v>23.084299999999999</v>
      </c>
      <c r="D753" s="8">
        <f>CHOOSE( CONTROL!$C$32, 23.1202, 23.1178) * CHOOSE( CONTROL!$C$15, $D$11, 100%, $F$11)</f>
        <v>23.120200000000001</v>
      </c>
      <c r="E753" s="12">
        <f>CHOOSE( CONTROL!$C$32, 23.1056, 23.1032) * CHOOSE( CONTROL!$C$15, $D$11, 100%, $F$11)</f>
        <v>23.105599999999999</v>
      </c>
      <c r="F753" s="4">
        <f>CHOOSE( CONTROL!$C$32, 23.8131, 23.8107) * CHOOSE(CONTROL!$C$15, $D$11, 100%, $F$11)</f>
        <v>23.813099999999999</v>
      </c>
      <c r="G753" s="8">
        <f>CHOOSE( CONTROL!$C$32, 22.551, 22.5487) * CHOOSE( CONTROL!$C$15, $D$11, 100%, $F$11)</f>
        <v>22.550999999999998</v>
      </c>
      <c r="H753" s="4">
        <f>CHOOSE( CONTROL!$C$32, 23.5162, 23.5139) * CHOOSE(CONTROL!$C$15, $D$11, 100%, $F$11)</f>
        <v>23.516200000000001</v>
      </c>
      <c r="I753" s="8">
        <f>CHOOSE( CONTROL!$C$32, 22.2591, 22.2568) * CHOOSE(CONTROL!$C$15, $D$11, 100%, $F$11)</f>
        <v>22.2591</v>
      </c>
      <c r="J753" s="4">
        <f>CHOOSE( CONTROL!$C$32, 22.1388, 22.1365) * CHOOSE(CONTROL!$C$15, $D$11, 100%, $F$11)</f>
        <v>22.1388</v>
      </c>
      <c r="K753" s="4"/>
      <c r="L753" s="9">
        <v>30.7165</v>
      </c>
      <c r="M753" s="9">
        <v>12.063700000000001</v>
      </c>
      <c r="N753" s="9">
        <v>4.9444999999999997</v>
      </c>
      <c r="O753" s="9">
        <v>0.37409999999999999</v>
      </c>
      <c r="P753" s="9">
        <v>1.2183999999999999</v>
      </c>
      <c r="Q753" s="9">
        <v>19.688099999999999</v>
      </c>
      <c r="R753" s="9"/>
      <c r="S753" s="11"/>
    </row>
    <row r="754" spans="1:19" ht="15.75">
      <c r="A754" s="13">
        <v>64466</v>
      </c>
      <c r="B754" s="8">
        <f>CHOOSE( CONTROL!$C$32, 22.7031, 22.7007) * CHOOSE(CONTROL!$C$15, $D$11, 100%, $F$11)</f>
        <v>22.703099999999999</v>
      </c>
      <c r="C754" s="8">
        <f>CHOOSE( CONTROL!$C$32, 22.7136, 22.7112) * CHOOSE(CONTROL!$C$15, $D$11, 100%, $F$11)</f>
        <v>22.7136</v>
      </c>
      <c r="D754" s="8">
        <f>CHOOSE( CONTROL!$C$32, 22.7497, 22.7473) * CHOOSE( CONTROL!$C$15, $D$11, 100%, $F$11)</f>
        <v>22.749700000000001</v>
      </c>
      <c r="E754" s="12">
        <f>CHOOSE( CONTROL!$C$32, 22.735, 22.7326) * CHOOSE( CONTROL!$C$15, $D$11, 100%, $F$11)</f>
        <v>22.734999999999999</v>
      </c>
      <c r="F754" s="4">
        <f>CHOOSE( CONTROL!$C$32, 23.4424, 23.44) * CHOOSE(CONTROL!$C$15, $D$11, 100%, $F$11)</f>
        <v>23.442399999999999</v>
      </c>
      <c r="G754" s="8">
        <f>CHOOSE( CONTROL!$C$32, 22.1889, 22.1865) * CHOOSE( CONTROL!$C$15, $D$11, 100%, $F$11)</f>
        <v>22.1889</v>
      </c>
      <c r="H754" s="4">
        <f>CHOOSE( CONTROL!$C$32, 23.1538, 23.1514) * CHOOSE(CONTROL!$C$15, $D$11, 100%, $F$11)</f>
        <v>23.1538</v>
      </c>
      <c r="I754" s="8">
        <f>CHOOSE( CONTROL!$C$32, 21.904, 21.9017) * CHOOSE(CONTROL!$C$15, $D$11, 100%, $F$11)</f>
        <v>21.904</v>
      </c>
      <c r="J754" s="4">
        <f>CHOOSE( CONTROL!$C$32, 21.7829, 21.7806) * CHOOSE(CONTROL!$C$15, $D$11, 100%, $F$11)</f>
        <v>21.782900000000001</v>
      </c>
      <c r="K754" s="4"/>
      <c r="L754" s="9">
        <v>29.7257</v>
      </c>
      <c r="M754" s="9">
        <v>11.6745</v>
      </c>
      <c r="N754" s="9">
        <v>4.7850000000000001</v>
      </c>
      <c r="O754" s="9">
        <v>0.36199999999999999</v>
      </c>
      <c r="P754" s="9">
        <v>1.1791</v>
      </c>
      <c r="Q754" s="9">
        <v>19.053000000000001</v>
      </c>
      <c r="R754" s="9"/>
      <c r="S754" s="11"/>
    </row>
    <row r="755" spans="1:19" ht="15.75">
      <c r="A755" s="13">
        <v>64497</v>
      </c>
      <c r="B755" s="8">
        <f>CHOOSE( CONTROL!$C$32, 23.6792, 23.6769) * CHOOSE(CONTROL!$C$15, $D$11, 100%, $F$11)</f>
        <v>23.679200000000002</v>
      </c>
      <c r="C755" s="8">
        <f>CHOOSE( CONTROL!$C$32, 23.6898, 23.6874) * CHOOSE(CONTROL!$C$15, $D$11, 100%, $F$11)</f>
        <v>23.689800000000002</v>
      </c>
      <c r="D755" s="8">
        <f>CHOOSE( CONTROL!$C$32, 23.7261, 23.7237) * CHOOSE( CONTROL!$C$15, $D$11, 100%, $F$11)</f>
        <v>23.726099999999999</v>
      </c>
      <c r="E755" s="12">
        <f>CHOOSE( CONTROL!$C$32, 23.7113, 23.7089) * CHOOSE( CONTROL!$C$15, $D$11, 100%, $F$11)</f>
        <v>23.711300000000001</v>
      </c>
      <c r="F755" s="4">
        <f>CHOOSE( CONTROL!$C$32, 24.4186, 24.4162) * CHOOSE(CONTROL!$C$15, $D$11, 100%, $F$11)</f>
        <v>24.418600000000001</v>
      </c>
      <c r="G755" s="8">
        <f>CHOOSE( CONTROL!$C$32, 23.1436, 23.1413) * CHOOSE( CONTROL!$C$15, $D$11, 100%, $F$11)</f>
        <v>23.143599999999999</v>
      </c>
      <c r="H755" s="4">
        <f>CHOOSE( CONTROL!$C$32, 24.1082, 24.1058) * CHOOSE(CONTROL!$C$15, $D$11, 100%, $F$11)</f>
        <v>24.1082</v>
      </c>
      <c r="I755" s="8">
        <f>CHOOSE( CONTROL!$C$32, 22.8427, 22.8404) * CHOOSE(CONTROL!$C$15, $D$11, 100%, $F$11)</f>
        <v>22.842700000000001</v>
      </c>
      <c r="J755" s="4">
        <f>CHOOSE( CONTROL!$C$32, 22.7201, 22.7178) * CHOOSE(CONTROL!$C$15, $D$11, 100%, $F$11)</f>
        <v>22.720099999999999</v>
      </c>
      <c r="K755" s="4"/>
      <c r="L755" s="9">
        <v>30.7165</v>
      </c>
      <c r="M755" s="9">
        <v>12.063700000000001</v>
      </c>
      <c r="N755" s="9">
        <v>4.9444999999999997</v>
      </c>
      <c r="O755" s="9">
        <v>0.37409999999999999</v>
      </c>
      <c r="P755" s="9">
        <v>1.2183999999999999</v>
      </c>
      <c r="Q755" s="9">
        <v>19.688099999999999</v>
      </c>
      <c r="R755" s="9"/>
      <c r="S755" s="11"/>
    </row>
    <row r="756" spans="1:19" ht="15.75">
      <c r="A756" s="13">
        <v>64528</v>
      </c>
      <c r="B756" s="8">
        <f>CHOOSE( CONTROL!$C$32, 21.8527, 21.8503) * CHOOSE(CONTROL!$C$15, $D$11, 100%, $F$11)</f>
        <v>21.852699999999999</v>
      </c>
      <c r="C756" s="8">
        <f>CHOOSE( CONTROL!$C$32, 21.8633, 21.8609) * CHOOSE(CONTROL!$C$15, $D$11, 100%, $F$11)</f>
        <v>21.863299999999999</v>
      </c>
      <c r="D756" s="8">
        <f>CHOOSE( CONTROL!$C$32, 21.8996, 21.8972) * CHOOSE( CONTROL!$C$15, $D$11, 100%, $F$11)</f>
        <v>21.8996</v>
      </c>
      <c r="E756" s="12">
        <f>CHOOSE( CONTROL!$C$32, 21.8848, 21.8824) * CHOOSE( CONTROL!$C$15, $D$11, 100%, $F$11)</f>
        <v>21.884799999999998</v>
      </c>
      <c r="F756" s="4">
        <f>CHOOSE( CONTROL!$C$32, 22.5921, 22.5897) * CHOOSE(CONTROL!$C$15, $D$11, 100%, $F$11)</f>
        <v>22.592099999999999</v>
      </c>
      <c r="G756" s="8">
        <f>CHOOSE( CONTROL!$C$32, 21.3579, 21.3555) * CHOOSE( CONTROL!$C$15, $D$11, 100%, $F$11)</f>
        <v>21.357900000000001</v>
      </c>
      <c r="H756" s="4">
        <f>CHOOSE( CONTROL!$C$32, 22.3224, 22.32) * CHOOSE(CONTROL!$C$15, $D$11, 100%, $F$11)</f>
        <v>22.322399999999998</v>
      </c>
      <c r="I756" s="8">
        <f>CHOOSE( CONTROL!$C$32, 21.0884, 21.0861) * CHOOSE(CONTROL!$C$15, $D$11, 100%, $F$11)</f>
        <v>21.0884</v>
      </c>
      <c r="J756" s="4">
        <f>CHOOSE( CONTROL!$C$32, 20.9665, 20.9642) * CHOOSE(CONTROL!$C$15, $D$11, 100%, $F$11)</f>
        <v>20.9665</v>
      </c>
      <c r="K756" s="4"/>
      <c r="L756" s="9">
        <v>30.7165</v>
      </c>
      <c r="M756" s="9">
        <v>12.063700000000001</v>
      </c>
      <c r="N756" s="9">
        <v>4.9444999999999997</v>
      </c>
      <c r="O756" s="9">
        <v>0.37409999999999999</v>
      </c>
      <c r="P756" s="9">
        <v>1.2183999999999999</v>
      </c>
      <c r="Q756" s="9">
        <v>19.688099999999999</v>
      </c>
      <c r="R756" s="9"/>
      <c r="S756" s="11"/>
    </row>
    <row r="757" spans="1:19" ht="15.75">
      <c r="A757" s="13">
        <v>64558</v>
      </c>
      <c r="B757" s="8">
        <f>CHOOSE( CONTROL!$C$32, 21.3953, 21.3929) * CHOOSE(CONTROL!$C$15, $D$11, 100%, $F$11)</f>
        <v>21.395299999999999</v>
      </c>
      <c r="C757" s="8">
        <f>CHOOSE( CONTROL!$C$32, 21.4059, 21.4035) * CHOOSE(CONTROL!$C$15, $D$11, 100%, $F$11)</f>
        <v>21.405899999999999</v>
      </c>
      <c r="D757" s="8">
        <f>CHOOSE( CONTROL!$C$32, 21.4421, 21.4397) * CHOOSE( CONTROL!$C$15, $D$11, 100%, $F$11)</f>
        <v>21.4421</v>
      </c>
      <c r="E757" s="12">
        <f>CHOOSE( CONTROL!$C$32, 21.4274, 21.425) * CHOOSE( CONTROL!$C$15, $D$11, 100%, $F$11)</f>
        <v>21.427399999999999</v>
      </c>
      <c r="F757" s="4">
        <f>CHOOSE( CONTROL!$C$32, 22.1347, 22.1323) * CHOOSE(CONTROL!$C$15, $D$11, 100%, $F$11)</f>
        <v>22.134699999999999</v>
      </c>
      <c r="G757" s="8">
        <f>CHOOSE( CONTROL!$C$32, 20.9106, 20.9083) * CHOOSE( CONTROL!$C$15, $D$11, 100%, $F$11)</f>
        <v>20.910599999999999</v>
      </c>
      <c r="H757" s="4">
        <f>CHOOSE( CONTROL!$C$32, 21.8752, 21.8729) * CHOOSE(CONTROL!$C$15, $D$11, 100%, $F$11)</f>
        <v>21.8752</v>
      </c>
      <c r="I757" s="8">
        <f>CHOOSE( CONTROL!$C$32, 20.6487, 20.6464) * CHOOSE(CONTROL!$C$15, $D$11, 100%, $F$11)</f>
        <v>20.648700000000002</v>
      </c>
      <c r="J757" s="4">
        <f>CHOOSE( CONTROL!$C$32, 20.5273, 20.525) * CHOOSE(CONTROL!$C$15, $D$11, 100%, $F$11)</f>
        <v>20.5273</v>
      </c>
      <c r="K757" s="4"/>
      <c r="L757" s="9">
        <v>29.7257</v>
      </c>
      <c r="M757" s="9">
        <v>11.6745</v>
      </c>
      <c r="N757" s="9">
        <v>4.7850000000000001</v>
      </c>
      <c r="O757" s="9">
        <v>0.36199999999999999</v>
      </c>
      <c r="P757" s="9">
        <v>1.1791</v>
      </c>
      <c r="Q757" s="9">
        <v>19.053000000000001</v>
      </c>
      <c r="R757" s="9"/>
      <c r="S757" s="11"/>
    </row>
    <row r="758" spans="1:19" ht="15.75">
      <c r="A758" s="13">
        <v>64589</v>
      </c>
      <c r="B758" s="8">
        <f>22.3427 * CHOOSE(CONTROL!$C$15, $D$11, 100%, $F$11)</f>
        <v>22.342700000000001</v>
      </c>
      <c r="C758" s="8">
        <f>22.3535 * CHOOSE(CONTROL!$C$15, $D$11, 100%, $F$11)</f>
        <v>22.3535</v>
      </c>
      <c r="D758" s="8">
        <f>22.391 * CHOOSE( CONTROL!$C$15, $D$11, 100%, $F$11)</f>
        <v>22.390999999999998</v>
      </c>
      <c r="E758" s="12">
        <f>22.3775 * CHOOSE( CONTROL!$C$15, $D$11, 100%, $F$11)</f>
        <v>22.377500000000001</v>
      </c>
      <c r="F758" s="4">
        <f>23.082 * CHOOSE(CONTROL!$C$15, $D$11, 100%, $F$11)</f>
        <v>23.082000000000001</v>
      </c>
      <c r="G758" s="8">
        <f>21.8365 * CHOOSE( CONTROL!$C$15, $D$11, 100%, $F$11)</f>
        <v>21.836500000000001</v>
      </c>
      <c r="H758" s="4">
        <f>22.8014 * CHOOSE(CONTROL!$C$15, $D$11, 100%, $F$11)</f>
        <v>22.801400000000001</v>
      </c>
      <c r="I758" s="8">
        <f>21.5594 * CHOOSE(CONTROL!$C$15, $D$11, 100%, $F$11)</f>
        <v>21.5594</v>
      </c>
      <c r="J758" s="4">
        <f>21.4368 * CHOOSE(CONTROL!$C$15, $D$11, 100%, $F$11)</f>
        <v>21.436800000000002</v>
      </c>
      <c r="K758" s="4"/>
      <c r="L758" s="9">
        <v>31.095300000000002</v>
      </c>
      <c r="M758" s="9">
        <v>12.063700000000001</v>
      </c>
      <c r="N758" s="9">
        <v>4.9444999999999997</v>
      </c>
      <c r="O758" s="9">
        <v>0.37409999999999999</v>
      </c>
      <c r="P758" s="9">
        <v>1.2183999999999999</v>
      </c>
      <c r="Q758" s="9">
        <v>19.688099999999999</v>
      </c>
      <c r="R758" s="9"/>
      <c r="S758" s="11"/>
    </row>
    <row r="759" spans="1:19" ht="15.75">
      <c r="A759" s="13">
        <v>64619</v>
      </c>
      <c r="B759" s="8">
        <f>24.0957 * CHOOSE(CONTROL!$C$15, $D$11, 100%, $F$11)</f>
        <v>24.095700000000001</v>
      </c>
      <c r="C759" s="8">
        <f>24.1065 * CHOOSE(CONTROL!$C$15, $D$11, 100%, $F$11)</f>
        <v>24.1065</v>
      </c>
      <c r="D759" s="8">
        <f>24.0892 * CHOOSE( CONTROL!$C$15, $D$11, 100%, $F$11)</f>
        <v>24.089200000000002</v>
      </c>
      <c r="E759" s="12">
        <f>24.0944 * CHOOSE( CONTROL!$C$15, $D$11, 100%, $F$11)</f>
        <v>24.0944</v>
      </c>
      <c r="F759" s="4">
        <f>24.7542 * CHOOSE(CONTROL!$C$15, $D$11, 100%, $F$11)</f>
        <v>24.754200000000001</v>
      </c>
      <c r="G759" s="8">
        <f>23.557 * CHOOSE( CONTROL!$C$15, $D$11, 100%, $F$11)</f>
        <v>23.556999999999999</v>
      </c>
      <c r="H759" s="4">
        <f>24.4363 * CHOOSE(CONTROL!$C$15, $D$11, 100%, $F$11)</f>
        <v>24.436299999999999</v>
      </c>
      <c r="I759" s="8">
        <f>23.2804 * CHOOSE(CONTROL!$C$15, $D$11, 100%, $F$11)</f>
        <v>23.2804</v>
      </c>
      <c r="J759" s="4">
        <f>23.1198 * CHOOSE(CONTROL!$C$15, $D$11, 100%, $F$11)</f>
        <v>23.119800000000001</v>
      </c>
      <c r="K759" s="4"/>
      <c r="L759" s="9">
        <v>28.360600000000002</v>
      </c>
      <c r="M759" s="9">
        <v>11.6745</v>
      </c>
      <c r="N759" s="9">
        <v>4.7850000000000001</v>
      </c>
      <c r="O759" s="9">
        <v>0.36199999999999999</v>
      </c>
      <c r="P759" s="9">
        <v>1.2509999999999999</v>
      </c>
      <c r="Q759" s="9">
        <v>19.053000000000001</v>
      </c>
      <c r="R759" s="9"/>
      <c r="S759" s="11"/>
    </row>
    <row r="760" spans="1:19" ht="15.75">
      <c r="A760" s="13">
        <v>64650</v>
      </c>
      <c r="B760" s="8">
        <f>24.0519 * CHOOSE(CONTROL!$C$15, $D$11, 100%, $F$11)</f>
        <v>24.0519</v>
      </c>
      <c r="C760" s="8">
        <f>24.0627 * CHOOSE(CONTROL!$C$15, $D$11, 100%, $F$11)</f>
        <v>24.0627</v>
      </c>
      <c r="D760" s="8">
        <f>24.0471 * CHOOSE( CONTROL!$C$15, $D$11, 100%, $F$11)</f>
        <v>24.0471</v>
      </c>
      <c r="E760" s="12">
        <f>24.0517 * CHOOSE( CONTROL!$C$15, $D$11, 100%, $F$11)</f>
        <v>24.0517</v>
      </c>
      <c r="F760" s="4">
        <f>24.7104 * CHOOSE(CONTROL!$C$15, $D$11, 100%, $F$11)</f>
        <v>24.7104</v>
      </c>
      <c r="G760" s="8">
        <f>23.5154 * CHOOSE( CONTROL!$C$15, $D$11, 100%, $F$11)</f>
        <v>23.5154</v>
      </c>
      <c r="H760" s="4">
        <f>24.3935 * CHOOSE(CONTROL!$C$15, $D$11, 100%, $F$11)</f>
        <v>24.3935</v>
      </c>
      <c r="I760" s="8">
        <f>23.2435 * CHOOSE(CONTROL!$C$15, $D$11, 100%, $F$11)</f>
        <v>23.243500000000001</v>
      </c>
      <c r="J760" s="4">
        <f>23.0778 * CHOOSE(CONTROL!$C$15, $D$11, 100%, $F$11)</f>
        <v>23.0778</v>
      </c>
      <c r="K760" s="4"/>
      <c r="L760" s="9">
        <v>29.306000000000001</v>
      </c>
      <c r="M760" s="9">
        <v>12.063700000000001</v>
      </c>
      <c r="N760" s="9">
        <v>4.9444999999999997</v>
      </c>
      <c r="O760" s="9">
        <v>0.37409999999999999</v>
      </c>
      <c r="P760" s="9">
        <v>1.2927</v>
      </c>
      <c r="Q760" s="9">
        <v>19.688099999999999</v>
      </c>
      <c r="R760" s="9"/>
      <c r="S760" s="11"/>
    </row>
    <row r="761" spans="1:19" ht="15.75">
      <c r="A761" s="13">
        <v>64681</v>
      </c>
      <c r="B761" s="8">
        <f>24.7609 * CHOOSE(CONTROL!$C$15, $D$11, 100%, $F$11)</f>
        <v>24.760899999999999</v>
      </c>
      <c r="C761" s="8">
        <f>24.7717 * CHOOSE(CONTROL!$C$15, $D$11, 100%, $F$11)</f>
        <v>24.771699999999999</v>
      </c>
      <c r="D761" s="8">
        <f>24.7531 * CHOOSE( CONTROL!$C$15, $D$11, 100%, $F$11)</f>
        <v>24.7531</v>
      </c>
      <c r="E761" s="12">
        <f>24.7588 * CHOOSE( CONTROL!$C$15, $D$11, 100%, $F$11)</f>
        <v>24.758800000000001</v>
      </c>
      <c r="F761" s="4">
        <f>25.4194 * CHOOSE(CONTROL!$C$15, $D$11, 100%, $F$11)</f>
        <v>25.4194</v>
      </c>
      <c r="G761" s="8">
        <f>24.2011 * CHOOSE( CONTROL!$C$15, $D$11, 100%, $F$11)</f>
        <v>24.2011</v>
      </c>
      <c r="H761" s="4">
        <f>25.0867 * CHOOSE(CONTROL!$C$15, $D$11, 100%, $F$11)</f>
        <v>25.0867</v>
      </c>
      <c r="I761" s="8">
        <f>23.8895 * CHOOSE(CONTROL!$C$15, $D$11, 100%, $F$11)</f>
        <v>23.889500000000002</v>
      </c>
      <c r="J761" s="4">
        <f>23.7585 * CHOOSE(CONTROL!$C$15, $D$11, 100%, $F$11)</f>
        <v>23.758500000000002</v>
      </c>
      <c r="K761" s="4"/>
      <c r="L761" s="9">
        <v>29.306000000000001</v>
      </c>
      <c r="M761" s="9">
        <v>12.063700000000001</v>
      </c>
      <c r="N761" s="9">
        <v>4.9444999999999997</v>
      </c>
      <c r="O761" s="9">
        <v>0.37409999999999999</v>
      </c>
      <c r="P761" s="9">
        <v>1.2927</v>
      </c>
      <c r="Q761" s="9">
        <v>19.688099999999999</v>
      </c>
      <c r="R761" s="9"/>
      <c r="S761" s="11"/>
    </row>
    <row r="762" spans="1:19" ht="15.75">
      <c r="A762" s="13">
        <v>64709</v>
      </c>
      <c r="B762" s="8">
        <f>23.1611 * CHOOSE(CONTROL!$C$15, $D$11, 100%, $F$11)</f>
        <v>23.161100000000001</v>
      </c>
      <c r="C762" s="8">
        <f>23.1719 * CHOOSE(CONTROL!$C$15, $D$11, 100%, $F$11)</f>
        <v>23.171900000000001</v>
      </c>
      <c r="D762" s="8">
        <f>23.1532 * CHOOSE( CONTROL!$C$15, $D$11, 100%, $F$11)</f>
        <v>23.153199999999998</v>
      </c>
      <c r="E762" s="12">
        <f>23.1589 * CHOOSE( CONTROL!$C$15, $D$11, 100%, $F$11)</f>
        <v>23.158899999999999</v>
      </c>
      <c r="F762" s="4">
        <f>23.8196 * CHOOSE(CONTROL!$C$15, $D$11, 100%, $F$11)</f>
        <v>23.819600000000001</v>
      </c>
      <c r="G762" s="8">
        <f>22.6369 * CHOOSE( CONTROL!$C$15, $D$11, 100%, $F$11)</f>
        <v>22.636900000000001</v>
      </c>
      <c r="H762" s="4">
        <f>23.5226 * CHOOSE(CONTROL!$C$15, $D$11, 100%, $F$11)</f>
        <v>23.522600000000001</v>
      </c>
      <c r="I762" s="8">
        <f>22.3525 * CHOOSE(CONTROL!$C$15, $D$11, 100%, $F$11)</f>
        <v>22.352499999999999</v>
      </c>
      <c r="J762" s="4">
        <f>22.2225 * CHOOSE(CONTROL!$C$15, $D$11, 100%, $F$11)</f>
        <v>22.2225</v>
      </c>
      <c r="K762" s="4"/>
      <c r="L762" s="9">
        <v>26.469899999999999</v>
      </c>
      <c r="M762" s="9">
        <v>10.8962</v>
      </c>
      <c r="N762" s="9">
        <v>4.4660000000000002</v>
      </c>
      <c r="O762" s="9">
        <v>0.33789999999999998</v>
      </c>
      <c r="P762" s="9">
        <v>1.1676</v>
      </c>
      <c r="Q762" s="9">
        <v>17.782800000000002</v>
      </c>
      <c r="R762" s="9"/>
      <c r="S762" s="11"/>
    </row>
    <row r="763" spans="1:19" ht="15.75">
      <c r="A763" s="13">
        <v>64740</v>
      </c>
      <c r="B763" s="8">
        <f>22.6684 * CHOOSE(CONTROL!$C$15, $D$11, 100%, $F$11)</f>
        <v>22.668399999999998</v>
      </c>
      <c r="C763" s="8">
        <f>22.6792 * CHOOSE(CONTROL!$C$15, $D$11, 100%, $F$11)</f>
        <v>22.679200000000002</v>
      </c>
      <c r="D763" s="8">
        <f>22.66 * CHOOSE( CONTROL!$C$15, $D$11, 100%, $F$11)</f>
        <v>22.66</v>
      </c>
      <c r="E763" s="12">
        <f>22.6659 * CHOOSE( CONTROL!$C$15, $D$11, 100%, $F$11)</f>
        <v>22.665900000000001</v>
      </c>
      <c r="F763" s="4">
        <f>23.3269 * CHOOSE(CONTROL!$C$15, $D$11, 100%, $F$11)</f>
        <v>23.326899999999998</v>
      </c>
      <c r="G763" s="8">
        <f>22.1548 * CHOOSE( CONTROL!$C$15, $D$11, 100%, $F$11)</f>
        <v>22.154800000000002</v>
      </c>
      <c r="H763" s="4">
        <f>23.0408 * CHOOSE(CONTROL!$C$15, $D$11, 100%, $F$11)</f>
        <v>23.040800000000001</v>
      </c>
      <c r="I763" s="8">
        <f>21.8777 * CHOOSE(CONTROL!$C$15, $D$11, 100%, $F$11)</f>
        <v>21.877700000000001</v>
      </c>
      <c r="J763" s="4">
        <f>21.7495 * CHOOSE(CONTROL!$C$15, $D$11, 100%, $F$11)</f>
        <v>21.749500000000001</v>
      </c>
      <c r="K763" s="4"/>
      <c r="L763" s="9">
        <v>29.306000000000001</v>
      </c>
      <c r="M763" s="9">
        <v>12.063700000000001</v>
      </c>
      <c r="N763" s="9">
        <v>4.9444999999999997</v>
      </c>
      <c r="O763" s="9">
        <v>0.37409999999999999</v>
      </c>
      <c r="P763" s="9">
        <v>1.2927</v>
      </c>
      <c r="Q763" s="9">
        <v>19.688099999999999</v>
      </c>
      <c r="R763" s="9"/>
      <c r="S763" s="11"/>
    </row>
    <row r="764" spans="1:19" ht="15.75">
      <c r="A764" s="13">
        <v>64770</v>
      </c>
      <c r="B764" s="8">
        <f>23.0127 * CHOOSE(CONTROL!$C$15, $D$11, 100%, $F$11)</f>
        <v>23.012699999999999</v>
      </c>
      <c r="C764" s="8">
        <f>23.0235 * CHOOSE(CONTROL!$C$15, $D$11, 100%, $F$11)</f>
        <v>23.023499999999999</v>
      </c>
      <c r="D764" s="8">
        <f>23.0604 * CHOOSE( CONTROL!$C$15, $D$11, 100%, $F$11)</f>
        <v>23.060400000000001</v>
      </c>
      <c r="E764" s="12">
        <f>23.047 * CHOOSE( CONTROL!$C$15, $D$11, 100%, $F$11)</f>
        <v>23.047000000000001</v>
      </c>
      <c r="F764" s="4">
        <f>23.7519 * CHOOSE(CONTROL!$C$15, $D$11, 100%, $F$11)</f>
        <v>23.751899999999999</v>
      </c>
      <c r="G764" s="8">
        <f>22.4907 * CHOOSE( CONTROL!$C$15, $D$11, 100%, $F$11)</f>
        <v>22.4907</v>
      </c>
      <c r="H764" s="4">
        <f>23.4564 * CHOOSE(CONTROL!$C$15, $D$11, 100%, $F$11)</f>
        <v>23.456399999999999</v>
      </c>
      <c r="I764" s="8">
        <f>22.2002 * CHOOSE(CONTROL!$C$15, $D$11, 100%, $F$11)</f>
        <v>22.200199999999999</v>
      </c>
      <c r="J764" s="4">
        <f>22.08 * CHOOSE(CONTROL!$C$15, $D$11, 100%, $F$11)</f>
        <v>22.08</v>
      </c>
      <c r="K764" s="4"/>
      <c r="L764" s="9">
        <v>30.092199999999998</v>
      </c>
      <c r="M764" s="9">
        <v>11.6745</v>
      </c>
      <c r="N764" s="9">
        <v>4.7850000000000001</v>
      </c>
      <c r="O764" s="9">
        <v>0.36199999999999999</v>
      </c>
      <c r="P764" s="9">
        <v>1.1791</v>
      </c>
      <c r="Q764" s="9">
        <v>19.053000000000001</v>
      </c>
      <c r="R764" s="9"/>
      <c r="S764" s="11"/>
    </row>
    <row r="765" spans="1:19" ht="15.75">
      <c r="A765" s="13">
        <v>64801</v>
      </c>
      <c r="B765" s="8">
        <f>CHOOSE( CONTROL!$C$32, 23.6278, 23.6254) * CHOOSE(CONTROL!$C$15, $D$11, 100%, $F$11)</f>
        <v>23.627800000000001</v>
      </c>
      <c r="C765" s="8">
        <f>CHOOSE( CONTROL!$C$32, 23.6383, 23.6359) * CHOOSE(CONTROL!$C$15, $D$11, 100%, $F$11)</f>
        <v>23.638300000000001</v>
      </c>
      <c r="D765" s="8">
        <f>CHOOSE( CONTROL!$C$32, 23.6742, 23.6718) * CHOOSE( CONTROL!$C$15, $D$11, 100%, $F$11)</f>
        <v>23.674199999999999</v>
      </c>
      <c r="E765" s="12">
        <f>CHOOSE( CONTROL!$C$32, 23.6596, 23.6572) * CHOOSE( CONTROL!$C$15, $D$11, 100%, $F$11)</f>
        <v>23.659600000000001</v>
      </c>
      <c r="F765" s="4">
        <f>CHOOSE( CONTROL!$C$32, 24.3671, 24.3647) * CHOOSE(CONTROL!$C$15, $D$11, 100%, $F$11)</f>
        <v>24.367100000000001</v>
      </c>
      <c r="G765" s="8">
        <f>CHOOSE( CONTROL!$C$32, 23.0926, 23.0903) * CHOOSE( CONTROL!$C$15, $D$11, 100%, $F$11)</f>
        <v>23.092600000000001</v>
      </c>
      <c r="H765" s="4">
        <f>CHOOSE( CONTROL!$C$32, 24.0578, 24.0555) * CHOOSE(CONTROL!$C$15, $D$11, 100%, $F$11)</f>
        <v>24.0578</v>
      </c>
      <c r="I765" s="8">
        <f>CHOOSE( CONTROL!$C$32, 22.7913, 22.789) * CHOOSE(CONTROL!$C$15, $D$11, 100%, $F$11)</f>
        <v>22.7913</v>
      </c>
      <c r="J765" s="4">
        <f>CHOOSE( CONTROL!$C$32, 22.6707, 22.6684) * CHOOSE(CONTROL!$C$15, $D$11, 100%, $F$11)</f>
        <v>22.6707</v>
      </c>
      <c r="K765" s="4"/>
      <c r="L765" s="9">
        <v>30.7165</v>
      </c>
      <c r="M765" s="9">
        <v>12.063700000000001</v>
      </c>
      <c r="N765" s="9">
        <v>4.9444999999999997</v>
      </c>
      <c r="O765" s="9">
        <v>0.37409999999999999</v>
      </c>
      <c r="P765" s="9">
        <v>1.2183999999999999</v>
      </c>
      <c r="Q765" s="9">
        <v>19.688099999999999</v>
      </c>
      <c r="R765" s="9"/>
      <c r="S765" s="11"/>
    </row>
    <row r="766" spans="1:19" ht="15.75">
      <c r="A766" s="13">
        <v>64831</v>
      </c>
      <c r="B766" s="8">
        <f>CHOOSE( CONTROL!$C$32, 23.2482, 23.2458) * CHOOSE(CONTROL!$C$15, $D$11, 100%, $F$11)</f>
        <v>23.248200000000001</v>
      </c>
      <c r="C766" s="8">
        <f>CHOOSE( CONTROL!$C$32, 23.2587, 23.2563) * CHOOSE(CONTROL!$C$15, $D$11, 100%, $F$11)</f>
        <v>23.258700000000001</v>
      </c>
      <c r="D766" s="8">
        <f>CHOOSE( CONTROL!$C$32, 23.2947, 23.2924) * CHOOSE( CONTROL!$C$15, $D$11, 100%, $F$11)</f>
        <v>23.294699999999999</v>
      </c>
      <c r="E766" s="12">
        <f>CHOOSE( CONTROL!$C$32, 23.2801, 23.2777) * CHOOSE( CONTROL!$C$15, $D$11, 100%, $F$11)</f>
        <v>23.280100000000001</v>
      </c>
      <c r="F766" s="4">
        <f>CHOOSE( CONTROL!$C$32, 23.9875, 23.9851) * CHOOSE(CONTROL!$C$15, $D$11, 100%, $F$11)</f>
        <v>23.987500000000001</v>
      </c>
      <c r="G766" s="8">
        <f>CHOOSE( CONTROL!$C$32, 22.7218, 22.7195) * CHOOSE( CONTROL!$C$15, $D$11, 100%, $F$11)</f>
        <v>22.721800000000002</v>
      </c>
      <c r="H766" s="4">
        <f>CHOOSE( CONTROL!$C$32, 23.6867, 23.6844) * CHOOSE(CONTROL!$C$15, $D$11, 100%, $F$11)</f>
        <v>23.686699999999998</v>
      </c>
      <c r="I766" s="8">
        <f>CHOOSE( CONTROL!$C$32, 22.4275, 22.4252) * CHOOSE(CONTROL!$C$15, $D$11, 100%, $F$11)</f>
        <v>22.427499999999998</v>
      </c>
      <c r="J766" s="4">
        <f>CHOOSE( CONTROL!$C$32, 22.3062, 22.3039) * CHOOSE(CONTROL!$C$15, $D$11, 100%, $F$11)</f>
        <v>22.3062</v>
      </c>
      <c r="K766" s="4"/>
      <c r="L766" s="9">
        <v>29.7257</v>
      </c>
      <c r="M766" s="9">
        <v>11.6745</v>
      </c>
      <c r="N766" s="9">
        <v>4.7850000000000001</v>
      </c>
      <c r="O766" s="9">
        <v>0.36199999999999999</v>
      </c>
      <c r="P766" s="9">
        <v>1.1791</v>
      </c>
      <c r="Q766" s="9">
        <v>19.053000000000001</v>
      </c>
      <c r="R766" s="9"/>
      <c r="S766" s="11"/>
    </row>
    <row r="767" spans="1:19" ht="15.75">
      <c r="A767" s="13">
        <v>64862</v>
      </c>
      <c r="B767" s="8">
        <f>CHOOSE( CONTROL!$C$32, 24.2478, 24.2454) * CHOOSE(CONTROL!$C$15, $D$11, 100%, $F$11)</f>
        <v>24.247800000000002</v>
      </c>
      <c r="C767" s="8">
        <f>CHOOSE( CONTROL!$C$32, 24.2583, 24.256) * CHOOSE(CONTROL!$C$15, $D$11, 100%, $F$11)</f>
        <v>24.258299999999998</v>
      </c>
      <c r="D767" s="8">
        <f>CHOOSE( CONTROL!$C$32, 24.2946, 24.2922) * CHOOSE( CONTROL!$C$15, $D$11, 100%, $F$11)</f>
        <v>24.294599999999999</v>
      </c>
      <c r="E767" s="12">
        <f>CHOOSE( CONTROL!$C$32, 24.2798, 24.2775) * CHOOSE( CONTROL!$C$15, $D$11, 100%, $F$11)</f>
        <v>24.279800000000002</v>
      </c>
      <c r="F767" s="4">
        <f>CHOOSE( CONTROL!$C$32, 24.9871, 24.9847) * CHOOSE(CONTROL!$C$15, $D$11, 100%, $F$11)</f>
        <v>24.987100000000002</v>
      </c>
      <c r="G767" s="8">
        <f>CHOOSE( CONTROL!$C$32, 23.6995, 23.6971) * CHOOSE( CONTROL!$C$15, $D$11, 100%, $F$11)</f>
        <v>23.6995</v>
      </c>
      <c r="H767" s="4">
        <f>CHOOSE( CONTROL!$C$32, 24.664, 24.6617) * CHOOSE(CONTROL!$C$15, $D$11, 100%, $F$11)</f>
        <v>24.664000000000001</v>
      </c>
      <c r="I767" s="8">
        <f>CHOOSE( CONTROL!$C$32, 23.3888, 23.3865) * CHOOSE(CONTROL!$C$15, $D$11, 100%, $F$11)</f>
        <v>23.3888</v>
      </c>
      <c r="J767" s="4">
        <f>CHOOSE( CONTROL!$C$32, 23.266, 23.2637) * CHOOSE(CONTROL!$C$15, $D$11, 100%, $F$11)</f>
        <v>23.265999999999998</v>
      </c>
      <c r="K767" s="4"/>
      <c r="L767" s="9">
        <v>30.7165</v>
      </c>
      <c r="M767" s="9">
        <v>12.063700000000001</v>
      </c>
      <c r="N767" s="9">
        <v>4.9444999999999997</v>
      </c>
      <c r="O767" s="9">
        <v>0.37409999999999999</v>
      </c>
      <c r="P767" s="9">
        <v>1.2183999999999999</v>
      </c>
      <c r="Q767" s="9">
        <v>19.688099999999999</v>
      </c>
      <c r="R767" s="9"/>
      <c r="S767" s="11"/>
    </row>
    <row r="768" spans="1:19" ht="15.75">
      <c r="A768" s="13">
        <v>64893</v>
      </c>
      <c r="B768" s="8">
        <f>CHOOSE( CONTROL!$C$32, 22.3774, 22.375) * CHOOSE(CONTROL!$C$15, $D$11, 100%, $F$11)</f>
        <v>22.377400000000002</v>
      </c>
      <c r="C768" s="8">
        <f>CHOOSE( CONTROL!$C$32, 22.3879, 22.3855) * CHOOSE(CONTROL!$C$15, $D$11, 100%, $F$11)</f>
        <v>22.387899999999998</v>
      </c>
      <c r="D768" s="8">
        <f>CHOOSE( CONTROL!$C$32, 22.4242, 22.4218) * CHOOSE( CONTROL!$C$15, $D$11, 100%, $F$11)</f>
        <v>22.424199999999999</v>
      </c>
      <c r="E768" s="12">
        <f>CHOOSE( CONTROL!$C$32, 22.4094, 22.407) * CHOOSE( CONTROL!$C$15, $D$11, 100%, $F$11)</f>
        <v>22.409400000000002</v>
      </c>
      <c r="F768" s="4">
        <f>CHOOSE( CONTROL!$C$32, 23.1167, 23.1143) * CHOOSE(CONTROL!$C$15, $D$11, 100%, $F$11)</f>
        <v>23.116700000000002</v>
      </c>
      <c r="G768" s="8">
        <f>CHOOSE( CONTROL!$C$32, 21.8708, 21.8685) * CHOOSE( CONTROL!$C$15, $D$11, 100%, $F$11)</f>
        <v>21.870799999999999</v>
      </c>
      <c r="H768" s="4">
        <f>CHOOSE( CONTROL!$C$32, 22.8353, 22.833) * CHOOSE(CONTROL!$C$15, $D$11, 100%, $F$11)</f>
        <v>22.8353</v>
      </c>
      <c r="I768" s="8">
        <f>CHOOSE( CONTROL!$C$32, 21.5923, 21.59) * CHOOSE(CONTROL!$C$15, $D$11, 100%, $F$11)</f>
        <v>21.592300000000002</v>
      </c>
      <c r="J768" s="4">
        <f>CHOOSE( CONTROL!$C$32, 21.4702, 21.4679) * CHOOSE(CONTROL!$C$15, $D$11, 100%, $F$11)</f>
        <v>21.470199999999998</v>
      </c>
      <c r="K768" s="4"/>
      <c r="L768" s="9">
        <v>30.7165</v>
      </c>
      <c r="M768" s="9">
        <v>12.063700000000001</v>
      </c>
      <c r="N768" s="9">
        <v>4.9444999999999997</v>
      </c>
      <c r="O768" s="9">
        <v>0.37409999999999999</v>
      </c>
      <c r="P768" s="9">
        <v>1.2183999999999999</v>
      </c>
      <c r="Q768" s="9">
        <v>19.688099999999999</v>
      </c>
      <c r="R768" s="9"/>
      <c r="S768" s="11"/>
    </row>
    <row r="769" spans="1:19" ht="15.75">
      <c r="A769" s="13">
        <v>64923</v>
      </c>
      <c r="B769" s="8">
        <f>CHOOSE( CONTROL!$C$32, 21.909, 21.9066) * CHOOSE(CONTROL!$C$15, $D$11, 100%, $F$11)</f>
        <v>21.908999999999999</v>
      </c>
      <c r="C769" s="8">
        <f>CHOOSE( CONTROL!$C$32, 21.9196, 21.9172) * CHOOSE(CONTROL!$C$15, $D$11, 100%, $F$11)</f>
        <v>21.919599999999999</v>
      </c>
      <c r="D769" s="8">
        <f>CHOOSE( CONTROL!$C$32, 21.9558, 21.9534) * CHOOSE( CONTROL!$C$15, $D$11, 100%, $F$11)</f>
        <v>21.9558</v>
      </c>
      <c r="E769" s="12">
        <f>CHOOSE( CONTROL!$C$32, 21.9411, 21.9387) * CHOOSE( CONTROL!$C$15, $D$11, 100%, $F$11)</f>
        <v>21.941099999999999</v>
      </c>
      <c r="F769" s="4">
        <f>CHOOSE( CONTROL!$C$32, 22.6484, 22.646) * CHOOSE(CONTROL!$C$15, $D$11, 100%, $F$11)</f>
        <v>22.648399999999999</v>
      </c>
      <c r="G769" s="8">
        <f>CHOOSE( CONTROL!$C$32, 21.4128, 21.4105) * CHOOSE( CONTROL!$C$15, $D$11, 100%, $F$11)</f>
        <v>21.412800000000001</v>
      </c>
      <c r="H769" s="4">
        <f>CHOOSE( CONTROL!$C$32, 22.3774, 22.3751) * CHOOSE(CONTROL!$C$15, $D$11, 100%, $F$11)</f>
        <v>22.377400000000002</v>
      </c>
      <c r="I769" s="8">
        <f>CHOOSE( CONTROL!$C$32, 21.1421, 21.1398) * CHOOSE(CONTROL!$C$15, $D$11, 100%, $F$11)</f>
        <v>21.142099999999999</v>
      </c>
      <c r="J769" s="4">
        <f>CHOOSE( CONTROL!$C$32, 21.0205, 21.0182) * CHOOSE(CONTROL!$C$15, $D$11, 100%, $F$11)</f>
        <v>21.020499999999998</v>
      </c>
      <c r="K769" s="4"/>
      <c r="L769" s="9">
        <v>29.7257</v>
      </c>
      <c r="M769" s="9">
        <v>11.6745</v>
      </c>
      <c r="N769" s="9">
        <v>4.7850000000000001</v>
      </c>
      <c r="O769" s="9">
        <v>0.36199999999999999</v>
      </c>
      <c r="P769" s="9">
        <v>1.1791</v>
      </c>
      <c r="Q769" s="9">
        <v>19.053000000000001</v>
      </c>
      <c r="R769" s="9"/>
      <c r="S769" s="11"/>
    </row>
    <row r="770" spans="1:19" ht="15.75">
      <c r="A770" s="13">
        <v>64954</v>
      </c>
      <c r="B770" s="8">
        <f>22.8792 * CHOOSE(CONTROL!$C$15, $D$11, 100%, $F$11)</f>
        <v>22.879200000000001</v>
      </c>
      <c r="C770" s="8">
        <f>22.89 * CHOOSE(CONTROL!$C$15, $D$11, 100%, $F$11)</f>
        <v>22.89</v>
      </c>
      <c r="D770" s="8">
        <f>22.9275 * CHOOSE( CONTROL!$C$15, $D$11, 100%, $F$11)</f>
        <v>22.927499999999998</v>
      </c>
      <c r="E770" s="12">
        <f>22.914 * CHOOSE( CONTROL!$C$15, $D$11, 100%, $F$11)</f>
        <v>22.914000000000001</v>
      </c>
      <c r="F770" s="4">
        <f>23.6185 * CHOOSE(CONTROL!$C$15, $D$11, 100%, $F$11)</f>
        <v>23.618500000000001</v>
      </c>
      <c r="G770" s="8">
        <f>22.361 * CHOOSE( CONTROL!$C$15, $D$11, 100%, $F$11)</f>
        <v>22.361000000000001</v>
      </c>
      <c r="H770" s="4">
        <f>23.3259 * CHOOSE(CONTROL!$C$15, $D$11, 100%, $F$11)</f>
        <v>23.325900000000001</v>
      </c>
      <c r="I770" s="8">
        <f>22.0747 * CHOOSE(CONTROL!$C$15, $D$11, 100%, $F$11)</f>
        <v>22.0747</v>
      </c>
      <c r="J770" s="4">
        <f>21.9519 * CHOOSE(CONTROL!$C$15, $D$11, 100%, $F$11)</f>
        <v>21.951899999999998</v>
      </c>
      <c r="K770" s="4"/>
      <c r="L770" s="9">
        <v>31.095300000000002</v>
      </c>
      <c r="M770" s="9">
        <v>12.063700000000001</v>
      </c>
      <c r="N770" s="9">
        <v>4.9444999999999997</v>
      </c>
      <c r="O770" s="9">
        <v>0.37409999999999999</v>
      </c>
      <c r="P770" s="9">
        <v>1.2183999999999999</v>
      </c>
      <c r="Q770" s="9">
        <v>19.688099999999999</v>
      </c>
      <c r="R770" s="9"/>
      <c r="S770" s="11"/>
    </row>
    <row r="771" spans="1:19" ht="15.75">
      <c r="A771" s="13">
        <v>64984</v>
      </c>
      <c r="B771" s="8">
        <f>24.6743 * CHOOSE(CONTROL!$C$15, $D$11, 100%, $F$11)</f>
        <v>24.674299999999999</v>
      </c>
      <c r="C771" s="8">
        <f>24.6851 * CHOOSE(CONTROL!$C$15, $D$11, 100%, $F$11)</f>
        <v>24.685099999999998</v>
      </c>
      <c r="D771" s="8">
        <f>24.6678 * CHOOSE( CONTROL!$C$15, $D$11, 100%, $F$11)</f>
        <v>24.6678</v>
      </c>
      <c r="E771" s="12">
        <f>24.673 * CHOOSE( CONTROL!$C$15, $D$11, 100%, $F$11)</f>
        <v>24.672999999999998</v>
      </c>
      <c r="F771" s="4">
        <f>25.3328 * CHOOSE(CONTROL!$C$15, $D$11, 100%, $F$11)</f>
        <v>25.332799999999999</v>
      </c>
      <c r="G771" s="8">
        <f>24.1227 * CHOOSE( CONTROL!$C$15, $D$11, 100%, $F$11)</f>
        <v>24.122699999999998</v>
      </c>
      <c r="H771" s="4">
        <f>25.002 * CHOOSE(CONTROL!$C$15, $D$11, 100%, $F$11)</f>
        <v>25.001999999999999</v>
      </c>
      <c r="I771" s="8">
        <f>23.8362 * CHOOSE(CONTROL!$C$15, $D$11, 100%, $F$11)</f>
        <v>23.836200000000002</v>
      </c>
      <c r="J771" s="4">
        <f>23.6753 * CHOOSE(CONTROL!$C$15, $D$11, 100%, $F$11)</f>
        <v>23.6753</v>
      </c>
      <c r="K771" s="4"/>
      <c r="L771" s="9">
        <v>28.360600000000002</v>
      </c>
      <c r="M771" s="9">
        <v>11.6745</v>
      </c>
      <c r="N771" s="9">
        <v>4.7850000000000001</v>
      </c>
      <c r="O771" s="9">
        <v>0.36199999999999999</v>
      </c>
      <c r="P771" s="9">
        <v>1.2509999999999999</v>
      </c>
      <c r="Q771" s="9">
        <v>19.053000000000001</v>
      </c>
      <c r="R771" s="9"/>
      <c r="S771" s="11"/>
    </row>
    <row r="772" spans="1:19" ht="15.75">
      <c r="A772" s="13">
        <v>65015</v>
      </c>
      <c r="B772" s="8">
        <f>24.6294 * CHOOSE(CONTROL!$C$15, $D$11, 100%, $F$11)</f>
        <v>24.6294</v>
      </c>
      <c r="C772" s="8">
        <f>24.6402 * CHOOSE(CONTROL!$C$15, $D$11, 100%, $F$11)</f>
        <v>24.6402</v>
      </c>
      <c r="D772" s="8">
        <f>24.6246 * CHOOSE( CONTROL!$C$15, $D$11, 100%, $F$11)</f>
        <v>24.624600000000001</v>
      </c>
      <c r="E772" s="12">
        <f>24.6292 * CHOOSE( CONTROL!$C$15, $D$11, 100%, $F$11)</f>
        <v>24.629200000000001</v>
      </c>
      <c r="F772" s="4">
        <f>25.2879 * CHOOSE(CONTROL!$C$15, $D$11, 100%, $F$11)</f>
        <v>25.2879</v>
      </c>
      <c r="G772" s="8">
        <f>24.0801 * CHOOSE( CONTROL!$C$15, $D$11, 100%, $F$11)</f>
        <v>24.080100000000002</v>
      </c>
      <c r="H772" s="4">
        <f>24.9581 * CHOOSE(CONTROL!$C$15, $D$11, 100%, $F$11)</f>
        <v>24.958100000000002</v>
      </c>
      <c r="I772" s="8">
        <f>23.7983 * CHOOSE(CONTROL!$C$15, $D$11, 100%, $F$11)</f>
        <v>23.798300000000001</v>
      </c>
      <c r="J772" s="4">
        <f>23.6323 * CHOOSE(CONTROL!$C$15, $D$11, 100%, $F$11)</f>
        <v>23.632300000000001</v>
      </c>
      <c r="K772" s="4"/>
      <c r="L772" s="9">
        <v>29.306000000000001</v>
      </c>
      <c r="M772" s="9">
        <v>12.063700000000001</v>
      </c>
      <c r="N772" s="9">
        <v>4.9444999999999997</v>
      </c>
      <c r="O772" s="9">
        <v>0.37409999999999999</v>
      </c>
      <c r="P772" s="9">
        <v>1.2927</v>
      </c>
      <c r="Q772" s="9">
        <v>19.688099999999999</v>
      </c>
      <c r="R772" s="9"/>
      <c r="S772" s="11"/>
    </row>
    <row r="773" spans="1:19" ht="15.75">
      <c r="A773" s="13">
        <v>65046</v>
      </c>
      <c r="B773" s="8">
        <f>25.3555 * CHOOSE(CONTROL!$C$15, $D$11, 100%, $F$11)</f>
        <v>25.355499999999999</v>
      </c>
      <c r="C773" s="8">
        <f>25.3662 * CHOOSE(CONTROL!$C$15, $D$11, 100%, $F$11)</f>
        <v>25.366199999999999</v>
      </c>
      <c r="D773" s="8">
        <f>25.3476 * CHOOSE( CONTROL!$C$15, $D$11, 100%, $F$11)</f>
        <v>25.3476</v>
      </c>
      <c r="E773" s="12">
        <f>25.3533 * CHOOSE( CONTROL!$C$15, $D$11, 100%, $F$11)</f>
        <v>25.353300000000001</v>
      </c>
      <c r="F773" s="4">
        <f>26.014 * CHOOSE(CONTROL!$C$15, $D$11, 100%, $F$11)</f>
        <v>26.013999999999999</v>
      </c>
      <c r="G773" s="8">
        <f>24.7824 * CHOOSE( CONTROL!$C$15, $D$11, 100%, $F$11)</f>
        <v>24.782399999999999</v>
      </c>
      <c r="H773" s="4">
        <f>25.668 * CHOOSE(CONTROL!$C$15, $D$11, 100%, $F$11)</f>
        <v>25.667999999999999</v>
      </c>
      <c r="I773" s="8">
        <f>24.4606 * CHOOSE(CONTROL!$C$15, $D$11, 100%, $F$11)</f>
        <v>24.460599999999999</v>
      </c>
      <c r="J773" s="4">
        <f>24.3293 * CHOOSE(CONTROL!$C$15, $D$11, 100%, $F$11)</f>
        <v>24.3293</v>
      </c>
      <c r="K773" s="4"/>
      <c r="L773" s="9">
        <v>29.306000000000001</v>
      </c>
      <c r="M773" s="9">
        <v>12.063700000000001</v>
      </c>
      <c r="N773" s="9">
        <v>4.9444999999999997</v>
      </c>
      <c r="O773" s="9">
        <v>0.37409999999999999</v>
      </c>
      <c r="P773" s="9">
        <v>1.2927</v>
      </c>
      <c r="Q773" s="9">
        <v>19.688099999999999</v>
      </c>
      <c r="R773" s="9"/>
      <c r="S773" s="11"/>
    </row>
    <row r="774" spans="1:19" ht="15.75">
      <c r="A774" s="13">
        <v>65074</v>
      </c>
      <c r="B774" s="8">
        <f>23.7173 * CHOOSE(CONTROL!$C$15, $D$11, 100%, $F$11)</f>
        <v>23.717300000000002</v>
      </c>
      <c r="C774" s="8">
        <f>23.728 * CHOOSE(CONTROL!$C$15, $D$11, 100%, $F$11)</f>
        <v>23.728000000000002</v>
      </c>
      <c r="D774" s="8">
        <f>23.7093 * CHOOSE( CONTROL!$C$15, $D$11, 100%, $F$11)</f>
        <v>23.709299999999999</v>
      </c>
      <c r="E774" s="12">
        <f>23.715 * CHOOSE( CONTROL!$C$15, $D$11, 100%, $F$11)</f>
        <v>23.715</v>
      </c>
      <c r="F774" s="4">
        <f>24.3758 * CHOOSE(CONTROL!$C$15, $D$11, 100%, $F$11)</f>
        <v>24.375800000000002</v>
      </c>
      <c r="G774" s="8">
        <f>23.1806 * CHOOSE( CONTROL!$C$15, $D$11, 100%, $F$11)</f>
        <v>23.180599999999998</v>
      </c>
      <c r="H774" s="4">
        <f>24.0663 * CHOOSE(CONTROL!$C$15, $D$11, 100%, $F$11)</f>
        <v>24.066299999999998</v>
      </c>
      <c r="I774" s="8">
        <f>22.8867 * CHOOSE(CONTROL!$C$15, $D$11, 100%, $F$11)</f>
        <v>22.886700000000001</v>
      </c>
      <c r="J774" s="4">
        <f>22.7565 * CHOOSE(CONTROL!$C$15, $D$11, 100%, $F$11)</f>
        <v>22.756499999999999</v>
      </c>
      <c r="K774" s="4"/>
      <c r="L774" s="9">
        <v>26.469899999999999</v>
      </c>
      <c r="M774" s="9">
        <v>10.8962</v>
      </c>
      <c r="N774" s="9">
        <v>4.4660000000000002</v>
      </c>
      <c r="O774" s="9">
        <v>0.33789999999999998</v>
      </c>
      <c r="P774" s="9">
        <v>1.1676</v>
      </c>
      <c r="Q774" s="9">
        <v>17.782800000000002</v>
      </c>
      <c r="R774" s="9"/>
      <c r="S774" s="11"/>
    </row>
    <row r="775" spans="1:19" ht="15.75">
      <c r="A775" s="13">
        <v>65105</v>
      </c>
      <c r="B775" s="8">
        <f>23.2127 * CHOOSE(CONTROL!$C$15, $D$11, 100%, $F$11)</f>
        <v>23.212700000000002</v>
      </c>
      <c r="C775" s="8">
        <f>23.2235 * CHOOSE(CONTROL!$C$15, $D$11, 100%, $F$11)</f>
        <v>23.223500000000001</v>
      </c>
      <c r="D775" s="8">
        <f>23.2043 * CHOOSE( CONTROL!$C$15, $D$11, 100%, $F$11)</f>
        <v>23.2043</v>
      </c>
      <c r="E775" s="12">
        <f>23.2102 * CHOOSE( CONTROL!$C$15, $D$11, 100%, $F$11)</f>
        <v>23.2102</v>
      </c>
      <c r="F775" s="4">
        <f>23.8712 * CHOOSE(CONTROL!$C$15, $D$11, 100%, $F$11)</f>
        <v>23.871200000000002</v>
      </c>
      <c r="G775" s="8">
        <f>22.687 * CHOOSE( CONTROL!$C$15, $D$11, 100%, $F$11)</f>
        <v>22.687000000000001</v>
      </c>
      <c r="H775" s="4">
        <f>23.573 * CHOOSE(CONTROL!$C$15, $D$11, 100%, $F$11)</f>
        <v>23.573</v>
      </c>
      <c r="I775" s="8">
        <f>22.4005 * CHOOSE(CONTROL!$C$15, $D$11, 100%, $F$11)</f>
        <v>22.400500000000001</v>
      </c>
      <c r="J775" s="4">
        <f>22.2721 * CHOOSE(CONTROL!$C$15, $D$11, 100%, $F$11)</f>
        <v>22.272099999999998</v>
      </c>
      <c r="K775" s="4"/>
      <c r="L775" s="9">
        <v>29.306000000000001</v>
      </c>
      <c r="M775" s="9">
        <v>12.063700000000001</v>
      </c>
      <c r="N775" s="9">
        <v>4.9444999999999997</v>
      </c>
      <c r="O775" s="9">
        <v>0.37409999999999999</v>
      </c>
      <c r="P775" s="9">
        <v>1.2927</v>
      </c>
      <c r="Q775" s="9">
        <v>19.688099999999999</v>
      </c>
      <c r="R775" s="9"/>
      <c r="S775" s="11"/>
    </row>
    <row r="776" spans="1:19" ht="15.75">
      <c r="A776" s="13">
        <v>65135</v>
      </c>
      <c r="B776" s="8">
        <f>23.5652 * CHOOSE(CONTROL!$C$15, $D$11, 100%, $F$11)</f>
        <v>23.565200000000001</v>
      </c>
      <c r="C776" s="8">
        <f>23.576 * CHOOSE(CONTROL!$C$15, $D$11, 100%, $F$11)</f>
        <v>23.576000000000001</v>
      </c>
      <c r="D776" s="8">
        <f>23.613 * CHOOSE( CONTROL!$C$15, $D$11, 100%, $F$11)</f>
        <v>23.613</v>
      </c>
      <c r="E776" s="12">
        <f>23.5995 * CHOOSE( CONTROL!$C$15, $D$11, 100%, $F$11)</f>
        <v>23.599499999999999</v>
      </c>
      <c r="F776" s="4">
        <f>24.3045 * CHOOSE(CONTROL!$C$15, $D$11, 100%, $F$11)</f>
        <v>24.304500000000001</v>
      </c>
      <c r="G776" s="8">
        <f>23.0309 * CHOOSE( CONTROL!$C$15, $D$11, 100%, $F$11)</f>
        <v>23.030899999999999</v>
      </c>
      <c r="H776" s="4">
        <f>23.9966 * CHOOSE(CONTROL!$C$15, $D$11, 100%, $F$11)</f>
        <v>23.996600000000001</v>
      </c>
      <c r="I776" s="8">
        <f>22.731 * CHOOSE(CONTROL!$C$15, $D$11, 100%, $F$11)</f>
        <v>22.731000000000002</v>
      </c>
      <c r="J776" s="4">
        <f>22.6106 * CHOOSE(CONTROL!$C$15, $D$11, 100%, $F$11)</f>
        <v>22.610600000000002</v>
      </c>
      <c r="K776" s="4"/>
      <c r="L776" s="9">
        <v>30.092199999999998</v>
      </c>
      <c r="M776" s="9">
        <v>11.6745</v>
      </c>
      <c r="N776" s="9">
        <v>4.7850000000000001</v>
      </c>
      <c r="O776" s="9">
        <v>0.36199999999999999</v>
      </c>
      <c r="P776" s="9">
        <v>1.1791</v>
      </c>
      <c r="Q776" s="9">
        <v>19.053000000000001</v>
      </c>
      <c r="R776" s="9"/>
      <c r="S776" s="11"/>
    </row>
    <row r="777" spans="1:19" ht="15.75">
      <c r="A777" s="13">
        <v>65166</v>
      </c>
      <c r="B777" s="8">
        <f>CHOOSE( CONTROL!$C$32, 24.195, 24.1927) * CHOOSE(CONTROL!$C$15, $D$11, 100%, $F$11)</f>
        <v>24.195</v>
      </c>
      <c r="C777" s="8">
        <f>CHOOSE( CONTROL!$C$32, 24.2056, 24.2032) * CHOOSE(CONTROL!$C$15, $D$11, 100%, $F$11)</f>
        <v>24.2056</v>
      </c>
      <c r="D777" s="8">
        <f>CHOOSE( CONTROL!$C$32, 24.2414, 24.2391) * CHOOSE( CONTROL!$C$15, $D$11, 100%, $F$11)</f>
        <v>24.241399999999999</v>
      </c>
      <c r="E777" s="12">
        <f>CHOOSE( CONTROL!$C$32, 24.2268, 24.2245) * CHOOSE( CONTROL!$C$15, $D$11, 100%, $F$11)</f>
        <v>24.226800000000001</v>
      </c>
      <c r="F777" s="4">
        <f>CHOOSE( CONTROL!$C$32, 24.9344, 24.932) * CHOOSE(CONTROL!$C$15, $D$11, 100%, $F$11)</f>
        <v>24.9344</v>
      </c>
      <c r="G777" s="8">
        <f>CHOOSE( CONTROL!$C$32, 23.6473, 23.6449) * CHOOSE( CONTROL!$C$15, $D$11, 100%, $F$11)</f>
        <v>23.647300000000001</v>
      </c>
      <c r="H777" s="4">
        <f>CHOOSE( CONTROL!$C$32, 24.6125, 24.6101) * CHOOSE(CONTROL!$C$15, $D$11, 100%, $F$11)</f>
        <v>24.612500000000001</v>
      </c>
      <c r="I777" s="8">
        <f>CHOOSE( CONTROL!$C$32, 23.3362, 23.3339) * CHOOSE(CONTROL!$C$15, $D$11, 100%, $F$11)</f>
        <v>23.336200000000002</v>
      </c>
      <c r="J777" s="4">
        <f>CHOOSE( CONTROL!$C$32, 23.2153, 23.213) * CHOOSE(CONTROL!$C$15, $D$11, 100%, $F$11)</f>
        <v>23.215299999999999</v>
      </c>
      <c r="K777" s="4"/>
      <c r="L777" s="9">
        <v>30.7165</v>
      </c>
      <c r="M777" s="9">
        <v>12.063700000000001</v>
      </c>
      <c r="N777" s="9">
        <v>4.9444999999999997</v>
      </c>
      <c r="O777" s="9">
        <v>0.37409999999999999</v>
      </c>
      <c r="P777" s="9">
        <v>1.2183999999999999</v>
      </c>
      <c r="Q777" s="9">
        <v>19.688099999999999</v>
      </c>
      <c r="R777" s="9"/>
      <c r="S777" s="11"/>
    </row>
    <row r="778" spans="1:19" ht="15.75">
      <c r="A778" s="13">
        <v>65196</v>
      </c>
      <c r="B778" s="8">
        <f>CHOOSE( CONTROL!$C$32, 23.8063, 23.8039) * CHOOSE(CONTROL!$C$15, $D$11, 100%, $F$11)</f>
        <v>23.8063</v>
      </c>
      <c r="C778" s="8">
        <f>CHOOSE( CONTROL!$C$32, 23.8169, 23.8145) * CHOOSE(CONTROL!$C$15, $D$11, 100%, $F$11)</f>
        <v>23.8169</v>
      </c>
      <c r="D778" s="8">
        <f>CHOOSE( CONTROL!$C$32, 23.8529, 23.8505) * CHOOSE( CONTROL!$C$15, $D$11, 100%, $F$11)</f>
        <v>23.852900000000002</v>
      </c>
      <c r="E778" s="12">
        <f>CHOOSE( CONTROL!$C$32, 23.8382, 23.8358) * CHOOSE( CONTROL!$C$15, $D$11, 100%, $F$11)</f>
        <v>23.838200000000001</v>
      </c>
      <c r="F778" s="4">
        <f>CHOOSE( CONTROL!$C$32, 24.5457, 24.5433) * CHOOSE(CONTROL!$C$15, $D$11, 100%, $F$11)</f>
        <v>24.5457</v>
      </c>
      <c r="G778" s="8">
        <f>CHOOSE( CONTROL!$C$32, 23.2675, 23.2652) * CHOOSE( CONTROL!$C$15, $D$11, 100%, $F$11)</f>
        <v>23.267499999999998</v>
      </c>
      <c r="H778" s="4">
        <f>CHOOSE( CONTROL!$C$32, 24.2324, 24.2301) * CHOOSE(CONTROL!$C$15, $D$11, 100%, $F$11)</f>
        <v>24.232399999999998</v>
      </c>
      <c r="I778" s="8">
        <f>CHOOSE( CONTROL!$C$32, 22.9637, 22.9614) * CHOOSE(CONTROL!$C$15, $D$11, 100%, $F$11)</f>
        <v>22.963699999999999</v>
      </c>
      <c r="J778" s="4">
        <f>CHOOSE( CONTROL!$C$32, 22.8421, 22.8398) * CHOOSE(CONTROL!$C$15, $D$11, 100%, $F$11)</f>
        <v>22.842099999999999</v>
      </c>
      <c r="K778" s="4"/>
      <c r="L778" s="9">
        <v>29.7257</v>
      </c>
      <c r="M778" s="9">
        <v>11.6745</v>
      </c>
      <c r="N778" s="9">
        <v>4.7850000000000001</v>
      </c>
      <c r="O778" s="9">
        <v>0.36199999999999999</v>
      </c>
      <c r="P778" s="9">
        <v>1.1791</v>
      </c>
      <c r="Q778" s="9">
        <v>19.053000000000001</v>
      </c>
      <c r="R778" s="9"/>
      <c r="S778" s="11"/>
    </row>
    <row r="779" spans="1:19" ht="15.75">
      <c r="A779" s="13">
        <v>65227</v>
      </c>
      <c r="B779" s="8">
        <f>CHOOSE( CONTROL!$C$32, 24.83, 24.8276) * CHOOSE(CONTROL!$C$15, $D$11, 100%, $F$11)</f>
        <v>24.83</v>
      </c>
      <c r="C779" s="8">
        <f>CHOOSE( CONTROL!$C$32, 24.8405, 24.8382) * CHOOSE(CONTROL!$C$15, $D$11, 100%, $F$11)</f>
        <v>24.840499999999999</v>
      </c>
      <c r="D779" s="8">
        <f>CHOOSE( CONTROL!$C$32, 24.8768, 24.8744) * CHOOSE( CONTROL!$C$15, $D$11, 100%, $F$11)</f>
        <v>24.876799999999999</v>
      </c>
      <c r="E779" s="12">
        <f>CHOOSE( CONTROL!$C$32, 24.862, 24.8597) * CHOOSE( CONTROL!$C$15, $D$11, 100%, $F$11)</f>
        <v>24.861999999999998</v>
      </c>
      <c r="F779" s="4">
        <f>CHOOSE( CONTROL!$C$32, 25.5693, 25.5669) * CHOOSE(CONTROL!$C$15, $D$11, 100%, $F$11)</f>
        <v>25.569299999999998</v>
      </c>
      <c r="G779" s="8">
        <f>CHOOSE( CONTROL!$C$32, 24.2687, 24.2663) * CHOOSE( CONTROL!$C$15, $D$11, 100%, $F$11)</f>
        <v>24.268699999999999</v>
      </c>
      <c r="H779" s="4">
        <f>CHOOSE( CONTROL!$C$32, 25.2332, 25.2309) * CHOOSE(CONTROL!$C$15, $D$11, 100%, $F$11)</f>
        <v>25.2332</v>
      </c>
      <c r="I779" s="8">
        <f>CHOOSE( CONTROL!$C$32, 23.948, 23.9457) * CHOOSE(CONTROL!$C$15, $D$11, 100%, $F$11)</f>
        <v>23.948</v>
      </c>
      <c r="J779" s="4">
        <f>CHOOSE( CONTROL!$C$32, 23.8249, 23.8226) * CHOOSE(CONTROL!$C$15, $D$11, 100%, $F$11)</f>
        <v>23.8249</v>
      </c>
      <c r="K779" s="4"/>
      <c r="L779" s="9">
        <v>30.7165</v>
      </c>
      <c r="M779" s="9">
        <v>12.063700000000001</v>
      </c>
      <c r="N779" s="9">
        <v>4.9444999999999997</v>
      </c>
      <c r="O779" s="9">
        <v>0.37409999999999999</v>
      </c>
      <c r="P779" s="9">
        <v>1.2183999999999999</v>
      </c>
      <c r="Q779" s="9">
        <v>19.688099999999999</v>
      </c>
      <c r="R779" s="9"/>
      <c r="S779" s="11"/>
    </row>
    <row r="780" spans="1:19" ht="15.75">
      <c r="A780" s="13">
        <v>65258</v>
      </c>
      <c r="B780" s="8">
        <f>CHOOSE( CONTROL!$C$32, 22.9146, 22.9122) * CHOOSE(CONTROL!$C$15, $D$11, 100%, $F$11)</f>
        <v>22.9146</v>
      </c>
      <c r="C780" s="8">
        <f>CHOOSE( CONTROL!$C$32, 22.9252, 22.9228) * CHOOSE(CONTROL!$C$15, $D$11, 100%, $F$11)</f>
        <v>22.9252</v>
      </c>
      <c r="D780" s="8">
        <f>CHOOSE( CONTROL!$C$32, 22.9615, 22.9591) * CHOOSE( CONTROL!$C$15, $D$11, 100%, $F$11)</f>
        <v>22.961500000000001</v>
      </c>
      <c r="E780" s="12">
        <f>CHOOSE( CONTROL!$C$32, 22.9467, 22.9443) * CHOOSE( CONTROL!$C$15, $D$11, 100%, $F$11)</f>
        <v>22.9467</v>
      </c>
      <c r="F780" s="4">
        <f>CHOOSE( CONTROL!$C$32, 23.654, 23.6516) * CHOOSE(CONTROL!$C$15, $D$11, 100%, $F$11)</f>
        <v>23.654</v>
      </c>
      <c r="G780" s="8">
        <f>CHOOSE( CONTROL!$C$32, 22.3961, 22.3938) * CHOOSE( CONTROL!$C$15, $D$11, 100%, $F$11)</f>
        <v>22.396100000000001</v>
      </c>
      <c r="H780" s="4">
        <f>CHOOSE( CONTROL!$C$32, 23.3606, 23.3583) * CHOOSE(CONTROL!$C$15, $D$11, 100%, $F$11)</f>
        <v>23.360600000000002</v>
      </c>
      <c r="I780" s="8">
        <f>CHOOSE( CONTROL!$C$32, 22.1084, 22.1061) * CHOOSE(CONTROL!$C$15, $D$11, 100%, $F$11)</f>
        <v>22.1084</v>
      </c>
      <c r="J780" s="4">
        <f>CHOOSE( CONTROL!$C$32, 21.986, 21.9837) * CHOOSE(CONTROL!$C$15, $D$11, 100%, $F$11)</f>
        <v>21.986000000000001</v>
      </c>
      <c r="K780" s="4"/>
      <c r="L780" s="9">
        <v>30.7165</v>
      </c>
      <c r="M780" s="9">
        <v>12.063700000000001</v>
      </c>
      <c r="N780" s="9">
        <v>4.9444999999999997</v>
      </c>
      <c r="O780" s="9">
        <v>0.37409999999999999</v>
      </c>
      <c r="P780" s="9">
        <v>1.2183999999999999</v>
      </c>
      <c r="Q780" s="9">
        <v>19.688099999999999</v>
      </c>
      <c r="R780" s="9"/>
      <c r="S780" s="11"/>
    </row>
    <row r="781" spans="1:19" ht="15.75">
      <c r="A781" s="13">
        <v>65288</v>
      </c>
      <c r="B781" s="8">
        <f>CHOOSE( CONTROL!$C$32, 22.435, 22.4326) * CHOOSE(CONTROL!$C$15, $D$11, 100%, $F$11)</f>
        <v>22.434999999999999</v>
      </c>
      <c r="C781" s="8">
        <f>CHOOSE( CONTROL!$C$32, 22.4456, 22.4432) * CHOOSE(CONTROL!$C$15, $D$11, 100%, $F$11)</f>
        <v>22.445599999999999</v>
      </c>
      <c r="D781" s="8">
        <f>CHOOSE( CONTROL!$C$32, 22.4818, 22.4794) * CHOOSE( CONTROL!$C$15, $D$11, 100%, $F$11)</f>
        <v>22.4818</v>
      </c>
      <c r="E781" s="12">
        <f>CHOOSE( CONTROL!$C$32, 22.4671, 22.4647) * CHOOSE( CONTROL!$C$15, $D$11, 100%, $F$11)</f>
        <v>22.467099999999999</v>
      </c>
      <c r="F781" s="4">
        <f>CHOOSE( CONTROL!$C$32, 23.1744, 23.172) * CHOOSE(CONTROL!$C$15, $D$11, 100%, $F$11)</f>
        <v>23.174399999999999</v>
      </c>
      <c r="G781" s="8">
        <f>CHOOSE( CONTROL!$C$32, 21.9271, 21.9247) * CHOOSE( CONTROL!$C$15, $D$11, 100%, $F$11)</f>
        <v>21.927099999999999</v>
      </c>
      <c r="H781" s="4">
        <f>CHOOSE( CONTROL!$C$32, 22.8917, 22.8893) * CHOOSE(CONTROL!$C$15, $D$11, 100%, $F$11)</f>
        <v>22.8917</v>
      </c>
      <c r="I781" s="8">
        <f>CHOOSE( CONTROL!$C$32, 21.6474, 21.6451) * CHOOSE(CONTROL!$C$15, $D$11, 100%, $F$11)</f>
        <v>21.647400000000001</v>
      </c>
      <c r="J781" s="4">
        <f>CHOOSE( CONTROL!$C$32, 21.5255, 21.5232) * CHOOSE(CONTROL!$C$15, $D$11, 100%, $F$11)</f>
        <v>21.525500000000001</v>
      </c>
      <c r="K781" s="4"/>
      <c r="L781" s="9">
        <v>29.7257</v>
      </c>
      <c r="M781" s="9">
        <v>11.6745</v>
      </c>
      <c r="N781" s="9">
        <v>4.7850000000000001</v>
      </c>
      <c r="O781" s="9">
        <v>0.36199999999999999</v>
      </c>
      <c r="P781" s="9">
        <v>1.1791</v>
      </c>
      <c r="Q781" s="9">
        <v>19.053000000000001</v>
      </c>
      <c r="R781" s="9"/>
      <c r="S781" s="11"/>
    </row>
    <row r="782" spans="1:19" ht="15.75">
      <c r="A782" s="13">
        <v>65319</v>
      </c>
      <c r="B782" s="8">
        <f>23.4286 * CHOOSE(CONTROL!$C$15, $D$11, 100%, $F$11)</f>
        <v>23.428599999999999</v>
      </c>
      <c r="C782" s="8">
        <f>23.4393 * CHOOSE(CONTROL!$C$15, $D$11, 100%, $F$11)</f>
        <v>23.439299999999999</v>
      </c>
      <c r="D782" s="8">
        <f>23.4769 * CHOOSE( CONTROL!$C$15, $D$11, 100%, $F$11)</f>
        <v>23.476900000000001</v>
      </c>
      <c r="E782" s="12">
        <f>23.4633 * CHOOSE( CONTROL!$C$15, $D$11, 100%, $F$11)</f>
        <v>23.4633</v>
      </c>
      <c r="F782" s="4">
        <f>24.1678 * CHOOSE(CONTROL!$C$15, $D$11, 100%, $F$11)</f>
        <v>24.1678</v>
      </c>
      <c r="G782" s="8">
        <f>22.8982 * CHOOSE( CONTROL!$C$15, $D$11, 100%, $F$11)</f>
        <v>22.898199999999999</v>
      </c>
      <c r="H782" s="4">
        <f>23.863 * CHOOSE(CONTROL!$C$15, $D$11, 100%, $F$11)</f>
        <v>23.863</v>
      </c>
      <c r="I782" s="8">
        <f>22.6025 * CHOOSE(CONTROL!$C$15, $D$11, 100%, $F$11)</f>
        <v>22.602499999999999</v>
      </c>
      <c r="J782" s="4">
        <f>22.4793 * CHOOSE(CONTROL!$C$15, $D$11, 100%, $F$11)</f>
        <v>22.479299999999999</v>
      </c>
      <c r="K782" s="4"/>
      <c r="L782" s="9">
        <v>31.095300000000002</v>
      </c>
      <c r="M782" s="9">
        <v>12.063700000000001</v>
      </c>
      <c r="N782" s="9">
        <v>4.9444999999999997</v>
      </c>
      <c r="O782" s="9">
        <v>0.37409999999999999</v>
      </c>
      <c r="P782" s="9">
        <v>1.2183999999999999</v>
      </c>
      <c r="Q782" s="9">
        <v>19.688099999999999</v>
      </c>
      <c r="R782" s="9"/>
      <c r="S782" s="11"/>
    </row>
    <row r="783" spans="1:19" ht="15.75">
      <c r="A783" s="13">
        <v>65349</v>
      </c>
      <c r="B783" s="8">
        <f>25.2668 * CHOOSE(CONTROL!$C$15, $D$11, 100%, $F$11)</f>
        <v>25.2668</v>
      </c>
      <c r="C783" s="8">
        <f>25.2776 * CHOOSE(CONTROL!$C$15, $D$11, 100%, $F$11)</f>
        <v>25.2776</v>
      </c>
      <c r="D783" s="8">
        <f>25.2603 * CHOOSE( CONTROL!$C$15, $D$11, 100%, $F$11)</f>
        <v>25.260300000000001</v>
      </c>
      <c r="E783" s="12">
        <f>25.2655 * CHOOSE( CONTROL!$C$15, $D$11, 100%, $F$11)</f>
        <v>25.265499999999999</v>
      </c>
      <c r="F783" s="4">
        <f>25.9253 * CHOOSE(CONTROL!$C$15, $D$11, 100%, $F$11)</f>
        <v>25.9253</v>
      </c>
      <c r="G783" s="8">
        <f>24.702 * CHOOSE( CONTROL!$C$15, $D$11, 100%, $F$11)</f>
        <v>24.702000000000002</v>
      </c>
      <c r="H783" s="4">
        <f>25.5813 * CHOOSE(CONTROL!$C$15, $D$11, 100%, $F$11)</f>
        <v>25.581299999999999</v>
      </c>
      <c r="I783" s="8">
        <f>24.4053 * CHOOSE(CONTROL!$C$15, $D$11, 100%, $F$11)</f>
        <v>24.4053</v>
      </c>
      <c r="J783" s="4">
        <f>24.2442 * CHOOSE(CONTROL!$C$15, $D$11, 100%, $F$11)</f>
        <v>24.244199999999999</v>
      </c>
      <c r="K783" s="4"/>
      <c r="L783" s="9">
        <v>28.360600000000002</v>
      </c>
      <c r="M783" s="9">
        <v>11.6745</v>
      </c>
      <c r="N783" s="9">
        <v>4.7850000000000001</v>
      </c>
      <c r="O783" s="9">
        <v>0.36199999999999999</v>
      </c>
      <c r="P783" s="9">
        <v>1.2509999999999999</v>
      </c>
      <c r="Q783" s="9">
        <v>19.053000000000001</v>
      </c>
      <c r="R783" s="9"/>
      <c r="S783" s="11"/>
    </row>
    <row r="784" spans="1:19" ht="15.75">
      <c r="A784" s="13">
        <v>65380</v>
      </c>
      <c r="B784" s="8">
        <f>25.2209 * CHOOSE(CONTROL!$C$15, $D$11, 100%, $F$11)</f>
        <v>25.2209</v>
      </c>
      <c r="C784" s="8">
        <f>25.2316 * CHOOSE(CONTROL!$C$15, $D$11, 100%, $F$11)</f>
        <v>25.2316</v>
      </c>
      <c r="D784" s="8">
        <f>25.2161 * CHOOSE( CONTROL!$C$15, $D$11, 100%, $F$11)</f>
        <v>25.216100000000001</v>
      </c>
      <c r="E784" s="12">
        <f>25.2206 * CHOOSE( CONTROL!$C$15, $D$11, 100%, $F$11)</f>
        <v>25.220600000000001</v>
      </c>
      <c r="F784" s="4">
        <f>25.8794 * CHOOSE(CONTROL!$C$15, $D$11, 100%, $F$11)</f>
        <v>25.8794</v>
      </c>
      <c r="G784" s="8">
        <f>24.6583 * CHOOSE( CONTROL!$C$15, $D$11, 100%, $F$11)</f>
        <v>24.658300000000001</v>
      </c>
      <c r="H784" s="4">
        <f>25.5364 * CHOOSE(CONTROL!$C$15, $D$11, 100%, $F$11)</f>
        <v>25.5364</v>
      </c>
      <c r="I784" s="8">
        <f>24.3664 * CHOOSE(CONTROL!$C$15, $D$11, 100%, $F$11)</f>
        <v>24.366399999999999</v>
      </c>
      <c r="J784" s="4">
        <f>24.2001 * CHOOSE(CONTROL!$C$15, $D$11, 100%, $F$11)</f>
        <v>24.200099999999999</v>
      </c>
      <c r="K784" s="4"/>
      <c r="L784" s="9">
        <v>29.306000000000001</v>
      </c>
      <c r="M784" s="9">
        <v>12.063700000000001</v>
      </c>
      <c r="N784" s="9">
        <v>4.9444999999999997</v>
      </c>
      <c r="O784" s="9">
        <v>0.37409999999999999</v>
      </c>
      <c r="P784" s="9">
        <v>1.2927</v>
      </c>
      <c r="Q784" s="9">
        <v>19.688099999999999</v>
      </c>
      <c r="R784" s="9"/>
      <c r="S784" s="11"/>
    </row>
    <row r="785" spans="1:19" ht="15.75">
      <c r="A785" s="13">
        <v>65411</v>
      </c>
      <c r="B785" s="8">
        <f>25.9644 * CHOOSE(CONTROL!$C$15, $D$11, 100%, $F$11)</f>
        <v>25.964400000000001</v>
      </c>
      <c r="C785" s="8">
        <f>25.9751 * CHOOSE(CONTROL!$C$15, $D$11, 100%, $F$11)</f>
        <v>25.975100000000001</v>
      </c>
      <c r="D785" s="8">
        <f>25.9565 * CHOOSE( CONTROL!$C$15, $D$11, 100%, $F$11)</f>
        <v>25.956499999999998</v>
      </c>
      <c r="E785" s="12">
        <f>25.9622 * CHOOSE( CONTROL!$C$15, $D$11, 100%, $F$11)</f>
        <v>25.962199999999999</v>
      </c>
      <c r="F785" s="4">
        <f>26.6229 * CHOOSE(CONTROL!$C$15, $D$11, 100%, $F$11)</f>
        <v>26.622900000000001</v>
      </c>
      <c r="G785" s="8">
        <f>25.3777 * CHOOSE( CONTROL!$C$15, $D$11, 100%, $F$11)</f>
        <v>25.377700000000001</v>
      </c>
      <c r="H785" s="4">
        <f>26.2633 * CHOOSE(CONTROL!$C$15, $D$11, 100%, $F$11)</f>
        <v>26.263300000000001</v>
      </c>
      <c r="I785" s="8">
        <f>25.0455 * CHOOSE(CONTROL!$C$15, $D$11, 100%, $F$11)</f>
        <v>25.045500000000001</v>
      </c>
      <c r="J785" s="4">
        <f>24.9139 * CHOOSE(CONTROL!$C$15, $D$11, 100%, $F$11)</f>
        <v>24.913900000000002</v>
      </c>
      <c r="K785" s="4"/>
      <c r="L785" s="9">
        <v>29.306000000000001</v>
      </c>
      <c r="M785" s="9">
        <v>12.063700000000001</v>
      </c>
      <c r="N785" s="9">
        <v>4.9444999999999997</v>
      </c>
      <c r="O785" s="9">
        <v>0.37409999999999999</v>
      </c>
      <c r="P785" s="9">
        <v>1.2927</v>
      </c>
      <c r="Q785" s="9">
        <v>19.688099999999999</v>
      </c>
      <c r="R785" s="9"/>
      <c r="S785" s="11"/>
    </row>
    <row r="786" spans="1:19" ht="15.75">
      <c r="A786" s="13">
        <v>65439</v>
      </c>
      <c r="B786" s="8">
        <f>24.2868 * CHOOSE(CONTROL!$C$15, $D$11, 100%, $F$11)</f>
        <v>24.286799999999999</v>
      </c>
      <c r="C786" s="8">
        <f>24.2975 * CHOOSE(CONTROL!$C$15, $D$11, 100%, $F$11)</f>
        <v>24.297499999999999</v>
      </c>
      <c r="D786" s="8">
        <f>24.2788 * CHOOSE( CONTROL!$C$15, $D$11, 100%, $F$11)</f>
        <v>24.2788</v>
      </c>
      <c r="E786" s="12">
        <f>24.2845 * CHOOSE( CONTROL!$C$15, $D$11, 100%, $F$11)</f>
        <v>24.284500000000001</v>
      </c>
      <c r="F786" s="4">
        <f>24.9453 * CHOOSE(CONTROL!$C$15, $D$11, 100%, $F$11)</f>
        <v>24.9453</v>
      </c>
      <c r="G786" s="8">
        <f>23.7375 * CHOOSE( CONTROL!$C$15, $D$11, 100%, $F$11)</f>
        <v>23.737500000000001</v>
      </c>
      <c r="H786" s="4">
        <f>24.6231 * CHOOSE(CONTROL!$C$15, $D$11, 100%, $F$11)</f>
        <v>24.623100000000001</v>
      </c>
      <c r="I786" s="8">
        <f>23.4337 * CHOOSE(CONTROL!$C$15, $D$11, 100%, $F$11)</f>
        <v>23.433700000000002</v>
      </c>
      <c r="J786" s="4">
        <f>23.3033 * CHOOSE(CONTROL!$C$15, $D$11, 100%, $F$11)</f>
        <v>23.3033</v>
      </c>
      <c r="K786" s="4"/>
      <c r="L786" s="9">
        <v>26.469899999999999</v>
      </c>
      <c r="M786" s="9">
        <v>10.8962</v>
      </c>
      <c r="N786" s="9">
        <v>4.4660000000000002</v>
      </c>
      <c r="O786" s="9">
        <v>0.33789999999999998</v>
      </c>
      <c r="P786" s="9">
        <v>1.1676</v>
      </c>
      <c r="Q786" s="9">
        <v>17.782800000000002</v>
      </c>
      <c r="R786" s="9"/>
      <c r="S786" s="11"/>
    </row>
    <row r="787" spans="1:19" ht="15.75">
      <c r="A787" s="13">
        <v>65470</v>
      </c>
      <c r="B787" s="8">
        <f>23.7701 * CHOOSE(CONTROL!$C$15, $D$11, 100%, $F$11)</f>
        <v>23.770099999999999</v>
      </c>
      <c r="C787" s="8">
        <f>23.7808 * CHOOSE(CONTROL!$C$15, $D$11, 100%, $F$11)</f>
        <v>23.780799999999999</v>
      </c>
      <c r="D787" s="8">
        <f>23.7617 * CHOOSE( CONTROL!$C$15, $D$11, 100%, $F$11)</f>
        <v>23.761700000000001</v>
      </c>
      <c r="E787" s="12">
        <f>23.7675 * CHOOSE( CONTROL!$C$15, $D$11, 100%, $F$11)</f>
        <v>23.767499999999998</v>
      </c>
      <c r="F787" s="4">
        <f>24.4286 * CHOOSE(CONTROL!$C$15, $D$11, 100%, $F$11)</f>
        <v>24.428599999999999</v>
      </c>
      <c r="G787" s="8">
        <f>23.2319 * CHOOSE( CONTROL!$C$15, $D$11, 100%, $F$11)</f>
        <v>23.2319</v>
      </c>
      <c r="H787" s="4">
        <f>24.1179 * CHOOSE(CONTROL!$C$15, $D$11, 100%, $F$11)</f>
        <v>24.117899999999999</v>
      </c>
      <c r="I787" s="8">
        <f>22.9359 * CHOOSE(CONTROL!$C$15, $D$11, 100%, $F$11)</f>
        <v>22.9359</v>
      </c>
      <c r="J787" s="4">
        <f>22.8072 * CHOOSE(CONTROL!$C$15, $D$11, 100%, $F$11)</f>
        <v>22.807200000000002</v>
      </c>
      <c r="K787" s="4"/>
      <c r="L787" s="9">
        <v>29.306000000000001</v>
      </c>
      <c r="M787" s="9">
        <v>12.063700000000001</v>
      </c>
      <c r="N787" s="9">
        <v>4.9444999999999997</v>
      </c>
      <c r="O787" s="9">
        <v>0.37409999999999999</v>
      </c>
      <c r="P787" s="9">
        <v>1.2927</v>
      </c>
      <c r="Q787" s="9">
        <v>19.688099999999999</v>
      </c>
      <c r="R787" s="9"/>
      <c r="S787" s="11"/>
    </row>
    <row r="788" spans="1:19" ht="15.75">
      <c r="A788" s="13">
        <v>65500</v>
      </c>
      <c r="B788" s="8">
        <f>24.1311 * CHOOSE(CONTROL!$C$15, $D$11, 100%, $F$11)</f>
        <v>24.1311</v>
      </c>
      <c r="C788" s="8">
        <f>24.1419 * CHOOSE(CONTROL!$C$15, $D$11, 100%, $F$11)</f>
        <v>24.1419</v>
      </c>
      <c r="D788" s="8">
        <f>24.1788 * CHOOSE( CONTROL!$C$15, $D$11, 100%, $F$11)</f>
        <v>24.178799999999999</v>
      </c>
      <c r="E788" s="12">
        <f>24.1654 * CHOOSE( CONTROL!$C$15, $D$11, 100%, $F$11)</f>
        <v>24.165400000000002</v>
      </c>
      <c r="F788" s="4">
        <f>24.8704 * CHOOSE(CONTROL!$C$15, $D$11, 100%, $F$11)</f>
        <v>24.8704</v>
      </c>
      <c r="G788" s="8">
        <f>23.5841 * CHOOSE( CONTROL!$C$15, $D$11, 100%, $F$11)</f>
        <v>23.584099999999999</v>
      </c>
      <c r="H788" s="4">
        <f>24.5499 * CHOOSE(CONTROL!$C$15, $D$11, 100%, $F$11)</f>
        <v>24.549900000000001</v>
      </c>
      <c r="I788" s="8">
        <f>23.2746 * CHOOSE(CONTROL!$C$15, $D$11, 100%, $F$11)</f>
        <v>23.2746</v>
      </c>
      <c r="J788" s="4">
        <f>23.1538 * CHOOSE(CONTROL!$C$15, $D$11, 100%, $F$11)</f>
        <v>23.1538</v>
      </c>
      <c r="K788" s="4"/>
      <c r="L788" s="9">
        <v>30.092199999999998</v>
      </c>
      <c r="M788" s="9">
        <v>11.6745</v>
      </c>
      <c r="N788" s="9">
        <v>4.7850000000000001</v>
      </c>
      <c r="O788" s="9">
        <v>0.36199999999999999</v>
      </c>
      <c r="P788" s="9">
        <v>1.1791</v>
      </c>
      <c r="Q788" s="9">
        <v>19.053000000000001</v>
      </c>
      <c r="R788" s="9"/>
      <c r="S788" s="11"/>
    </row>
    <row r="789" spans="1:19" ht="15.75">
      <c r="A789" s="13">
        <v>65531</v>
      </c>
      <c r="B789" s="8">
        <f>CHOOSE( CONTROL!$C$32, 24.776, 24.7736) * CHOOSE(CONTROL!$C$15, $D$11, 100%, $F$11)</f>
        <v>24.776</v>
      </c>
      <c r="C789" s="8">
        <f>CHOOSE( CONTROL!$C$32, 24.7865, 24.7842) * CHOOSE(CONTROL!$C$15, $D$11, 100%, $F$11)</f>
        <v>24.7865</v>
      </c>
      <c r="D789" s="8">
        <f>CHOOSE( CONTROL!$C$32, 24.8224, 24.82) * CHOOSE( CONTROL!$C$15, $D$11, 100%, $F$11)</f>
        <v>24.822399999999998</v>
      </c>
      <c r="E789" s="12">
        <f>CHOOSE( CONTROL!$C$32, 24.8078, 24.8054) * CHOOSE( CONTROL!$C$15, $D$11, 100%, $F$11)</f>
        <v>24.8078</v>
      </c>
      <c r="F789" s="4">
        <f>CHOOSE( CONTROL!$C$32, 25.5153, 25.5129) * CHOOSE(CONTROL!$C$15, $D$11, 100%, $F$11)</f>
        <v>25.5153</v>
      </c>
      <c r="G789" s="8">
        <f>CHOOSE( CONTROL!$C$32, 24.2153, 24.2129) * CHOOSE( CONTROL!$C$15, $D$11, 100%, $F$11)</f>
        <v>24.215299999999999</v>
      </c>
      <c r="H789" s="4">
        <f>CHOOSE( CONTROL!$C$32, 25.1804, 25.1781) * CHOOSE(CONTROL!$C$15, $D$11, 100%, $F$11)</f>
        <v>25.180399999999999</v>
      </c>
      <c r="I789" s="8">
        <f>CHOOSE( CONTROL!$C$32, 23.8942, 23.8919) * CHOOSE(CONTROL!$C$15, $D$11, 100%, $F$11)</f>
        <v>23.894200000000001</v>
      </c>
      <c r="J789" s="4">
        <f>CHOOSE( CONTROL!$C$32, 23.7731, 23.7708) * CHOOSE(CONTROL!$C$15, $D$11, 100%, $F$11)</f>
        <v>23.773099999999999</v>
      </c>
      <c r="K789" s="4"/>
      <c r="L789" s="9">
        <v>30.7165</v>
      </c>
      <c r="M789" s="9">
        <v>12.063700000000001</v>
      </c>
      <c r="N789" s="9">
        <v>4.9444999999999997</v>
      </c>
      <c r="O789" s="9">
        <v>0.37409999999999999</v>
      </c>
      <c r="P789" s="9">
        <v>1.2183999999999999</v>
      </c>
      <c r="Q789" s="9">
        <v>19.688099999999999</v>
      </c>
      <c r="R789" s="9"/>
      <c r="S789" s="11"/>
    </row>
    <row r="790" spans="1:19" ht="15.75">
      <c r="A790" s="13">
        <v>65561</v>
      </c>
      <c r="B790" s="8">
        <f>CHOOSE( CONTROL!$C$32, 24.3779, 24.3755) * CHOOSE(CONTROL!$C$15, $D$11, 100%, $F$11)</f>
        <v>24.3779</v>
      </c>
      <c r="C790" s="8">
        <f>CHOOSE( CONTROL!$C$32, 24.3885, 24.3861) * CHOOSE(CONTROL!$C$15, $D$11, 100%, $F$11)</f>
        <v>24.388500000000001</v>
      </c>
      <c r="D790" s="8">
        <f>CHOOSE( CONTROL!$C$32, 24.4245, 24.4221) * CHOOSE( CONTROL!$C$15, $D$11, 100%, $F$11)</f>
        <v>24.424499999999998</v>
      </c>
      <c r="E790" s="12">
        <f>CHOOSE( CONTROL!$C$32, 24.4098, 24.4074) * CHOOSE( CONTROL!$C$15, $D$11, 100%, $F$11)</f>
        <v>24.409800000000001</v>
      </c>
      <c r="F790" s="4">
        <f>CHOOSE( CONTROL!$C$32, 25.1173, 25.1149) * CHOOSE(CONTROL!$C$15, $D$11, 100%, $F$11)</f>
        <v>25.1173</v>
      </c>
      <c r="G790" s="8">
        <f>CHOOSE( CONTROL!$C$32, 23.8264, 23.824) * CHOOSE( CONTROL!$C$15, $D$11, 100%, $F$11)</f>
        <v>23.8264</v>
      </c>
      <c r="H790" s="4">
        <f>CHOOSE( CONTROL!$C$32, 24.7913, 24.7889) * CHOOSE(CONTROL!$C$15, $D$11, 100%, $F$11)</f>
        <v>24.7913</v>
      </c>
      <c r="I790" s="8">
        <f>CHOOSE( CONTROL!$C$32, 23.5128, 23.5105) * CHOOSE(CONTROL!$C$15, $D$11, 100%, $F$11)</f>
        <v>23.512799999999999</v>
      </c>
      <c r="J790" s="4">
        <f>CHOOSE( CONTROL!$C$32, 23.3909, 23.3886) * CHOOSE(CONTROL!$C$15, $D$11, 100%, $F$11)</f>
        <v>23.390899999999998</v>
      </c>
      <c r="K790" s="4"/>
      <c r="L790" s="9">
        <v>29.7257</v>
      </c>
      <c r="M790" s="9">
        <v>11.6745</v>
      </c>
      <c r="N790" s="9">
        <v>4.7850000000000001</v>
      </c>
      <c r="O790" s="9">
        <v>0.36199999999999999</v>
      </c>
      <c r="P790" s="9">
        <v>1.1791</v>
      </c>
      <c r="Q790" s="9">
        <v>19.053000000000001</v>
      </c>
      <c r="R790" s="9"/>
      <c r="S790" s="11"/>
    </row>
    <row r="791" spans="1:19" ht="15.75">
      <c r="A791" s="13">
        <v>65592</v>
      </c>
      <c r="B791" s="8">
        <f>CHOOSE( CONTROL!$C$32, 25.4262, 25.4238) * CHOOSE(CONTROL!$C$15, $D$11, 100%, $F$11)</f>
        <v>25.426200000000001</v>
      </c>
      <c r="C791" s="8">
        <f>CHOOSE( CONTROL!$C$32, 25.4367, 25.4343) * CHOOSE(CONTROL!$C$15, $D$11, 100%, $F$11)</f>
        <v>25.436699999999998</v>
      </c>
      <c r="D791" s="8">
        <f>CHOOSE( CONTROL!$C$32, 25.473, 25.4706) * CHOOSE( CONTROL!$C$15, $D$11, 100%, $F$11)</f>
        <v>25.472999999999999</v>
      </c>
      <c r="E791" s="12">
        <f>CHOOSE( CONTROL!$C$32, 25.4582, 25.4558) * CHOOSE( CONTROL!$C$15, $D$11, 100%, $F$11)</f>
        <v>25.458200000000001</v>
      </c>
      <c r="F791" s="4">
        <f>CHOOSE( CONTROL!$C$32, 26.1655, 26.1631) * CHOOSE(CONTROL!$C$15, $D$11, 100%, $F$11)</f>
        <v>26.165500000000002</v>
      </c>
      <c r="G791" s="8">
        <f>CHOOSE( CONTROL!$C$32, 24.8516, 24.8492) * CHOOSE( CONTROL!$C$15, $D$11, 100%, $F$11)</f>
        <v>24.851600000000001</v>
      </c>
      <c r="H791" s="4">
        <f>CHOOSE( CONTROL!$C$32, 25.8161, 25.8138) * CHOOSE(CONTROL!$C$15, $D$11, 100%, $F$11)</f>
        <v>25.816099999999999</v>
      </c>
      <c r="I791" s="8">
        <f>CHOOSE( CONTROL!$C$32, 24.5207, 24.5184) * CHOOSE(CONTROL!$C$15, $D$11, 100%, $F$11)</f>
        <v>24.520700000000001</v>
      </c>
      <c r="J791" s="4">
        <f>CHOOSE( CONTROL!$C$32, 24.3973, 24.395) * CHOOSE(CONTROL!$C$15, $D$11, 100%, $F$11)</f>
        <v>24.397300000000001</v>
      </c>
      <c r="K791" s="4"/>
      <c r="L791" s="9">
        <v>30.7165</v>
      </c>
      <c r="M791" s="9">
        <v>12.063700000000001</v>
      </c>
      <c r="N791" s="9">
        <v>4.9444999999999997</v>
      </c>
      <c r="O791" s="9">
        <v>0.37409999999999999</v>
      </c>
      <c r="P791" s="9">
        <v>1.2183999999999999</v>
      </c>
      <c r="Q791" s="9">
        <v>19.688099999999999</v>
      </c>
      <c r="R791" s="9"/>
      <c r="S791" s="11"/>
    </row>
    <row r="792" spans="1:19" ht="15.75">
      <c r="A792" s="13">
        <v>65623</v>
      </c>
      <c r="B792" s="8">
        <f>CHOOSE( CONTROL!$C$32, 23.4648, 23.4624) * CHOOSE(CONTROL!$C$15, $D$11, 100%, $F$11)</f>
        <v>23.4648</v>
      </c>
      <c r="C792" s="8">
        <f>CHOOSE( CONTROL!$C$32, 23.4754, 23.473) * CHOOSE(CONTROL!$C$15, $D$11, 100%, $F$11)</f>
        <v>23.4754</v>
      </c>
      <c r="D792" s="8">
        <f>CHOOSE( CONTROL!$C$32, 23.5117, 23.5093) * CHOOSE( CONTROL!$C$15, $D$11, 100%, $F$11)</f>
        <v>23.511700000000001</v>
      </c>
      <c r="E792" s="12">
        <f>CHOOSE( CONTROL!$C$32, 23.4969, 23.4945) * CHOOSE( CONTROL!$C$15, $D$11, 100%, $F$11)</f>
        <v>23.4969</v>
      </c>
      <c r="F792" s="4">
        <f>CHOOSE( CONTROL!$C$32, 24.2041, 24.2018) * CHOOSE(CONTROL!$C$15, $D$11, 100%, $F$11)</f>
        <v>24.2041</v>
      </c>
      <c r="G792" s="8">
        <f>CHOOSE( CONTROL!$C$32, 22.934, 22.9317) * CHOOSE( CONTROL!$C$15, $D$11, 100%, $F$11)</f>
        <v>22.934000000000001</v>
      </c>
      <c r="H792" s="4">
        <f>CHOOSE( CONTROL!$C$32, 23.8985, 23.8962) * CHOOSE(CONTROL!$C$15, $D$11, 100%, $F$11)</f>
        <v>23.898499999999999</v>
      </c>
      <c r="I792" s="8">
        <f>CHOOSE( CONTROL!$C$32, 22.6369, 22.6346) * CHOOSE(CONTROL!$C$15, $D$11, 100%, $F$11)</f>
        <v>22.636900000000001</v>
      </c>
      <c r="J792" s="4">
        <f>CHOOSE( CONTROL!$C$32, 22.5142, 22.5119) * CHOOSE(CONTROL!$C$15, $D$11, 100%, $F$11)</f>
        <v>22.514199999999999</v>
      </c>
      <c r="K792" s="4"/>
      <c r="L792" s="9">
        <v>30.7165</v>
      </c>
      <c r="M792" s="9">
        <v>12.063700000000001</v>
      </c>
      <c r="N792" s="9">
        <v>4.9444999999999997</v>
      </c>
      <c r="O792" s="9">
        <v>0.37409999999999999</v>
      </c>
      <c r="P792" s="9">
        <v>1.2183999999999999</v>
      </c>
      <c r="Q792" s="9">
        <v>19.688099999999999</v>
      </c>
      <c r="R792" s="9"/>
      <c r="S792" s="11"/>
    </row>
    <row r="793" spans="1:19" ht="15.75">
      <c r="A793" s="13">
        <v>65653</v>
      </c>
      <c r="B793" s="8">
        <f>CHOOSE( CONTROL!$C$32, 22.9736, 22.9712) * CHOOSE(CONTROL!$C$15, $D$11, 100%, $F$11)</f>
        <v>22.973600000000001</v>
      </c>
      <c r="C793" s="8">
        <f>CHOOSE( CONTROL!$C$32, 22.9842, 22.9818) * CHOOSE(CONTROL!$C$15, $D$11, 100%, $F$11)</f>
        <v>22.984200000000001</v>
      </c>
      <c r="D793" s="8">
        <f>CHOOSE( CONTROL!$C$32, 23.0204, 23.018) * CHOOSE( CONTROL!$C$15, $D$11, 100%, $F$11)</f>
        <v>23.020399999999999</v>
      </c>
      <c r="E793" s="12">
        <f>CHOOSE( CONTROL!$C$32, 23.0057, 23.0033) * CHOOSE( CONTROL!$C$15, $D$11, 100%, $F$11)</f>
        <v>23.005700000000001</v>
      </c>
      <c r="F793" s="4">
        <f>CHOOSE( CONTROL!$C$32, 23.713, 23.7106) * CHOOSE(CONTROL!$C$15, $D$11, 100%, $F$11)</f>
        <v>23.713000000000001</v>
      </c>
      <c r="G793" s="8">
        <f>CHOOSE( CONTROL!$C$32, 22.4537, 22.4514) * CHOOSE( CONTROL!$C$15, $D$11, 100%, $F$11)</f>
        <v>22.453700000000001</v>
      </c>
      <c r="H793" s="4">
        <f>CHOOSE( CONTROL!$C$32, 23.4183, 23.416) * CHOOSE(CONTROL!$C$15, $D$11, 100%, $F$11)</f>
        <v>23.418299999999999</v>
      </c>
      <c r="I793" s="8">
        <f>CHOOSE( CONTROL!$C$32, 22.1648, 22.1625) * CHOOSE(CONTROL!$C$15, $D$11, 100%, $F$11)</f>
        <v>22.1648</v>
      </c>
      <c r="J793" s="4">
        <f>CHOOSE( CONTROL!$C$32, 22.0427, 22.0404) * CHOOSE(CONTROL!$C$15, $D$11, 100%, $F$11)</f>
        <v>22.0427</v>
      </c>
      <c r="K793" s="4"/>
      <c r="L793" s="9">
        <v>29.7257</v>
      </c>
      <c r="M793" s="9">
        <v>11.6745</v>
      </c>
      <c r="N793" s="9">
        <v>4.7850000000000001</v>
      </c>
      <c r="O793" s="9">
        <v>0.36199999999999999</v>
      </c>
      <c r="P793" s="9">
        <v>1.1791</v>
      </c>
      <c r="Q793" s="9">
        <v>19.053000000000001</v>
      </c>
      <c r="R793" s="9"/>
      <c r="S793" s="11"/>
    </row>
    <row r="794" spans="1:19" ht="15.75">
      <c r="A794" s="13">
        <v>65684</v>
      </c>
      <c r="B794" s="8">
        <f>23.9912 * CHOOSE(CONTROL!$C$15, $D$11, 100%, $F$11)</f>
        <v>23.991199999999999</v>
      </c>
      <c r="C794" s="8">
        <f>24.0019 * CHOOSE(CONTROL!$C$15, $D$11, 100%, $F$11)</f>
        <v>24.001899999999999</v>
      </c>
      <c r="D794" s="8">
        <f>24.0395 * CHOOSE( CONTROL!$C$15, $D$11, 100%, $F$11)</f>
        <v>24.0395</v>
      </c>
      <c r="E794" s="12">
        <f>24.0259 * CHOOSE( CONTROL!$C$15, $D$11, 100%, $F$11)</f>
        <v>24.0259</v>
      </c>
      <c r="F794" s="4">
        <f>24.7304 * CHOOSE(CONTROL!$C$15, $D$11, 100%, $F$11)</f>
        <v>24.730399999999999</v>
      </c>
      <c r="G794" s="8">
        <f>23.4482 * CHOOSE( CONTROL!$C$15, $D$11, 100%, $F$11)</f>
        <v>23.4482</v>
      </c>
      <c r="H794" s="4">
        <f>24.413 * CHOOSE(CONTROL!$C$15, $D$11, 100%, $F$11)</f>
        <v>24.413</v>
      </c>
      <c r="I794" s="8">
        <f>23.1428 * CHOOSE(CONTROL!$C$15, $D$11, 100%, $F$11)</f>
        <v>23.142800000000001</v>
      </c>
      <c r="J794" s="4">
        <f>23.0195 * CHOOSE(CONTROL!$C$15, $D$11, 100%, $F$11)</f>
        <v>23.019500000000001</v>
      </c>
      <c r="K794" s="4"/>
      <c r="L794" s="9">
        <v>31.095300000000002</v>
      </c>
      <c r="M794" s="9">
        <v>12.063700000000001</v>
      </c>
      <c r="N794" s="9">
        <v>4.9444999999999997</v>
      </c>
      <c r="O794" s="9">
        <v>0.37409999999999999</v>
      </c>
      <c r="P794" s="9">
        <v>1.2183999999999999</v>
      </c>
      <c r="Q794" s="9">
        <v>19.688099999999999</v>
      </c>
      <c r="R794" s="9"/>
      <c r="S794" s="11"/>
    </row>
    <row r="795" spans="1:19" ht="15.75">
      <c r="A795" s="13">
        <v>65714</v>
      </c>
      <c r="B795" s="8">
        <f>25.8735 * CHOOSE(CONTROL!$C$15, $D$11, 100%, $F$11)</f>
        <v>25.8735</v>
      </c>
      <c r="C795" s="8">
        <f>25.8843 * CHOOSE(CONTROL!$C$15, $D$11, 100%, $F$11)</f>
        <v>25.8843</v>
      </c>
      <c r="D795" s="8">
        <f>25.867 * CHOOSE( CONTROL!$C$15, $D$11, 100%, $F$11)</f>
        <v>25.867000000000001</v>
      </c>
      <c r="E795" s="12">
        <f>25.8722 * CHOOSE( CONTROL!$C$15, $D$11, 100%, $F$11)</f>
        <v>25.872199999999999</v>
      </c>
      <c r="F795" s="4">
        <f>26.532 * CHOOSE(CONTROL!$C$15, $D$11, 100%, $F$11)</f>
        <v>26.532</v>
      </c>
      <c r="G795" s="8">
        <f>25.2952 * CHOOSE( CONTROL!$C$15, $D$11, 100%, $F$11)</f>
        <v>25.295200000000001</v>
      </c>
      <c r="H795" s="4">
        <f>26.1745 * CHOOSE(CONTROL!$C$15, $D$11, 100%, $F$11)</f>
        <v>26.174499999999998</v>
      </c>
      <c r="I795" s="8">
        <f>24.9882 * CHOOSE(CONTROL!$C$15, $D$11, 100%, $F$11)</f>
        <v>24.988199999999999</v>
      </c>
      <c r="J795" s="4">
        <f>24.8267 * CHOOSE(CONTROL!$C$15, $D$11, 100%, $F$11)</f>
        <v>24.826699999999999</v>
      </c>
      <c r="K795" s="4"/>
      <c r="L795" s="9">
        <v>28.360600000000002</v>
      </c>
      <c r="M795" s="9">
        <v>11.6745</v>
      </c>
      <c r="N795" s="9">
        <v>4.7850000000000001</v>
      </c>
      <c r="O795" s="9">
        <v>0.36199999999999999</v>
      </c>
      <c r="P795" s="9">
        <v>1.2509999999999999</v>
      </c>
      <c r="Q795" s="9">
        <v>19.053000000000001</v>
      </c>
      <c r="R795" s="9"/>
      <c r="S795" s="11"/>
    </row>
    <row r="796" spans="1:19" ht="15.75">
      <c r="A796" s="13">
        <v>65745</v>
      </c>
      <c r="B796" s="8">
        <f>25.8265 * CHOOSE(CONTROL!$C$15, $D$11, 100%, $F$11)</f>
        <v>25.826499999999999</v>
      </c>
      <c r="C796" s="8">
        <f>25.8373 * CHOOSE(CONTROL!$C$15, $D$11, 100%, $F$11)</f>
        <v>25.837299999999999</v>
      </c>
      <c r="D796" s="8">
        <f>25.8217 * CHOOSE( CONTROL!$C$15, $D$11, 100%, $F$11)</f>
        <v>25.8217</v>
      </c>
      <c r="E796" s="12">
        <f>25.8263 * CHOOSE( CONTROL!$C$15, $D$11, 100%, $F$11)</f>
        <v>25.8263</v>
      </c>
      <c r="F796" s="4">
        <f>26.485 * CHOOSE(CONTROL!$C$15, $D$11, 100%, $F$11)</f>
        <v>26.484999999999999</v>
      </c>
      <c r="G796" s="8">
        <f>25.2504 * CHOOSE( CONTROL!$C$15, $D$11, 100%, $F$11)</f>
        <v>25.250399999999999</v>
      </c>
      <c r="H796" s="4">
        <f>26.1285 * CHOOSE(CONTROL!$C$15, $D$11, 100%, $F$11)</f>
        <v>26.128499999999999</v>
      </c>
      <c r="I796" s="8">
        <f>24.9482 * CHOOSE(CONTROL!$C$15, $D$11, 100%, $F$11)</f>
        <v>24.9482</v>
      </c>
      <c r="J796" s="4">
        <f>24.7816 * CHOOSE(CONTROL!$C$15, $D$11, 100%, $F$11)</f>
        <v>24.781600000000001</v>
      </c>
      <c r="K796" s="4"/>
      <c r="L796" s="9">
        <v>29.306000000000001</v>
      </c>
      <c r="M796" s="9">
        <v>12.063700000000001</v>
      </c>
      <c r="N796" s="9">
        <v>4.9444999999999997</v>
      </c>
      <c r="O796" s="9">
        <v>0.37409999999999999</v>
      </c>
      <c r="P796" s="9">
        <v>1.2927</v>
      </c>
      <c r="Q796" s="9">
        <v>19.688099999999999</v>
      </c>
      <c r="R796" s="9"/>
      <c r="S796" s="11"/>
    </row>
    <row r="797" spans="1:19" ht="15.75">
      <c r="A797" s="13">
        <v>65776</v>
      </c>
      <c r="B797" s="8">
        <f>26.5878 * CHOOSE(CONTROL!$C$15, $D$11, 100%, $F$11)</f>
        <v>26.587800000000001</v>
      </c>
      <c r="C797" s="8">
        <f>26.5986 * CHOOSE(CONTROL!$C$15, $D$11, 100%, $F$11)</f>
        <v>26.598600000000001</v>
      </c>
      <c r="D797" s="8">
        <f>26.58 * CHOOSE( CONTROL!$C$15, $D$11, 100%, $F$11)</f>
        <v>26.58</v>
      </c>
      <c r="E797" s="12">
        <f>26.5857 * CHOOSE( CONTROL!$C$15, $D$11, 100%, $F$11)</f>
        <v>26.585699999999999</v>
      </c>
      <c r="F797" s="4">
        <f>27.2464 * CHOOSE(CONTROL!$C$15, $D$11, 100%, $F$11)</f>
        <v>27.246400000000001</v>
      </c>
      <c r="G797" s="8">
        <f>25.9873 * CHOOSE( CONTROL!$C$15, $D$11, 100%, $F$11)</f>
        <v>25.987300000000001</v>
      </c>
      <c r="H797" s="4">
        <f>26.8729 * CHOOSE(CONTROL!$C$15, $D$11, 100%, $F$11)</f>
        <v>26.872900000000001</v>
      </c>
      <c r="I797" s="8">
        <f>25.6444 * CHOOSE(CONTROL!$C$15, $D$11, 100%, $F$11)</f>
        <v>25.644400000000001</v>
      </c>
      <c r="J797" s="4">
        <f>25.5125 * CHOOSE(CONTROL!$C$15, $D$11, 100%, $F$11)</f>
        <v>25.512499999999999</v>
      </c>
      <c r="K797" s="4"/>
      <c r="L797" s="9">
        <v>29.306000000000001</v>
      </c>
      <c r="M797" s="9">
        <v>12.063700000000001</v>
      </c>
      <c r="N797" s="9">
        <v>4.9444999999999997</v>
      </c>
      <c r="O797" s="9">
        <v>0.37409999999999999</v>
      </c>
      <c r="P797" s="9">
        <v>1.2927</v>
      </c>
      <c r="Q797" s="9">
        <v>19.688099999999999</v>
      </c>
      <c r="R797" s="9"/>
      <c r="S797" s="11"/>
    </row>
    <row r="798" spans="1:19" ht="15.75">
      <c r="A798" s="13">
        <v>65805</v>
      </c>
      <c r="B798" s="8">
        <f>24.87 * CHOOSE(CONTROL!$C$15, $D$11, 100%, $F$11)</f>
        <v>24.87</v>
      </c>
      <c r="C798" s="8">
        <f>24.8807 * CHOOSE(CONTROL!$C$15, $D$11, 100%, $F$11)</f>
        <v>24.880700000000001</v>
      </c>
      <c r="D798" s="8">
        <f>24.862 * CHOOSE( CONTROL!$C$15, $D$11, 100%, $F$11)</f>
        <v>24.861999999999998</v>
      </c>
      <c r="E798" s="12">
        <f>24.8677 * CHOOSE( CONTROL!$C$15, $D$11, 100%, $F$11)</f>
        <v>24.867699999999999</v>
      </c>
      <c r="F798" s="4">
        <f>25.5285 * CHOOSE(CONTROL!$C$15, $D$11, 100%, $F$11)</f>
        <v>25.528500000000001</v>
      </c>
      <c r="G798" s="8">
        <f>24.3076 * CHOOSE( CONTROL!$C$15, $D$11, 100%, $F$11)</f>
        <v>24.307600000000001</v>
      </c>
      <c r="H798" s="4">
        <f>25.1933 * CHOOSE(CONTROL!$C$15, $D$11, 100%, $F$11)</f>
        <v>25.193300000000001</v>
      </c>
      <c r="I798" s="8">
        <f>23.9939 * CHOOSE(CONTROL!$C$15, $D$11, 100%, $F$11)</f>
        <v>23.9939</v>
      </c>
      <c r="J798" s="4">
        <f>23.8632 * CHOOSE(CONTROL!$C$15, $D$11, 100%, $F$11)</f>
        <v>23.863199999999999</v>
      </c>
      <c r="K798" s="4"/>
      <c r="L798" s="9">
        <v>27.415299999999998</v>
      </c>
      <c r="M798" s="9">
        <v>11.285299999999999</v>
      </c>
      <c r="N798" s="9">
        <v>4.6254999999999997</v>
      </c>
      <c r="O798" s="9">
        <v>0.34989999999999999</v>
      </c>
      <c r="P798" s="9">
        <v>1.2093</v>
      </c>
      <c r="Q798" s="9">
        <v>18.417899999999999</v>
      </c>
      <c r="R798" s="9"/>
      <c r="S798" s="11"/>
    </row>
    <row r="799" spans="1:19" ht="15.75">
      <c r="A799" s="13">
        <v>65836</v>
      </c>
      <c r="B799" s="8">
        <f>24.3409 * CHOOSE(CONTROL!$C$15, $D$11, 100%, $F$11)</f>
        <v>24.340900000000001</v>
      </c>
      <c r="C799" s="8">
        <f>24.3516 * CHOOSE(CONTROL!$C$15, $D$11, 100%, $F$11)</f>
        <v>24.351600000000001</v>
      </c>
      <c r="D799" s="8">
        <f>24.3324 * CHOOSE( CONTROL!$C$15, $D$11, 100%, $F$11)</f>
        <v>24.3324</v>
      </c>
      <c r="E799" s="12">
        <f>24.3383 * CHOOSE( CONTROL!$C$15, $D$11, 100%, $F$11)</f>
        <v>24.3383</v>
      </c>
      <c r="F799" s="4">
        <f>24.9994 * CHOOSE(CONTROL!$C$15, $D$11, 100%, $F$11)</f>
        <v>24.999400000000001</v>
      </c>
      <c r="G799" s="8">
        <f>23.79 * CHOOSE( CONTROL!$C$15, $D$11, 100%, $F$11)</f>
        <v>23.79</v>
      </c>
      <c r="H799" s="4">
        <f>24.676 * CHOOSE(CONTROL!$C$15, $D$11, 100%, $F$11)</f>
        <v>24.675999999999998</v>
      </c>
      <c r="I799" s="8">
        <f>23.4842 * CHOOSE(CONTROL!$C$15, $D$11, 100%, $F$11)</f>
        <v>23.484200000000001</v>
      </c>
      <c r="J799" s="4">
        <f>23.3552 * CHOOSE(CONTROL!$C$15, $D$11, 100%, $F$11)</f>
        <v>23.3552</v>
      </c>
      <c r="K799" s="4"/>
      <c r="L799" s="9">
        <v>29.306000000000001</v>
      </c>
      <c r="M799" s="9">
        <v>12.063700000000001</v>
      </c>
      <c r="N799" s="9">
        <v>4.9444999999999997</v>
      </c>
      <c r="O799" s="9">
        <v>0.37409999999999999</v>
      </c>
      <c r="P799" s="9">
        <v>1.2927</v>
      </c>
      <c r="Q799" s="9">
        <v>19.688099999999999</v>
      </c>
      <c r="R799" s="9"/>
      <c r="S799" s="11"/>
    </row>
    <row r="800" spans="1:19" ht="15.75">
      <c r="A800" s="13">
        <v>65866</v>
      </c>
      <c r="B800" s="8">
        <f>24.7105 * CHOOSE(CONTROL!$C$15, $D$11, 100%, $F$11)</f>
        <v>24.7105</v>
      </c>
      <c r="C800" s="8">
        <f>24.7213 * CHOOSE(CONTROL!$C$15, $D$11, 100%, $F$11)</f>
        <v>24.721299999999999</v>
      </c>
      <c r="D800" s="8">
        <f>24.7583 * CHOOSE( CONTROL!$C$15, $D$11, 100%, $F$11)</f>
        <v>24.758299999999998</v>
      </c>
      <c r="E800" s="12">
        <f>24.7448 * CHOOSE( CONTROL!$C$15, $D$11, 100%, $F$11)</f>
        <v>24.744800000000001</v>
      </c>
      <c r="F800" s="4">
        <f>25.4498 * CHOOSE(CONTROL!$C$15, $D$11, 100%, $F$11)</f>
        <v>25.4498</v>
      </c>
      <c r="G800" s="8">
        <f>24.1507 * CHOOSE( CONTROL!$C$15, $D$11, 100%, $F$11)</f>
        <v>24.150700000000001</v>
      </c>
      <c r="H800" s="4">
        <f>25.1164 * CHOOSE(CONTROL!$C$15, $D$11, 100%, $F$11)</f>
        <v>25.116399999999999</v>
      </c>
      <c r="I800" s="8">
        <f>23.8312 * CHOOSE(CONTROL!$C$15, $D$11, 100%, $F$11)</f>
        <v>23.831199999999999</v>
      </c>
      <c r="J800" s="4">
        <f>23.7102 * CHOOSE(CONTROL!$C$15, $D$11, 100%, $F$11)</f>
        <v>23.7102</v>
      </c>
      <c r="K800" s="4"/>
      <c r="L800" s="9">
        <v>30.092199999999998</v>
      </c>
      <c r="M800" s="9">
        <v>11.6745</v>
      </c>
      <c r="N800" s="9">
        <v>4.7850000000000001</v>
      </c>
      <c r="O800" s="9">
        <v>0.36199999999999999</v>
      </c>
      <c r="P800" s="9">
        <v>1.1791</v>
      </c>
      <c r="Q800" s="9">
        <v>19.053000000000001</v>
      </c>
      <c r="R800" s="9"/>
      <c r="S800" s="11"/>
    </row>
    <row r="801" spans="1:19" ht="15.75">
      <c r="A801" s="13">
        <v>65897</v>
      </c>
      <c r="B801" s="8">
        <f>CHOOSE( CONTROL!$C$32, 25.3709, 25.3685) * CHOOSE(CONTROL!$C$15, $D$11, 100%, $F$11)</f>
        <v>25.370899999999999</v>
      </c>
      <c r="C801" s="8">
        <f>CHOOSE( CONTROL!$C$32, 25.3814, 25.379) * CHOOSE(CONTROL!$C$15, $D$11, 100%, $F$11)</f>
        <v>25.381399999999999</v>
      </c>
      <c r="D801" s="8">
        <f>CHOOSE( CONTROL!$C$32, 25.4173, 25.4149) * CHOOSE( CONTROL!$C$15, $D$11, 100%, $F$11)</f>
        <v>25.417300000000001</v>
      </c>
      <c r="E801" s="12">
        <f>CHOOSE( CONTROL!$C$32, 25.4027, 25.4003) * CHOOSE( CONTROL!$C$15, $D$11, 100%, $F$11)</f>
        <v>25.402699999999999</v>
      </c>
      <c r="F801" s="4">
        <f>CHOOSE( CONTROL!$C$32, 26.1102, 26.1078) * CHOOSE(CONTROL!$C$15, $D$11, 100%, $F$11)</f>
        <v>26.110199999999999</v>
      </c>
      <c r="G801" s="8">
        <f>CHOOSE( CONTROL!$C$32, 24.7969, 24.7945) * CHOOSE( CONTROL!$C$15, $D$11, 100%, $F$11)</f>
        <v>24.796900000000001</v>
      </c>
      <c r="H801" s="4">
        <f>CHOOSE( CONTROL!$C$32, 25.7621, 25.7597) * CHOOSE(CONTROL!$C$15, $D$11, 100%, $F$11)</f>
        <v>25.7621</v>
      </c>
      <c r="I801" s="8">
        <f>CHOOSE( CONTROL!$C$32, 24.4657, 24.4634) * CHOOSE(CONTROL!$C$15, $D$11, 100%, $F$11)</f>
        <v>24.465699999999998</v>
      </c>
      <c r="J801" s="4">
        <f>CHOOSE( CONTROL!$C$32, 24.3442, 24.3419) * CHOOSE(CONTROL!$C$15, $D$11, 100%, $F$11)</f>
        <v>24.344200000000001</v>
      </c>
      <c r="K801" s="4"/>
      <c r="L801" s="9">
        <v>30.7165</v>
      </c>
      <c r="M801" s="9">
        <v>12.063700000000001</v>
      </c>
      <c r="N801" s="9">
        <v>4.9444999999999997</v>
      </c>
      <c r="O801" s="9">
        <v>0.37409999999999999</v>
      </c>
      <c r="P801" s="9">
        <v>1.2183999999999999</v>
      </c>
      <c r="Q801" s="9">
        <v>19.688099999999999</v>
      </c>
      <c r="R801" s="9"/>
      <c r="S801" s="11"/>
    </row>
    <row r="802" spans="1:19" ht="15.75">
      <c r="A802" s="13">
        <v>65927</v>
      </c>
      <c r="B802" s="8">
        <f>CHOOSE( CONTROL!$C$32, 24.9632, 24.9608) * CHOOSE(CONTROL!$C$15, $D$11, 100%, $F$11)</f>
        <v>24.963200000000001</v>
      </c>
      <c r="C802" s="8">
        <f>CHOOSE( CONTROL!$C$32, 24.9738, 24.9714) * CHOOSE(CONTROL!$C$15, $D$11, 100%, $F$11)</f>
        <v>24.973800000000001</v>
      </c>
      <c r="D802" s="8">
        <f>CHOOSE( CONTROL!$C$32, 25.0098, 25.0074) * CHOOSE( CONTROL!$C$15, $D$11, 100%, $F$11)</f>
        <v>25.009799999999998</v>
      </c>
      <c r="E802" s="12">
        <f>CHOOSE( CONTROL!$C$32, 24.9951, 24.9927) * CHOOSE( CONTROL!$C$15, $D$11, 100%, $F$11)</f>
        <v>24.995100000000001</v>
      </c>
      <c r="F802" s="4">
        <f>CHOOSE( CONTROL!$C$32, 25.7026, 25.7002) * CHOOSE(CONTROL!$C$15, $D$11, 100%, $F$11)</f>
        <v>25.7026</v>
      </c>
      <c r="G802" s="8">
        <f>CHOOSE( CONTROL!$C$32, 24.3986, 24.3963) * CHOOSE( CONTROL!$C$15, $D$11, 100%, $F$11)</f>
        <v>24.398599999999998</v>
      </c>
      <c r="H802" s="4">
        <f>CHOOSE( CONTROL!$C$32, 25.3635, 25.3612) * CHOOSE(CONTROL!$C$15, $D$11, 100%, $F$11)</f>
        <v>25.363499999999998</v>
      </c>
      <c r="I802" s="8">
        <f>CHOOSE( CONTROL!$C$32, 24.075, 24.0727) * CHOOSE(CONTROL!$C$15, $D$11, 100%, $F$11)</f>
        <v>24.074999999999999</v>
      </c>
      <c r="J802" s="4">
        <f>CHOOSE( CONTROL!$C$32, 23.9529, 23.9506) * CHOOSE(CONTROL!$C$15, $D$11, 100%, $F$11)</f>
        <v>23.9529</v>
      </c>
      <c r="K802" s="4"/>
      <c r="L802" s="9">
        <v>29.7257</v>
      </c>
      <c r="M802" s="9">
        <v>11.6745</v>
      </c>
      <c r="N802" s="9">
        <v>4.7850000000000001</v>
      </c>
      <c r="O802" s="9">
        <v>0.36199999999999999</v>
      </c>
      <c r="P802" s="9">
        <v>1.1791</v>
      </c>
      <c r="Q802" s="9">
        <v>19.053000000000001</v>
      </c>
      <c r="R802" s="9"/>
      <c r="S802" s="11"/>
    </row>
    <row r="803" spans="1:19" ht="15.75">
      <c r="A803" s="13">
        <v>65958</v>
      </c>
      <c r="B803" s="8">
        <f>CHOOSE( CONTROL!$C$32, 26.0367, 26.0343) * CHOOSE(CONTROL!$C$15, $D$11, 100%, $F$11)</f>
        <v>26.0367</v>
      </c>
      <c r="C803" s="8">
        <f>CHOOSE( CONTROL!$C$32, 26.0472, 26.0448) * CHOOSE(CONTROL!$C$15, $D$11, 100%, $F$11)</f>
        <v>26.0472</v>
      </c>
      <c r="D803" s="8">
        <f>CHOOSE( CONTROL!$C$32, 26.0835, 26.0811) * CHOOSE( CONTROL!$C$15, $D$11, 100%, $F$11)</f>
        <v>26.083500000000001</v>
      </c>
      <c r="E803" s="12">
        <f>CHOOSE( CONTROL!$C$32, 26.0687, 26.0663) * CHOOSE( CONTROL!$C$15, $D$11, 100%, $F$11)</f>
        <v>26.0687</v>
      </c>
      <c r="F803" s="4">
        <f>CHOOSE( CONTROL!$C$32, 26.776, 26.7736) * CHOOSE(CONTROL!$C$15, $D$11, 100%, $F$11)</f>
        <v>26.776</v>
      </c>
      <c r="G803" s="8">
        <f>CHOOSE( CONTROL!$C$32, 25.4485, 25.4461) * CHOOSE( CONTROL!$C$15, $D$11, 100%, $F$11)</f>
        <v>25.448499999999999</v>
      </c>
      <c r="H803" s="4">
        <f>CHOOSE( CONTROL!$C$32, 26.413, 26.4107) * CHOOSE(CONTROL!$C$15, $D$11, 100%, $F$11)</f>
        <v>26.413</v>
      </c>
      <c r="I803" s="8">
        <f>CHOOSE( CONTROL!$C$32, 25.1072, 25.1049) * CHOOSE(CONTROL!$C$15, $D$11, 100%, $F$11)</f>
        <v>25.107199999999999</v>
      </c>
      <c r="J803" s="4">
        <f>CHOOSE( CONTROL!$C$32, 24.9835, 24.9812) * CHOOSE(CONTROL!$C$15, $D$11, 100%, $F$11)</f>
        <v>24.983499999999999</v>
      </c>
      <c r="K803" s="4"/>
      <c r="L803" s="9">
        <v>30.7165</v>
      </c>
      <c r="M803" s="9">
        <v>12.063700000000001</v>
      </c>
      <c r="N803" s="9">
        <v>4.9444999999999997</v>
      </c>
      <c r="O803" s="9">
        <v>0.37409999999999999</v>
      </c>
      <c r="P803" s="9">
        <v>1.2183999999999999</v>
      </c>
      <c r="Q803" s="9">
        <v>19.688099999999999</v>
      </c>
      <c r="R803" s="9"/>
      <c r="S803" s="11"/>
    </row>
    <row r="804" spans="1:19" ht="15.75">
      <c r="A804" s="13">
        <v>65989</v>
      </c>
      <c r="B804" s="8">
        <f>CHOOSE( CONTROL!$C$32, 24.0282, 24.0258) * CHOOSE(CONTROL!$C$15, $D$11, 100%, $F$11)</f>
        <v>24.028199999999998</v>
      </c>
      <c r="C804" s="8">
        <f>CHOOSE( CONTROL!$C$32, 24.0387, 24.0363) * CHOOSE(CONTROL!$C$15, $D$11, 100%, $F$11)</f>
        <v>24.038699999999999</v>
      </c>
      <c r="D804" s="8">
        <f>CHOOSE( CONTROL!$C$32, 24.075, 24.0726) * CHOOSE( CONTROL!$C$15, $D$11, 100%, $F$11)</f>
        <v>24.074999999999999</v>
      </c>
      <c r="E804" s="12">
        <f>CHOOSE( CONTROL!$C$32, 24.0602, 24.0578) * CHOOSE( CONTROL!$C$15, $D$11, 100%, $F$11)</f>
        <v>24.060199999999998</v>
      </c>
      <c r="F804" s="4">
        <f>CHOOSE( CONTROL!$C$32, 24.7675, 24.7651) * CHOOSE(CONTROL!$C$15, $D$11, 100%, $F$11)</f>
        <v>24.767499999999998</v>
      </c>
      <c r="G804" s="8">
        <f>CHOOSE( CONTROL!$C$32, 23.4848, 23.4825) * CHOOSE( CONTROL!$C$15, $D$11, 100%, $F$11)</f>
        <v>23.4848</v>
      </c>
      <c r="H804" s="4">
        <f>CHOOSE( CONTROL!$C$32, 24.4493, 24.447) * CHOOSE(CONTROL!$C$15, $D$11, 100%, $F$11)</f>
        <v>24.449300000000001</v>
      </c>
      <c r="I804" s="8">
        <f>CHOOSE( CONTROL!$C$32, 23.1781, 23.1758) * CHOOSE(CONTROL!$C$15, $D$11, 100%, $F$11)</f>
        <v>23.178100000000001</v>
      </c>
      <c r="J804" s="4">
        <f>CHOOSE( CONTROL!$C$32, 23.0551, 23.0528) * CHOOSE(CONTROL!$C$15, $D$11, 100%, $F$11)</f>
        <v>23.055099999999999</v>
      </c>
      <c r="K804" s="4"/>
      <c r="L804" s="9">
        <v>30.7165</v>
      </c>
      <c r="M804" s="9">
        <v>12.063700000000001</v>
      </c>
      <c r="N804" s="9">
        <v>4.9444999999999997</v>
      </c>
      <c r="O804" s="9">
        <v>0.37409999999999999</v>
      </c>
      <c r="P804" s="9">
        <v>1.2183999999999999</v>
      </c>
      <c r="Q804" s="9">
        <v>19.688099999999999</v>
      </c>
      <c r="R804" s="9"/>
      <c r="S804" s="11"/>
    </row>
    <row r="805" spans="1:19" ht="15.75">
      <c r="A805" s="13">
        <v>66019</v>
      </c>
      <c r="B805" s="8">
        <f>CHOOSE( CONTROL!$C$32, 23.5252, 23.5228) * CHOOSE(CONTROL!$C$15, $D$11, 100%, $F$11)</f>
        <v>23.525200000000002</v>
      </c>
      <c r="C805" s="8">
        <f>CHOOSE( CONTROL!$C$32, 23.5358, 23.5334) * CHOOSE(CONTROL!$C$15, $D$11, 100%, $F$11)</f>
        <v>23.535799999999998</v>
      </c>
      <c r="D805" s="8">
        <f>CHOOSE( CONTROL!$C$32, 23.572, 23.5696) * CHOOSE( CONTROL!$C$15, $D$11, 100%, $F$11)</f>
        <v>23.571999999999999</v>
      </c>
      <c r="E805" s="12">
        <f>CHOOSE( CONTROL!$C$32, 23.5573, 23.5549) * CHOOSE( CONTROL!$C$15, $D$11, 100%, $F$11)</f>
        <v>23.557300000000001</v>
      </c>
      <c r="F805" s="4">
        <f>CHOOSE( CONTROL!$C$32, 24.2646, 24.2622) * CHOOSE(CONTROL!$C$15, $D$11, 100%, $F$11)</f>
        <v>24.264600000000002</v>
      </c>
      <c r="G805" s="8">
        <f>CHOOSE( CONTROL!$C$32, 22.993, 22.9907) * CHOOSE( CONTROL!$C$15, $D$11, 100%, $F$11)</f>
        <v>22.992999999999999</v>
      </c>
      <c r="H805" s="4">
        <f>CHOOSE( CONTROL!$C$32, 23.9576, 23.9552) * CHOOSE(CONTROL!$C$15, $D$11, 100%, $F$11)</f>
        <v>23.957599999999999</v>
      </c>
      <c r="I805" s="8">
        <f>CHOOSE( CONTROL!$C$32, 22.6946, 22.6923) * CHOOSE(CONTROL!$C$15, $D$11, 100%, $F$11)</f>
        <v>22.694600000000001</v>
      </c>
      <c r="J805" s="4">
        <f>CHOOSE( CONTROL!$C$32, 22.5722, 22.5699) * CHOOSE(CONTROL!$C$15, $D$11, 100%, $F$11)</f>
        <v>22.572199999999999</v>
      </c>
      <c r="K805" s="4"/>
      <c r="L805" s="9">
        <v>29.7257</v>
      </c>
      <c r="M805" s="9">
        <v>11.6745</v>
      </c>
      <c r="N805" s="9">
        <v>4.7850000000000001</v>
      </c>
      <c r="O805" s="9">
        <v>0.36199999999999999</v>
      </c>
      <c r="P805" s="9">
        <v>1.1791</v>
      </c>
      <c r="Q805" s="9">
        <v>19.053000000000001</v>
      </c>
      <c r="R805" s="9"/>
      <c r="S805" s="11"/>
    </row>
    <row r="806" spans="1:19" ht="15.75">
      <c r="A806" s="13">
        <v>66050</v>
      </c>
      <c r="B806" s="8">
        <f>24.5672 * CHOOSE(CONTROL!$C$15, $D$11, 100%, $F$11)</f>
        <v>24.5672</v>
      </c>
      <c r="C806" s="8">
        <f>24.578 * CHOOSE(CONTROL!$C$15, $D$11, 100%, $F$11)</f>
        <v>24.577999999999999</v>
      </c>
      <c r="D806" s="8">
        <f>24.6155 * CHOOSE( CONTROL!$C$15, $D$11, 100%, $F$11)</f>
        <v>24.615500000000001</v>
      </c>
      <c r="E806" s="12">
        <f>24.602 * CHOOSE( CONTROL!$C$15, $D$11, 100%, $F$11)</f>
        <v>24.602</v>
      </c>
      <c r="F806" s="4">
        <f>25.3065 * CHOOSE(CONTROL!$C$15, $D$11, 100%, $F$11)</f>
        <v>25.3065</v>
      </c>
      <c r="G806" s="8">
        <f>24.0114 * CHOOSE( CONTROL!$C$15, $D$11, 100%, $F$11)</f>
        <v>24.011399999999998</v>
      </c>
      <c r="H806" s="4">
        <f>24.9762 * CHOOSE(CONTROL!$C$15, $D$11, 100%, $F$11)</f>
        <v>24.976199999999999</v>
      </c>
      <c r="I806" s="8">
        <f>23.6962 * CHOOSE(CONTROL!$C$15, $D$11, 100%, $F$11)</f>
        <v>23.696200000000001</v>
      </c>
      <c r="J806" s="4">
        <f>23.5726 * CHOOSE(CONTROL!$C$15, $D$11, 100%, $F$11)</f>
        <v>23.572600000000001</v>
      </c>
      <c r="K806" s="4"/>
      <c r="L806" s="9">
        <v>31.095300000000002</v>
      </c>
      <c r="M806" s="9">
        <v>12.063700000000001</v>
      </c>
      <c r="N806" s="9">
        <v>4.9444999999999997</v>
      </c>
      <c r="O806" s="9">
        <v>0.37409999999999999</v>
      </c>
      <c r="P806" s="9">
        <v>1.2183999999999999</v>
      </c>
      <c r="Q806" s="9">
        <v>19.688099999999999</v>
      </c>
      <c r="R806" s="9"/>
      <c r="S806" s="11"/>
    </row>
    <row r="807" spans="1:19" ht="15.75">
      <c r="A807" s="13">
        <v>66080</v>
      </c>
      <c r="B807" s="8">
        <f>26.4948 * CHOOSE(CONTROL!$C$15, $D$11, 100%, $F$11)</f>
        <v>26.494800000000001</v>
      </c>
      <c r="C807" s="8">
        <f>26.5056 * CHOOSE(CONTROL!$C$15, $D$11, 100%, $F$11)</f>
        <v>26.505600000000001</v>
      </c>
      <c r="D807" s="8">
        <f>26.4883 * CHOOSE( CONTROL!$C$15, $D$11, 100%, $F$11)</f>
        <v>26.488299999999999</v>
      </c>
      <c r="E807" s="12">
        <f>26.4935 * CHOOSE( CONTROL!$C$15, $D$11, 100%, $F$11)</f>
        <v>26.493500000000001</v>
      </c>
      <c r="F807" s="4">
        <f>27.1533 * CHOOSE(CONTROL!$C$15, $D$11, 100%, $F$11)</f>
        <v>27.153300000000002</v>
      </c>
      <c r="G807" s="8">
        <f>25.9027 * CHOOSE( CONTROL!$C$15, $D$11, 100%, $F$11)</f>
        <v>25.902699999999999</v>
      </c>
      <c r="H807" s="4">
        <f>26.7819 * CHOOSE(CONTROL!$C$15, $D$11, 100%, $F$11)</f>
        <v>26.7819</v>
      </c>
      <c r="I807" s="8">
        <f>25.585 * CHOOSE(CONTROL!$C$15, $D$11, 100%, $F$11)</f>
        <v>25.585000000000001</v>
      </c>
      <c r="J807" s="4">
        <f>25.4232 * CHOOSE(CONTROL!$C$15, $D$11, 100%, $F$11)</f>
        <v>25.423200000000001</v>
      </c>
      <c r="K807" s="4"/>
      <c r="L807" s="9">
        <v>28.360600000000002</v>
      </c>
      <c r="M807" s="9">
        <v>11.6745</v>
      </c>
      <c r="N807" s="9">
        <v>4.7850000000000001</v>
      </c>
      <c r="O807" s="9">
        <v>0.36199999999999999</v>
      </c>
      <c r="P807" s="9">
        <v>1.2509999999999999</v>
      </c>
      <c r="Q807" s="9">
        <v>19.053000000000001</v>
      </c>
      <c r="R807" s="9"/>
      <c r="S807" s="11"/>
    </row>
    <row r="808" spans="1:19" ht="15.75">
      <c r="A808" s="13">
        <v>66111</v>
      </c>
      <c r="B808" s="8">
        <f>26.4467 * CHOOSE(CONTROL!$C$15, $D$11, 100%, $F$11)</f>
        <v>26.4467</v>
      </c>
      <c r="C808" s="8">
        <f>26.4574 * CHOOSE(CONTROL!$C$15, $D$11, 100%, $F$11)</f>
        <v>26.4574</v>
      </c>
      <c r="D808" s="8">
        <f>26.4419 * CHOOSE( CONTROL!$C$15, $D$11, 100%, $F$11)</f>
        <v>26.4419</v>
      </c>
      <c r="E808" s="12">
        <f>26.4464 * CHOOSE( CONTROL!$C$15, $D$11, 100%, $F$11)</f>
        <v>26.446400000000001</v>
      </c>
      <c r="F808" s="4">
        <f>27.1052 * CHOOSE(CONTROL!$C$15, $D$11, 100%, $F$11)</f>
        <v>27.1052</v>
      </c>
      <c r="G808" s="8">
        <f>25.8568 * CHOOSE( CONTROL!$C$15, $D$11, 100%, $F$11)</f>
        <v>25.8568</v>
      </c>
      <c r="H808" s="4">
        <f>26.7348 * CHOOSE(CONTROL!$C$15, $D$11, 100%, $F$11)</f>
        <v>26.7348</v>
      </c>
      <c r="I808" s="8">
        <f>25.5439 * CHOOSE(CONTROL!$C$15, $D$11, 100%, $F$11)</f>
        <v>25.543900000000001</v>
      </c>
      <c r="J808" s="4">
        <f>25.377 * CHOOSE(CONTROL!$C$15, $D$11, 100%, $F$11)</f>
        <v>25.376999999999999</v>
      </c>
      <c r="K808" s="4"/>
      <c r="L808" s="9">
        <v>29.306000000000001</v>
      </c>
      <c r="M808" s="9">
        <v>12.063700000000001</v>
      </c>
      <c r="N808" s="9">
        <v>4.9444999999999997</v>
      </c>
      <c r="O808" s="9">
        <v>0.37409999999999999</v>
      </c>
      <c r="P808" s="9">
        <v>1.2927</v>
      </c>
      <c r="Q808" s="9">
        <v>19.688099999999999</v>
      </c>
      <c r="R808" s="9"/>
      <c r="S808" s="11"/>
    </row>
    <row r="809" spans="1:19" ht="15.75">
      <c r="A809" s="13">
        <v>66142</v>
      </c>
      <c r="B809" s="8">
        <f>27.2263 * CHOOSE(CONTROL!$C$15, $D$11, 100%, $F$11)</f>
        <v>27.226299999999998</v>
      </c>
      <c r="C809" s="8">
        <f>27.2371 * CHOOSE(CONTROL!$C$15, $D$11, 100%, $F$11)</f>
        <v>27.237100000000002</v>
      </c>
      <c r="D809" s="8">
        <f>27.2185 * CHOOSE( CONTROL!$C$15, $D$11, 100%, $F$11)</f>
        <v>27.218499999999999</v>
      </c>
      <c r="E809" s="12">
        <f>27.2242 * CHOOSE( CONTROL!$C$15, $D$11, 100%, $F$11)</f>
        <v>27.2242</v>
      </c>
      <c r="F809" s="4">
        <f>27.8848 * CHOOSE(CONTROL!$C$15, $D$11, 100%, $F$11)</f>
        <v>27.884799999999998</v>
      </c>
      <c r="G809" s="8">
        <f>26.6115 * CHOOSE( CONTROL!$C$15, $D$11, 100%, $F$11)</f>
        <v>26.611499999999999</v>
      </c>
      <c r="H809" s="4">
        <f>27.4971 * CHOOSE(CONTROL!$C$15, $D$11, 100%, $F$11)</f>
        <v>27.4971</v>
      </c>
      <c r="I809" s="8">
        <f>26.2577 * CHOOSE(CONTROL!$C$15, $D$11, 100%, $F$11)</f>
        <v>26.2577</v>
      </c>
      <c r="J809" s="4">
        <f>26.1255 * CHOOSE(CONTROL!$C$15, $D$11, 100%, $F$11)</f>
        <v>26.125499999999999</v>
      </c>
      <c r="K809" s="4"/>
      <c r="L809" s="9">
        <v>29.306000000000001</v>
      </c>
      <c r="M809" s="9">
        <v>12.063700000000001</v>
      </c>
      <c r="N809" s="9">
        <v>4.9444999999999997</v>
      </c>
      <c r="O809" s="9">
        <v>0.37409999999999999</v>
      </c>
      <c r="P809" s="9">
        <v>1.2927</v>
      </c>
      <c r="Q809" s="9">
        <v>19.688099999999999</v>
      </c>
      <c r="R809" s="9"/>
      <c r="S809" s="11"/>
    </row>
    <row r="810" spans="1:19" ht="15.75">
      <c r="A810" s="13">
        <v>66170</v>
      </c>
      <c r="B810" s="8">
        <f>25.4672 * CHOOSE(CONTROL!$C$15, $D$11, 100%, $F$11)</f>
        <v>25.467199999999998</v>
      </c>
      <c r="C810" s="8">
        <f>25.4779 * CHOOSE(CONTROL!$C$15, $D$11, 100%, $F$11)</f>
        <v>25.477900000000002</v>
      </c>
      <c r="D810" s="8">
        <f>25.4592 * CHOOSE( CONTROL!$C$15, $D$11, 100%, $F$11)</f>
        <v>25.459199999999999</v>
      </c>
      <c r="E810" s="12">
        <f>25.4649 * CHOOSE( CONTROL!$C$15, $D$11, 100%, $F$11)</f>
        <v>25.4649</v>
      </c>
      <c r="F810" s="4">
        <f>26.1257 * CHOOSE(CONTROL!$C$15, $D$11, 100%, $F$11)</f>
        <v>26.125699999999998</v>
      </c>
      <c r="G810" s="8">
        <f>24.8915 * CHOOSE( CONTROL!$C$15, $D$11, 100%, $F$11)</f>
        <v>24.891500000000001</v>
      </c>
      <c r="H810" s="4">
        <f>25.7772 * CHOOSE(CONTROL!$C$15, $D$11, 100%, $F$11)</f>
        <v>25.777200000000001</v>
      </c>
      <c r="I810" s="8">
        <f>24.5676 * CHOOSE(CONTROL!$C$15, $D$11, 100%, $F$11)</f>
        <v>24.567599999999999</v>
      </c>
      <c r="J810" s="4">
        <f>24.4366 * CHOOSE(CONTROL!$C$15, $D$11, 100%, $F$11)</f>
        <v>24.436599999999999</v>
      </c>
      <c r="K810" s="4"/>
      <c r="L810" s="9">
        <v>26.469899999999999</v>
      </c>
      <c r="M810" s="9">
        <v>10.8962</v>
      </c>
      <c r="N810" s="9">
        <v>4.4660000000000002</v>
      </c>
      <c r="O810" s="9">
        <v>0.33789999999999998</v>
      </c>
      <c r="P810" s="9">
        <v>1.1676</v>
      </c>
      <c r="Q810" s="9">
        <v>17.782800000000002</v>
      </c>
      <c r="R810" s="9"/>
      <c r="S810" s="11"/>
    </row>
    <row r="811" spans="1:19" ht="15.75">
      <c r="A811" s="13">
        <v>66201</v>
      </c>
      <c r="B811" s="8">
        <f>24.9253 * CHOOSE(CONTROL!$C$15, $D$11, 100%, $F$11)</f>
        <v>24.9253</v>
      </c>
      <c r="C811" s="8">
        <f>24.9361 * CHOOSE(CONTROL!$C$15, $D$11, 100%, $F$11)</f>
        <v>24.9361</v>
      </c>
      <c r="D811" s="8">
        <f>24.9169 * CHOOSE( CONTROL!$C$15, $D$11, 100%, $F$11)</f>
        <v>24.916899999999998</v>
      </c>
      <c r="E811" s="12">
        <f>24.9228 * CHOOSE( CONTROL!$C$15, $D$11, 100%, $F$11)</f>
        <v>24.922799999999999</v>
      </c>
      <c r="F811" s="4">
        <f>25.5838 * CHOOSE(CONTROL!$C$15, $D$11, 100%, $F$11)</f>
        <v>25.5838</v>
      </c>
      <c r="G811" s="8">
        <f>24.3614 * CHOOSE( CONTROL!$C$15, $D$11, 100%, $F$11)</f>
        <v>24.3614</v>
      </c>
      <c r="H811" s="4">
        <f>25.2474 * CHOOSE(CONTROL!$C$15, $D$11, 100%, $F$11)</f>
        <v>25.247399999999999</v>
      </c>
      <c r="I811" s="8">
        <f>24.0456 * CHOOSE(CONTROL!$C$15, $D$11, 100%, $F$11)</f>
        <v>24.0456</v>
      </c>
      <c r="J811" s="4">
        <f>23.9164 * CHOOSE(CONTROL!$C$15, $D$11, 100%, $F$11)</f>
        <v>23.916399999999999</v>
      </c>
      <c r="K811" s="4"/>
      <c r="L811" s="9">
        <v>29.306000000000001</v>
      </c>
      <c r="M811" s="9">
        <v>12.063700000000001</v>
      </c>
      <c r="N811" s="9">
        <v>4.9444999999999997</v>
      </c>
      <c r="O811" s="9">
        <v>0.37409999999999999</v>
      </c>
      <c r="P811" s="9">
        <v>1.2927</v>
      </c>
      <c r="Q811" s="9">
        <v>19.688099999999999</v>
      </c>
      <c r="R811" s="9"/>
      <c r="S811" s="11"/>
    </row>
    <row r="812" spans="1:19" ht="15.75">
      <c r="A812" s="13">
        <v>66231</v>
      </c>
      <c r="B812" s="8">
        <f>25.3039 * CHOOSE(CONTROL!$C$15, $D$11, 100%, $F$11)</f>
        <v>25.303899999999999</v>
      </c>
      <c r="C812" s="8">
        <f>25.3147 * CHOOSE(CONTROL!$C$15, $D$11, 100%, $F$11)</f>
        <v>25.314699999999998</v>
      </c>
      <c r="D812" s="8">
        <f>25.3516 * CHOOSE( CONTROL!$C$15, $D$11, 100%, $F$11)</f>
        <v>25.351600000000001</v>
      </c>
      <c r="E812" s="12">
        <f>25.3382 * CHOOSE( CONTROL!$C$15, $D$11, 100%, $F$11)</f>
        <v>25.338200000000001</v>
      </c>
      <c r="F812" s="4">
        <f>26.0432 * CHOOSE(CONTROL!$C$15, $D$11, 100%, $F$11)</f>
        <v>26.043199999999999</v>
      </c>
      <c r="G812" s="8">
        <f>24.7308 * CHOOSE( CONTROL!$C$15, $D$11, 100%, $F$11)</f>
        <v>24.730799999999999</v>
      </c>
      <c r="H812" s="4">
        <f>25.6965 * CHOOSE(CONTROL!$C$15, $D$11, 100%, $F$11)</f>
        <v>25.6965</v>
      </c>
      <c r="I812" s="8">
        <f>24.4012 * CHOOSE(CONTROL!$C$15, $D$11, 100%, $F$11)</f>
        <v>24.401199999999999</v>
      </c>
      <c r="J812" s="4">
        <f>24.2799 * CHOOSE(CONTROL!$C$15, $D$11, 100%, $F$11)</f>
        <v>24.279900000000001</v>
      </c>
      <c r="K812" s="4"/>
      <c r="L812" s="9">
        <v>30.092199999999998</v>
      </c>
      <c r="M812" s="9">
        <v>11.6745</v>
      </c>
      <c r="N812" s="9">
        <v>4.7850000000000001</v>
      </c>
      <c r="O812" s="9">
        <v>0.36199999999999999</v>
      </c>
      <c r="P812" s="9">
        <v>1.1791</v>
      </c>
      <c r="Q812" s="9">
        <v>19.053000000000001</v>
      </c>
      <c r="R812" s="9"/>
      <c r="S812" s="11"/>
    </row>
    <row r="813" spans="1:19" ht="15.75">
      <c r="A813" s="13">
        <v>66262</v>
      </c>
      <c r="B813" s="8">
        <f>CHOOSE( CONTROL!$C$32, 25.98, 25.9777) * CHOOSE(CONTROL!$C$15, $D$11, 100%, $F$11)</f>
        <v>25.98</v>
      </c>
      <c r="C813" s="8">
        <f>CHOOSE( CONTROL!$C$32, 25.9906, 25.9882) * CHOOSE(CONTROL!$C$15, $D$11, 100%, $F$11)</f>
        <v>25.990600000000001</v>
      </c>
      <c r="D813" s="8">
        <f>CHOOSE( CONTROL!$C$32, 26.0264, 26.0241) * CHOOSE( CONTROL!$C$15, $D$11, 100%, $F$11)</f>
        <v>26.026399999999999</v>
      </c>
      <c r="E813" s="12">
        <f>CHOOSE( CONTROL!$C$32, 26.0118, 26.0095) * CHOOSE( CONTROL!$C$15, $D$11, 100%, $F$11)</f>
        <v>26.011800000000001</v>
      </c>
      <c r="F813" s="4">
        <f>CHOOSE( CONTROL!$C$32, 26.7194, 26.717) * CHOOSE(CONTROL!$C$15, $D$11, 100%, $F$11)</f>
        <v>26.7194</v>
      </c>
      <c r="G813" s="8">
        <f>CHOOSE( CONTROL!$C$32, 25.3925, 25.3901) * CHOOSE( CONTROL!$C$15, $D$11, 100%, $F$11)</f>
        <v>25.392499999999998</v>
      </c>
      <c r="H813" s="4">
        <f>CHOOSE( CONTROL!$C$32, 26.3577, 26.3553) * CHOOSE(CONTROL!$C$15, $D$11, 100%, $F$11)</f>
        <v>26.357700000000001</v>
      </c>
      <c r="I813" s="8">
        <f>CHOOSE( CONTROL!$C$32, 25.0508, 25.0485) * CHOOSE(CONTROL!$C$15, $D$11, 100%, $F$11)</f>
        <v>25.050799999999999</v>
      </c>
      <c r="J813" s="4">
        <f>CHOOSE( CONTROL!$C$32, 24.9291, 24.9268) * CHOOSE(CONTROL!$C$15, $D$11, 100%, $F$11)</f>
        <v>24.929099999999998</v>
      </c>
      <c r="K813" s="4"/>
      <c r="L813" s="9">
        <v>30.7165</v>
      </c>
      <c r="M813" s="9">
        <v>12.063700000000001</v>
      </c>
      <c r="N813" s="9">
        <v>4.9444999999999997</v>
      </c>
      <c r="O813" s="9">
        <v>0.37409999999999999</v>
      </c>
      <c r="P813" s="9">
        <v>1.2183999999999999</v>
      </c>
      <c r="Q813" s="9">
        <v>19.688099999999999</v>
      </c>
      <c r="R813" s="9"/>
      <c r="S813" s="11"/>
    </row>
    <row r="814" spans="1:19" ht="15.75">
      <c r="A814" s="13">
        <v>66292</v>
      </c>
      <c r="B814" s="8">
        <f>CHOOSE( CONTROL!$C$32, 25.5626, 25.5602) * CHOOSE(CONTROL!$C$15, $D$11, 100%, $F$11)</f>
        <v>25.5626</v>
      </c>
      <c r="C814" s="8">
        <f>CHOOSE( CONTROL!$C$32, 25.5732, 25.5708) * CHOOSE(CONTROL!$C$15, $D$11, 100%, $F$11)</f>
        <v>25.5732</v>
      </c>
      <c r="D814" s="8">
        <f>CHOOSE( CONTROL!$C$32, 25.6092, 25.6068) * CHOOSE( CONTROL!$C$15, $D$11, 100%, $F$11)</f>
        <v>25.609200000000001</v>
      </c>
      <c r="E814" s="12">
        <f>CHOOSE( CONTROL!$C$32, 25.5945, 25.5921) * CHOOSE( CONTROL!$C$15, $D$11, 100%, $F$11)</f>
        <v>25.5945</v>
      </c>
      <c r="F814" s="4">
        <f>CHOOSE( CONTROL!$C$32, 26.302, 26.2996) * CHOOSE(CONTROL!$C$15, $D$11, 100%, $F$11)</f>
        <v>26.302</v>
      </c>
      <c r="G814" s="8">
        <f>CHOOSE( CONTROL!$C$32, 24.9847, 24.9823) * CHOOSE( CONTROL!$C$15, $D$11, 100%, $F$11)</f>
        <v>24.9847</v>
      </c>
      <c r="H814" s="4">
        <f>CHOOSE( CONTROL!$C$32, 25.9496, 25.9472) * CHOOSE(CONTROL!$C$15, $D$11, 100%, $F$11)</f>
        <v>25.9496</v>
      </c>
      <c r="I814" s="8">
        <f>CHOOSE( CONTROL!$C$32, 24.6508, 24.6485) * CHOOSE(CONTROL!$C$15, $D$11, 100%, $F$11)</f>
        <v>24.6508</v>
      </c>
      <c r="J814" s="4">
        <f>CHOOSE( CONTROL!$C$32, 24.5283, 24.5261) * CHOOSE(CONTROL!$C$15, $D$11, 100%, $F$11)</f>
        <v>24.528300000000002</v>
      </c>
      <c r="K814" s="4"/>
      <c r="L814" s="9">
        <v>29.7257</v>
      </c>
      <c r="M814" s="9">
        <v>11.6745</v>
      </c>
      <c r="N814" s="9">
        <v>4.7850000000000001</v>
      </c>
      <c r="O814" s="9">
        <v>0.36199999999999999</v>
      </c>
      <c r="P814" s="9">
        <v>1.1791</v>
      </c>
      <c r="Q814" s="9">
        <v>19.053000000000001</v>
      </c>
      <c r="R814" s="9"/>
      <c r="S814" s="11"/>
    </row>
    <row r="815" spans="1:19" ht="15.75">
      <c r="A815" s="13">
        <v>66323</v>
      </c>
      <c r="B815" s="8">
        <f>CHOOSE( CONTROL!$C$32, 26.6619, 26.6595) * CHOOSE(CONTROL!$C$15, $D$11, 100%, $F$11)</f>
        <v>26.661899999999999</v>
      </c>
      <c r="C815" s="8">
        <f>CHOOSE( CONTROL!$C$32, 26.6724, 26.67) * CHOOSE(CONTROL!$C$15, $D$11, 100%, $F$11)</f>
        <v>26.6724</v>
      </c>
      <c r="D815" s="8">
        <f>CHOOSE( CONTROL!$C$32, 26.7087, 26.7063) * CHOOSE( CONTROL!$C$15, $D$11, 100%, $F$11)</f>
        <v>26.7087</v>
      </c>
      <c r="E815" s="12">
        <f>CHOOSE( CONTROL!$C$32, 26.6939, 26.6915) * CHOOSE( CONTROL!$C$15, $D$11, 100%, $F$11)</f>
        <v>26.693899999999999</v>
      </c>
      <c r="F815" s="4">
        <f>CHOOSE( CONTROL!$C$32, 27.4012, 27.3988) * CHOOSE(CONTROL!$C$15, $D$11, 100%, $F$11)</f>
        <v>27.401199999999999</v>
      </c>
      <c r="G815" s="8">
        <f>CHOOSE( CONTROL!$C$32, 26.0597, 26.0574) * CHOOSE( CONTROL!$C$15, $D$11, 100%, $F$11)</f>
        <v>26.059699999999999</v>
      </c>
      <c r="H815" s="4">
        <f>CHOOSE( CONTROL!$C$32, 27.0243, 27.0219) * CHOOSE(CONTROL!$C$15, $D$11, 100%, $F$11)</f>
        <v>27.0243</v>
      </c>
      <c r="I815" s="8">
        <f>CHOOSE( CONTROL!$C$32, 25.7077, 25.7054) * CHOOSE(CONTROL!$C$15, $D$11, 100%, $F$11)</f>
        <v>25.707699999999999</v>
      </c>
      <c r="J815" s="4">
        <f>CHOOSE( CONTROL!$C$32, 25.5837, 25.5814) * CHOOSE(CONTROL!$C$15, $D$11, 100%, $F$11)</f>
        <v>25.5837</v>
      </c>
      <c r="K815" s="4"/>
      <c r="L815" s="9">
        <v>30.7165</v>
      </c>
      <c r="M815" s="9">
        <v>12.063700000000001</v>
      </c>
      <c r="N815" s="9">
        <v>4.9444999999999997</v>
      </c>
      <c r="O815" s="9">
        <v>0.37409999999999999</v>
      </c>
      <c r="P815" s="9">
        <v>1.2183999999999999</v>
      </c>
      <c r="Q815" s="9">
        <v>19.688099999999999</v>
      </c>
      <c r="R815" s="9"/>
      <c r="S815" s="11"/>
    </row>
    <row r="816" spans="1:19" ht="15.75">
      <c r="A816" s="13">
        <v>66354</v>
      </c>
      <c r="B816" s="8">
        <f>CHOOSE( CONTROL!$C$32, 24.6051, 24.6027) * CHOOSE(CONTROL!$C$15, $D$11, 100%, $F$11)</f>
        <v>24.6051</v>
      </c>
      <c r="C816" s="8">
        <f>CHOOSE( CONTROL!$C$32, 24.6157, 24.6133) * CHOOSE(CONTROL!$C$15, $D$11, 100%, $F$11)</f>
        <v>24.6157</v>
      </c>
      <c r="D816" s="8">
        <f>CHOOSE( CONTROL!$C$32, 24.652, 24.6496) * CHOOSE( CONTROL!$C$15, $D$11, 100%, $F$11)</f>
        <v>24.652000000000001</v>
      </c>
      <c r="E816" s="12">
        <f>CHOOSE( CONTROL!$C$32, 24.6372, 24.6348) * CHOOSE( CONTROL!$C$15, $D$11, 100%, $F$11)</f>
        <v>24.6372</v>
      </c>
      <c r="F816" s="4">
        <f>CHOOSE( CONTROL!$C$32, 25.3444, 25.3421) * CHOOSE(CONTROL!$C$15, $D$11, 100%, $F$11)</f>
        <v>25.3444</v>
      </c>
      <c r="G816" s="8">
        <f>CHOOSE( CONTROL!$C$32, 24.0489, 24.0465) * CHOOSE( CONTROL!$C$15, $D$11, 100%, $F$11)</f>
        <v>24.0489</v>
      </c>
      <c r="H816" s="4">
        <f>CHOOSE( CONTROL!$C$32, 25.0134, 25.011) * CHOOSE(CONTROL!$C$15, $D$11, 100%, $F$11)</f>
        <v>25.013400000000001</v>
      </c>
      <c r="I816" s="8">
        <f>CHOOSE( CONTROL!$C$32, 23.7322, 23.7299) * CHOOSE(CONTROL!$C$15, $D$11, 100%, $F$11)</f>
        <v>23.732199999999999</v>
      </c>
      <c r="J816" s="4">
        <f>CHOOSE( CONTROL!$C$32, 23.609, 23.6067) * CHOOSE(CONTROL!$C$15, $D$11, 100%, $F$11)</f>
        <v>23.609000000000002</v>
      </c>
      <c r="K816" s="4"/>
      <c r="L816" s="9">
        <v>30.7165</v>
      </c>
      <c r="M816" s="9">
        <v>12.063700000000001</v>
      </c>
      <c r="N816" s="9">
        <v>4.9444999999999997</v>
      </c>
      <c r="O816" s="9">
        <v>0.37409999999999999</v>
      </c>
      <c r="P816" s="9">
        <v>1.2183999999999999</v>
      </c>
      <c r="Q816" s="9">
        <v>19.688099999999999</v>
      </c>
      <c r="R816" s="9"/>
      <c r="S816" s="11"/>
    </row>
    <row r="817" spans="1:19" ht="15.75">
      <c r="A817" s="13">
        <v>66384</v>
      </c>
      <c r="B817" s="8">
        <f>CHOOSE( CONTROL!$C$32, 24.09, 24.0877) * CHOOSE(CONTROL!$C$15, $D$11, 100%, $F$11)</f>
        <v>24.09</v>
      </c>
      <c r="C817" s="8">
        <f>CHOOSE( CONTROL!$C$32, 24.1006, 24.0982) * CHOOSE(CONTROL!$C$15, $D$11, 100%, $F$11)</f>
        <v>24.1006</v>
      </c>
      <c r="D817" s="8">
        <f>CHOOSE( CONTROL!$C$32, 24.1369, 24.1345) * CHOOSE( CONTROL!$C$15, $D$11, 100%, $F$11)</f>
        <v>24.136900000000001</v>
      </c>
      <c r="E817" s="12">
        <f>CHOOSE( CONTROL!$C$32, 24.1221, 24.1197) * CHOOSE( CONTROL!$C$15, $D$11, 100%, $F$11)</f>
        <v>24.1221</v>
      </c>
      <c r="F817" s="4">
        <f>CHOOSE( CONTROL!$C$32, 24.8294, 24.827) * CHOOSE(CONTROL!$C$15, $D$11, 100%, $F$11)</f>
        <v>24.8294</v>
      </c>
      <c r="G817" s="8">
        <f>CHOOSE( CONTROL!$C$32, 23.5452, 23.5429) * CHOOSE( CONTROL!$C$15, $D$11, 100%, $F$11)</f>
        <v>23.545200000000001</v>
      </c>
      <c r="H817" s="4">
        <f>CHOOSE( CONTROL!$C$32, 24.5098, 24.5075) * CHOOSE(CONTROL!$C$15, $D$11, 100%, $F$11)</f>
        <v>24.509799999999998</v>
      </c>
      <c r="I817" s="8">
        <f>CHOOSE( CONTROL!$C$32, 23.2372, 23.2349) * CHOOSE(CONTROL!$C$15, $D$11, 100%, $F$11)</f>
        <v>23.237200000000001</v>
      </c>
      <c r="J817" s="4">
        <f>CHOOSE( CONTROL!$C$32, 23.1145, 23.1122) * CHOOSE(CONTROL!$C$15, $D$11, 100%, $F$11)</f>
        <v>23.1145</v>
      </c>
      <c r="K817" s="4"/>
      <c r="L817" s="9">
        <v>29.7257</v>
      </c>
      <c r="M817" s="9">
        <v>11.6745</v>
      </c>
      <c r="N817" s="9">
        <v>4.7850000000000001</v>
      </c>
      <c r="O817" s="9">
        <v>0.36199999999999999</v>
      </c>
      <c r="P817" s="9">
        <v>1.1791</v>
      </c>
      <c r="Q817" s="9">
        <v>19.053000000000001</v>
      </c>
      <c r="R817" s="9"/>
      <c r="S817" s="11"/>
    </row>
    <row r="818" spans="1:19" ht="15.75">
      <c r="A818" s="13">
        <v>66415</v>
      </c>
      <c r="B818" s="8">
        <f>25.1572 * CHOOSE(CONTROL!$C$15, $D$11, 100%, $F$11)</f>
        <v>25.1572</v>
      </c>
      <c r="C818" s="8">
        <f>25.1679 * CHOOSE(CONTROL!$C$15, $D$11, 100%, $F$11)</f>
        <v>25.167899999999999</v>
      </c>
      <c r="D818" s="8">
        <f>25.2055 * CHOOSE( CONTROL!$C$15, $D$11, 100%, $F$11)</f>
        <v>25.205500000000001</v>
      </c>
      <c r="E818" s="12">
        <f>25.1919 * CHOOSE( CONTROL!$C$15, $D$11, 100%, $F$11)</f>
        <v>25.1919</v>
      </c>
      <c r="F818" s="4">
        <f>25.8964 * CHOOSE(CONTROL!$C$15, $D$11, 100%, $F$11)</f>
        <v>25.8964</v>
      </c>
      <c r="G818" s="8">
        <f>24.5882 * CHOOSE( CONTROL!$C$15, $D$11, 100%, $F$11)</f>
        <v>24.588200000000001</v>
      </c>
      <c r="H818" s="4">
        <f>25.553 * CHOOSE(CONTROL!$C$15, $D$11, 100%, $F$11)</f>
        <v>25.553000000000001</v>
      </c>
      <c r="I818" s="8">
        <f>24.2629 * CHOOSE(CONTROL!$C$15, $D$11, 100%, $F$11)</f>
        <v>24.262899999999998</v>
      </c>
      <c r="J818" s="4">
        <f>24.139 * CHOOSE(CONTROL!$C$15, $D$11, 100%, $F$11)</f>
        <v>24.138999999999999</v>
      </c>
      <c r="K818" s="4"/>
      <c r="L818" s="9">
        <v>31.095300000000002</v>
      </c>
      <c r="M818" s="9">
        <v>12.063700000000001</v>
      </c>
      <c r="N818" s="9">
        <v>4.9444999999999997</v>
      </c>
      <c r="O818" s="9">
        <v>0.37409999999999999</v>
      </c>
      <c r="P818" s="9">
        <v>1.2183999999999999</v>
      </c>
      <c r="Q818" s="9">
        <v>19.688099999999999</v>
      </c>
      <c r="R818" s="9"/>
      <c r="S818" s="11"/>
    </row>
    <row r="819" spans="1:19" ht="15.75">
      <c r="A819" s="13">
        <v>66445</v>
      </c>
      <c r="B819" s="8">
        <f>27.1311 * CHOOSE(CONTROL!$C$15, $D$11, 100%, $F$11)</f>
        <v>27.1311</v>
      </c>
      <c r="C819" s="8">
        <f>27.1418 * CHOOSE(CONTROL!$C$15, $D$11, 100%, $F$11)</f>
        <v>27.1418</v>
      </c>
      <c r="D819" s="8">
        <f>27.1246 * CHOOSE( CONTROL!$C$15, $D$11, 100%, $F$11)</f>
        <v>27.124600000000001</v>
      </c>
      <c r="E819" s="12">
        <f>27.1297 * CHOOSE( CONTROL!$C$15, $D$11, 100%, $F$11)</f>
        <v>27.1297</v>
      </c>
      <c r="F819" s="4">
        <f>27.7896 * CHOOSE(CONTROL!$C$15, $D$11, 100%, $F$11)</f>
        <v>27.7896</v>
      </c>
      <c r="G819" s="8">
        <f>26.5247 * CHOOSE( CONTROL!$C$15, $D$11, 100%, $F$11)</f>
        <v>26.524699999999999</v>
      </c>
      <c r="H819" s="4">
        <f>27.404 * CHOOSE(CONTROL!$C$15, $D$11, 100%, $F$11)</f>
        <v>27.404</v>
      </c>
      <c r="I819" s="8">
        <f>26.1961 * CHOOSE(CONTROL!$C$15, $D$11, 100%, $F$11)</f>
        <v>26.196100000000001</v>
      </c>
      <c r="J819" s="4">
        <f>26.0341 * CHOOSE(CONTROL!$C$15, $D$11, 100%, $F$11)</f>
        <v>26.034099999999999</v>
      </c>
      <c r="K819" s="4"/>
      <c r="L819" s="9">
        <v>28.360600000000002</v>
      </c>
      <c r="M819" s="9">
        <v>11.6745</v>
      </c>
      <c r="N819" s="9">
        <v>4.7850000000000001</v>
      </c>
      <c r="O819" s="9">
        <v>0.36199999999999999</v>
      </c>
      <c r="P819" s="9">
        <v>1.2509999999999999</v>
      </c>
      <c r="Q819" s="9">
        <v>19.053000000000001</v>
      </c>
      <c r="R819" s="9"/>
      <c r="S819" s="11"/>
    </row>
    <row r="820" spans="1:19" ht="15.75">
      <c r="A820" s="13">
        <v>66476</v>
      </c>
      <c r="B820" s="8">
        <f>27.0818 * CHOOSE(CONTROL!$C$15, $D$11, 100%, $F$11)</f>
        <v>27.081800000000001</v>
      </c>
      <c r="C820" s="8">
        <f>27.0925 * CHOOSE(CONTROL!$C$15, $D$11, 100%, $F$11)</f>
        <v>27.092500000000001</v>
      </c>
      <c r="D820" s="8">
        <f>27.077 * CHOOSE( CONTROL!$C$15, $D$11, 100%, $F$11)</f>
        <v>27.077000000000002</v>
      </c>
      <c r="E820" s="12">
        <f>27.0815 * CHOOSE( CONTROL!$C$15, $D$11, 100%, $F$11)</f>
        <v>27.081499999999998</v>
      </c>
      <c r="F820" s="4">
        <f>27.7403 * CHOOSE(CONTROL!$C$15, $D$11, 100%, $F$11)</f>
        <v>27.740300000000001</v>
      </c>
      <c r="G820" s="8">
        <f>26.4777 * CHOOSE( CONTROL!$C$15, $D$11, 100%, $F$11)</f>
        <v>26.477699999999999</v>
      </c>
      <c r="H820" s="4">
        <f>27.3558 * CHOOSE(CONTROL!$C$15, $D$11, 100%, $F$11)</f>
        <v>27.355799999999999</v>
      </c>
      <c r="I820" s="8">
        <f>26.1539 * CHOOSE(CONTROL!$C$15, $D$11, 100%, $F$11)</f>
        <v>26.1539</v>
      </c>
      <c r="J820" s="4">
        <f>25.9867 * CHOOSE(CONTROL!$C$15, $D$11, 100%, $F$11)</f>
        <v>25.986699999999999</v>
      </c>
      <c r="K820" s="4"/>
      <c r="L820" s="9">
        <v>29.306000000000001</v>
      </c>
      <c r="M820" s="9">
        <v>12.063700000000001</v>
      </c>
      <c r="N820" s="9">
        <v>4.9444999999999997</v>
      </c>
      <c r="O820" s="9">
        <v>0.37409999999999999</v>
      </c>
      <c r="P820" s="9">
        <v>1.2927</v>
      </c>
      <c r="Q820" s="9">
        <v>19.688099999999999</v>
      </c>
      <c r="R820" s="9"/>
      <c r="S820" s="11"/>
    </row>
    <row r="821" spans="1:19" ht="15.75">
      <c r="A821" s="13">
        <v>66507</v>
      </c>
      <c r="B821" s="8">
        <f>27.8801 * CHOOSE(CONTROL!$C$15, $D$11, 100%, $F$11)</f>
        <v>27.880099999999999</v>
      </c>
      <c r="C821" s="8">
        <f>27.8909 * CHOOSE(CONTROL!$C$15, $D$11, 100%, $F$11)</f>
        <v>27.890899999999998</v>
      </c>
      <c r="D821" s="8">
        <f>27.8723 * CHOOSE( CONTROL!$C$15, $D$11, 100%, $F$11)</f>
        <v>27.872299999999999</v>
      </c>
      <c r="E821" s="12">
        <f>27.878 * CHOOSE( CONTROL!$C$15, $D$11, 100%, $F$11)</f>
        <v>27.878</v>
      </c>
      <c r="F821" s="4">
        <f>28.5386 * CHOOSE(CONTROL!$C$15, $D$11, 100%, $F$11)</f>
        <v>28.538599999999999</v>
      </c>
      <c r="G821" s="8">
        <f>27.2507 * CHOOSE( CONTROL!$C$15, $D$11, 100%, $F$11)</f>
        <v>27.250699999999998</v>
      </c>
      <c r="H821" s="4">
        <f>28.1363 * CHOOSE(CONTROL!$C$15, $D$11, 100%, $F$11)</f>
        <v>28.136299999999999</v>
      </c>
      <c r="I821" s="8">
        <f>26.8857 * CHOOSE(CONTROL!$C$15, $D$11, 100%, $F$11)</f>
        <v>26.8857</v>
      </c>
      <c r="J821" s="4">
        <f>26.7533 * CHOOSE(CONTROL!$C$15, $D$11, 100%, $F$11)</f>
        <v>26.753299999999999</v>
      </c>
      <c r="K821" s="4"/>
      <c r="L821" s="9">
        <v>29.306000000000001</v>
      </c>
      <c r="M821" s="9">
        <v>12.063700000000001</v>
      </c>
      <c r="N821" s="9">
        <v>4.9444999999999997</v>
      </c>
      <c r="O821" s="9">
        <v>0.37409999999999999</v>
      </c>
      <c r="P821" s="9">
        <v>1.2927</v>
      </c>
      <c r="Q821" s="9">
        <v>19.688099999999999</v>
      </c>
      <c r="R821" s="9"/>
      <c r="S821" s="11"/>
    </row>
    <row r="822" spans="1:19" ht="15.75">
      <c r="A822" s="13">
        <v>66535</v>
      </c>
      <c r="B822" s="8">
        <f>26.0787 * CHOOSE(CONTROL!$C$15, $D$11, 100%, $F$11)</f>
        <v>26.078700000000001</v>
      </c>
      <c r="C822" s="8">
        <f>26.0895 * CHOOSE(CONTROL!$C$15, $D$11, 100%, $F$11)</f>
        <v>26.089500000000001</v>
      </c>
      <c r="D822" s="8">
        <f>26.0708 * CHOOSE( CONTROL!$C$15, $D$11, 100%, $F$11)</f>
        <v>26.070799999999998</v>
      </c>
      <c r="E822" s="12">
        <f>26.0765 * CHOOSE( CONTROL!$C$15, $D$11, 100%, $F$11)</f>
        <v>26.076499999999999</v>
      </c>
      <c r="F822" s="4">
        <f>26.7372 * CHOOSE(CONTROL!$C$15, $D$11, 100%, $F$11)</f>
        <v>26.737200000000001</v>
      </c>
      <c r="G822" s="8">
        <f>25.4894 * CHOOSE( CONTROL!$C$15, $D$11, 100%, $F$11)</f>
        <v>25.4894</v>
      </c>
      <c r="H822" s="4">
        <f>26.3751 * CHOOSE(CONTROL!$C$15, $D$11, 100%, $F$11)</f>
        <v>26.3751</v>
      </c>
      <c r="I822" s="8">
        <f>25.155 * CHOOSE(CONTROL!$C$15, $D$11, 100%, $F$11)</f>
        <v>25.155000000000001</v>
      </c>
      <c r="J822" s="4">
        <f>25.0237 * CHOOSE(CONTROL!$C$15, $D$11, 100%, $F$11)</f>
        <v>25.023700000000002</v>
      </c>
      <c r="K822" s="4"/>
      <c r="L822" s="9">
        <v>26.469899999999999</v>
      </c>
      <c r="M822" s="9">
        <v>10.8962</v>
      </c>
      <c r="N822" s="9">
        <v>4.4660000000000002</v>
      </c>
      <c r="O822" s="9">
        <v>0.33789999999999998</v>
      </c>
      <c r="P822" s="9">
        <v>1.1676</v>
      </c>
      <c r="Q822" s="9">
        <v>17.782800000000002</v>
      </c>
      <c r="R822" s="9"/>
      <c r="S822" s="11"/>
    </row>
    <row r="823" spans="1:19" ht="15.75">
      <c r="A823" s="13">
        <v>66566</v>
      </c>
      <c r="B823" s="8">
        <f>25.5239 * CHOOSE(CONTROL!$C$15, $D$11, 100%, $F$11)</f>
        <v>25.523900000000001</v>
      </c>
      <c r="C823" s="8">
        <f>25.5346 * CHOOSE(CONTROL!$C$15, $D$11, 100%, $F$11)</f>
        <v>25.534600000000001</v>
      </c>
      <c r="D823" s="8">
        <f>25.5154 * CHOOSE( CONTROL!$C$15, $D$11, 100%, $F$11)</f>
        <v>25.5154</v>
      </c>
      <c r="E823" s="12">
        <f>25.5213 * CHOOSE( CONTROL!$C$15, $D$11, 100%, $F$11)</f>
        <v>25.5213</v>
      </c>
      <c r="F823" s="4">
        <f>26.1824 * CHOOSE(CONTROL!$C$15, $D$11, 100%, $F$11)</f>
        <v>26.182400000000001</v>
      </c>
      <c r="G823" s="8">
        <f>24.9466 * CHOOSE( CONTROL!$C$15, $D$11, 100%, $F$11)</f>
        <v>24.9466</v>
      </c>
      <c r="H823" s="4">
        <f>25.8326 * CHOOSE(CONTROL!$C$15, $D$11, 100%, $F$11)</f>
        <v>25.832599999999999</v>
      </c>
      <c r="I823" s="8">
        <f>24.6206 * CHOOSE(CONTROL!$C$15, $D$11, 100%, $F$11)</f>
        <v>24.6206</v>
      </c>
      <c r="J823" s="4">
        <f>24.491 * CHOOSE(CONTROL!$C$15, $D$11, 100%, $F$11)</f>
        <v>24.491</v>
      </c>
      <c r="K823" s="4"/>
      <c r="L823" s="9">
        <v>29.306000000000001</v>
      </c>
      <c r="M823" s="9">
        <v>12.063700000000001</v>
      </c>
      <c r="N823" s="9">
        <v>4.9444999999999997</v>
      </c>
      <c r="O823" s="9">
        <v>0.37409999999999999</v>
      </c>
      <c r="P823" s="9">
        <v>1.2927</v>
      </c>
      <c r="Q823" s="9">
        <v>19.688099999999999</v>
      </c>
      <c r="R823" s="9"/>
      <c r="S823" s="11"/>
    </row>
    <row r="824" spans="1:19" ht="15.75">
      <c r="A824" s="13">
        <v>66596</v>
      </c>
      <c r="B824" s="8">
        <f>25.9115 * CHOOSE(CONTROL!$C$15, $D$11, 100%, $F$11)</f>
        <v>25.9115</v>
      </c>
      <c r="C824" s="8">
        <f>25.9223 * CHOOSE(CONTROL!$C$15, $D$11, 100%, $F$11)</f>
        <v>25.9223</v>
      </c>
      <c r="D824" s="8">
        <f>25.9593 * CHOOSE( CONTROL!$C$15, $D$11, 100%, $F$11)</f>
        <v>25.959299999999999</v>
      </c>
      <c r="E824" s="12">
        <f>25.9458 * CHOOSE( CONTROL!$C$15, $D$11, 100%, $F$11)</f>
        <v>25.945799999999998</v>
      </c>
      <c r="F824" s="4">
        <f>26.6508 * CHOOSE(CONTROL!$C$15, $D$11, 100%, $F$11)</f>
        <v>26.6508</v>
      </c>
      <c r="G824" s="8">
        <f>25.3249 * CHOOSE( CONTROL!$C$15, $D$11, 100%, $F$11)</f>
        <v>25.3249</v>
      </c>
      <c r="H824" s="4">
        <f>26.2906 * CHOOSE(CONTROL!$C$15, $D$11, 100%, $F$11)</f>
        <v>26.290600000000001</v>
      </c>
      <c r="I824" s="8">
        <f>24.9848 * CHOOSE(CONTROL!$C$15, $D$11, 100%, $F$11)</f>
        <v>24.9848</v>
      </c>
      <c r="J824" s="4">
        <f>24.8632 * CHOOSE(CONTROL!$C$15, $D$11, 100%, $F$11)</f>
        <v>24.863199999999999</v>
      </c>
      <c r="K824" s="4"/>
      <c r="L824" s="9">
        <v>30.092199999999998</v>
      </c>
      <c r="M824" s="9">
        <v>11.6745</v>
      </c>
      <c r="N824" s="9">
        <v>4.7850000000000001</v>
      </c>
      <c r="O824" s="9">
        <v>0.36199999999999999</v>
      </c>
      <c r="P824" s="9">
        <v>1.1791</v>
      </c>
      <c r="Q824" s="9">
        <v>19.053000000000001</v>
      </c>
      <c r="R824" s="9"/>
      <c r="S824" s="11"/>
    </row>
    <row r="825" spans="1:19" ht="15.75">
      <c r="A825" s="13">
        <v>66627</v>
      </c>
      <c r="B825" s="8">
        <f>CHOOSE( CONTROL!$C$32, 26.6039, 26.6015) * CHOOSE(CONTROL!$C$15, $D$11, 100%, $F$11)</f>
        <v>26.603899999999999</v>
      </c>
      <c r="C825" s="8">
        <f>CHOOSE( CONTROL!$C$32, 26.6144, 26.612) * CHOOSE(CONTROL!$C$15, $D$11, 100%, $F$11)</f>
        <v>26.6144</v>
      </c>
      <c r="D825" s="8">
        <f>CHOOSE( CONTROL!$C$32, 26.6503, 26.6479) * CHOOSE( CONTROL!$C$15, $D$11, 100%, $F$11)</f>
        <v>26.650300000000001</v>
      </c>
      <c r="E825" s="12">
        <f>CHOOSE( CONTROL!$C$32, 26.6357, 26.6333) * CHOOSE( CONTROL!$C$15, $D$11, 100%, $F$11)</f>
        <v>26.6357</v>
      </c>
      <c r="F825" s="4">
        <f>CHOOSE( CONTROL!$C$32, 27.3432, 27.3408) * CHOOSE(CONTROL!$C$15, $D$11, 100%, $F$11)</f>
        <v>27.3432</v>
      </c>
      <c r="G825" s="8">
        <f>CHOOSE( CONTROL!$C$32, 26.0024, 26) * CHOOSE( CONTROL!$C$15, $D$11, 100%, $F$11)</f>
        <v>26.002400000000002</v>
      </c>
      <c r="H825" s="4">
        <f>CHOOSE( CONTROL!$C$32, 26.9676, 26.9652) * CHOOSE(CONTROL!$C$15, $D$11, 100%, $F$11)</f>
        <v>26.967600000000001</v>
      </c>
      <c r="I825" s="8">
        <f>CHOOSE( CONTROL!$C$32, 25.6501, 25.6478) * CHOOSE(CONTROL!$C$15, $D$11, 100%, $F$11)</f>
        <v>25.650099999999998</v>
      </c>
      <c r="J825" s="4">
        <f>CHOOSE( CONTROL!$C$32, 25.528, 25.5257) * CHOOSE(CONTROL!$C$15, $D$11, 100%, $F$11)</f>
        <v>25.527999999999999</v>
      </c>
      <c r="K825" s="4"/>
      <c r="L825" s="9">
        <v>30.7165</v>
      </c>
      <c r="M825" s="9">
        <v>12.063700000000001</v>
      </c>
      <c r="N825" s="9">
        <v>4.9444999999999997</v>
      </c>
      <c r="O825" s="9">
        <v>0.37409999999999999</v>
      </c>
      <c r="P825" s="9">
        <v>1.2183999999999999</v>
      </c>
      <c r="Q825" s="9">
        <v>19.688099999999999</v>
      </c>
      <c r="R825" s="9"/>
      <c r="S825" s="11"/>
    </row>
    <row r="826" spans="1:19" ht="15.75">
      <c r="A826" s="13">
        <v>66657</v>
      </c>
      <c r="B826" s="8">
        <f>CHOOSE( CONTROL!$C$32, 26.1764, 26.174) * CHOOSE(CONTROL!$C$15, $D$11, 100%, $F$11)</f>
        <v>26.176400000000001</v>
      </c>
      <c r="C826" s="8">
        <f>CHOOSE( CONTROL!$C$32, 26.187, 26.1846) * CHOOSE(CONTROL!$C$15, $D$11, 100%, $F$11)</f>
        <v>26.187000000000001</v>
      </c>
      <c r="D826" s="8">
        <f>CHOOSE( CONTROL!$C$32, 26.223, 26.2206) * CHOOSE( CONTROL!$C$15, $D$11, 100%, $F$11)</f>
        <v>26.222999999999999</v>
      </c>
      <c r="E826" s="12">
        <f>CHOOSE( CONTROL!$C$32, 26.2083, 26.2059) * CHOOSE( CONTROL!$C$15, $D$11, 100%, $F$11)</f>
        <v>26.208300000000001</v>
      </c>
      <c r="F826" s="4">
        <f>CHOOSE( CONTROL!$C$32, 26.9158, 26.9134) * CHOOSE(CONTROL!$C$15, $D$11, 100%, $F$11)</f>
        <v>26.915800000000001</v>
      </c>
      <c r="G826" s="8">
        <f>CHOOSE( CONTROL!$C$32, 25.5848, 25.5824) * CHOOSE( CONTROL!$C$15, $D$11, 100%, $F$11)</f>
        <v>25.584800000000001</v>
      </c>
      <c r="H826" s="4">
        <f>CHOOSE( CONTROL!$C$32, 26.5497, 26.5473) * CHOOSE(CONTROL!$C$15, $D$11, 100%, $F$11)</f>
        <v>26.549700000000001</v>
      </c>
      <c r="I826" s="8">
        <f>CHOOSE( CONTROL!$C$32, 25.2404, 25.2381) * CHOOSE(CONTROL!$C$15, $D$11, 100%, $F$11)</f>
        <v>25.240400000000001</v>
      </c>
      <c r="J826" s="4">
        <f>CHOOSE( CONTROL!$C$32, 25.1176, 25.1154) * CHOOSE(CONTROL!$C$15, $D$11, 100%, $F$11)</f>
        <v>25.117599999999999</v>
      </c>
      <c r="K826" s="4"/>
      <c r="L826" s="9">
        <v>29.7257</v>
      </c>
      <c r="M826" s="9">
        <v>11.6745</v>
      </c>
      <c r="N826" s="9">
        <v>4.7850000000000001</v>
      </c>
      <c r="O826" s="9">
        <v>0.36199999999999999</v>
      </c>
      <c r="P826" s="9">
        <v>1.1791</v>
      </c>
      <c r="Q826" s="9">
        <v>19.053000000000001</v>
      </c>
      <c r="R826" s="9"/>
      <c r="S826" s="11"/>
    </row>
    <row r="827" spans="1:19" ht="15.75">
      <c r="A827" s="13">
        <v>66688</v>
      </c>
      <c r="B827" s="8">
        <f>CHOOSE( CONTROL!$C$32, 27.3021, 27.2997) * CHOOSE(CONTROL!$C$15, $D$11, 100%, $F$11)</f>
        <v>27.302099999999999</v>
      </c>
      <c r="C827" s="8">
        <f>CHOOSE( CONTROL!$C$32, 27.3126, 27.3102) * CHOOSE(CONTROL!$C$15, $D$11, 100%, $F$11)</f>
        <v>27.3126</v>
      </c>
      <c r="D827" s="8">
        <f>CHOOSE( CONTROL!$C$32, 27.3489, 27.3465) * CHOOSE( CONTROL!$C$15, $D$11, 100%, $F$11)</f>
        <v>27.3489</v>
      </c>
      <c r="E827" s="12">
        <f>CHOOSE( CONTROL!$C$32, 27.3341, 27.3317) * CHOOSE( CONTROL!$C$15, $D$11, 100%, $F$11)</f>
        <v>27.334099999999999</v>
      </c>
      <c r="F827" s="4">
        <f>CHOOSE( CONTROL!$C$32, 28.0414, 28.039) * CHOOSE(CONTROL!$C$15, $D$11, 100%, $F$11)</f>
        <v>28.041399999999999</v>
      </c>
      <c r="G827" s="8">
        <f>CHOOSE( CONTROL!$C$32, 26.6856, 26.6833) * CHOOSE( CONTROL!$C$15, $D$11, 100%, $F$11)</f>
        <v>26.685600000000001</v>
      </c>
      <c r="H827" s="4">
        <f>CHOOSE( CONTROL!$C$32, 27.6502, 27.6478) * CHOOSE(CONTROL!$C$15, $D$11, 100%, $F$11)</f>
        <v>27.650200000000002</v>
      </c>
      <c r="I827" s="8">
        <f>CHOOSE( CONTROL!$C$32, 26.3227, 26.3204) * CHOOSE(CONTROL!$C$15, $D$11, 100%, $F$11)</f>
        <v>26.322700000000001</v>
      </c>
      <c r="J827" s="4">
        <f>CHOOSE( CONTROL!$C$32, 26.1984, 26.1961) * CHOOSE(CONTROL!$C$15, $D$11, 100%, $F$11)</f>
        <v>26.198399999999999</v>
      </c>
      <c r="K827" s="4"/>
      <c r="L827" s="9">
        <v>30.7165</v>
      </c>
      <c r="M827" s="9">
        <v>12.063700000000001</v>
      </c>
      <c r="N827" s="9">
        <v>4.9444999999999997</v>
      </c>
      <c r="O827" s="9">
        <v>0.37409999999999999</v>
      </c>
      <c r="P827" s="9">
        <v>1.2183999999999999</v>
      </c>
      <c r="Q827" s="9">
        <v>19.688099999999999</v>
      </c>
      <c r="R827" s="9"/>
      <c r="S827" s="11"/>
    </row>
    <row r="828" spans="1:19" ht="15.75">
      <c r="A828" s="13">
        <v>66719</v>
      </c>
      <c r="B828" s="8">
        <f>CHOOSE( CONTROL!$C$32, 25.1959, 25.1935) * CHOOSE(CONTROL!$C$15, $D$11, 100%, $F$11)</f>
        <v>25.195900000000002</v>
      </c>
      <c r="C828" s="8">
        <f>CHOOSE( CONTROL!$C$32, 25.2064, 25.204) * CHOOSE(CONTROL!$C$15, $D$11, 100%, $F$11)</f>
        <v>25.206399999999999</v>
      </c>
      <c r="D828" s="8">
        <f>CHOOSE( CONTROL!$C$32, 25.2427, 25.2403) * CHOOSE( CONTROL!$C$15, $D$11, 100%, $F$11)</f>
        <v>25.242699999999999</v>
      </c>
      <c r="E828" s="12">
        <f>CHOOSE( CONTROL!$C$32, 25.2279, 25.2255) * CHOOSE( CONTROL!$C$15, $D$11, 100%, $F$11)</f>
        <v>25.227900000000002</v>
      </c>
      <c r="F828" s="4">
        <f>CHOOSE( CONTROL!$C$32, 25.9352, 25.9328) * CHOOSE(CONTROL!$C$15, $D$11, 100%, $F$11)</f>
        <v>25.935199999999998</v>
      </c>
      <c r="G828" s="8">
        <f>CHOOSE( CONTROL!$C$32, 24.6265, 24.6241) * CHOOSE( CONTROL!$C$15, $D$11, 100%, $F$11)</f>
        <v>24.6265</v>
      </c>
      <c r="H828" s="4">
        <f>CHOOSE( CONTROL!$C$32, 25.591, 25.5886) * CHOOSE(CONTROL!$C$15, $D$11, 100%, $F$11)</f>
        <v>25.591000000000001</v>
      </c>
      <c r="I828" s="8">
        <f>CHOOSE( CONTROL!$C$32, 24.2997, 24.2974) * CHOOSE(CONTROL!$C$15, $D$11, 100%, $F$11)</f>
        <v>24.299700000000001</v>
      </c>
      <c r="J828" s="4">
        <f>CHOOSE( CONTROL!$C$32, 24.1762, 24.1739) * CHOOSE(CONTROL!$C$15, $D$11, 100%, $F$11)</f>
        <v>24.176200000000001</v>
      </c>
      <c r="K828" s="4"/>
      <c r="L828" s="9">
        <v>30.7165</v>
      </c>
      <c r="M828" s="9">
        <v>12.063700000000001</v>
      </c>
      <c r="N828" s="9">
        <v>4.9444999999999997</v>
      </c>
      <c r="O828" s="9">
        <v>0.37409999999999999</v>
      </c>
      <c r="P828" s="9">
        <v>1.2183999999999999</v>
      </c>
      <c r="Q828" s="9">
        <v>19.688099999999999</v>
      </c>
      <c r="R828" s="9"/>
      <c r="S828" s="11"/>
    </row>
    <row r="829" spans="1:19" ht="15.75">
      <c r="A829" s="13">
        <v>66749</v>
      </c>
      <c r="B829" s="8">
        <f>CHOOSE( CONTROL!$C$32, 24.6685, 24.6661) * CHOOSE(CONTROL!$C$15, $D$11, 100%, $F$11)</f>
        <v>24.668500000000002</v>
      </c>
      <c r="C829" s="8">
        <f>CHOOSE( CONTROL!$C$32, 24.679, 24.6766) * CHOOSE(CONTROL!$C$15, $D$11, 100%, $F$11)</f>
        <v>24.678999999999998</v>
      </c>
      <c r="D829" s="8">
        <f>CHOOSE( CONTROL!$C$32, 24.7153, 24.7129) * CHOOSE( CONTROL!$C$15, $D$11, 100%, $F$11)</f>
        <v>24.715299999999999</v>
      </c>
      <c r="E829" s="12">
        <f>CHOOSE( CONTROL!$C$32, 24.7005, 24.6981) * CHOOSE( CONTROL!$C$15, $D$11, 100%, $F$11)</f>
        <v>24.700500000000002</v>
      </c>
      <c r="F829" s="4">
        <f>CHOOSE( CONTROL!$C$32, 25.4078, 25.4054) * CHOOSE(CONTROL!$C$15, $D$11, 100%, $F$11)</f>
        <v>25.407800000000002</v>
      </c>
      <c r="G829" s="8">
        <f>CHOOSE( CONTROL!$C$32, 24.1107, 24.1084) * CHOOSE( CONTROL!$C$15, $D$11, 100%, $F$11)</f>
        <v>24.110700000000001</v>
      </c>
      <c r="H829" s="4">
        <f>CHOOSE( CONTROL!$C$32, 25.0753, 25.073) * CHOOSE(CONTROL!$C$15, $D$11, 100%, $F$11)</f>
        <v>25.075299999999999</v>
      </c>
      <c r="I829" s="8">
        <f>CHOOSE( CONTROL!$C$32, 23.7928, 23.7905) * CHOOSE(CONTROL!$C$15, $D$11, 100%, $F$11)</f>
        <v>23.7928</v>
      </c>
      <c r="J829" s="4">
        <f>CHOOSE( CONTROL!$C$32, 23.6699, 23.6676) * CHOOSE(CONTROL!$C$15, $D$11, 100%, $F$11)</f>
        <v>23.669899999999998</v>
      </c>
      <c r="K829" s="4"/>
      <c r="L829" s="9">
        <v>29.7257</v>
      </c>
      <c r="M829" s="9">
        <v>11.6745</v>
      </c>
      <c r="N829" s="9">
        <v>4.7850000000000001</v>
      </c>
      <c r="O829" s="9">
        <v>0.36199999999999999</v>
      </c>
      <c r="P829" s="9">
        <v>1.1791</v>
      </c>
      <c r="Q829" s="9">
        <v>19.053000000000001</v>
      </c>
      <c r="R829" s="9"/>
      <c r="S829" s="11"/>
    </row>
    <row r="830" spans="1:19" ht="15.75">
      <c r="A830" s="13">
        <v>66780</v>
      </c>
      <c r="B830" s="8">
        <f>25.7613 * CHOOSE(CONTROL!$C$15, $D$11, 100%, $F$11)</f>
        <v>25.761299999999999</v>
      </c>
      <c r="C830" s="8">
        <f>25.772 * CHOOSE(CONTROL!$C$15, $D$11, 100%, $F$11)</f>
        <v>25.771999999999998</v>
      </c>
      <c r="D830" s="8">
        <f>25.8096 * CHOOSE( CONTROL!$C$15, $D$11, 100%, $F$11)</f>
        <v>25.8096</v>
      </c>
      <c r="E830" s="12">
        <f>25.796 * CHOOSE( CONTROL!$C$15, $D$11, 100%, $F$11)</f>
        <v>25.795999999999999</v>
      </c>
      <c r="F830" s="4">
        <f>26.5005 * CHOOSE(CONTROL!$C$15, $D$11, 100%, $F$11)</f>
        <v>26.500499999999999</v>
      </c>
      <c r="G830" s="8">
        <f>25.1788 * CHOOSE( CONTROL!$C$15, $D$11, 100%, $F$11)</f>
        <v>25.178799999999999</v>
      </c>
      <c r="H830" s="4">
        <f>26.1436 * CHOOSE(CONTROL!$C$15, $D$11, 100%, $F$11)</f>
        <v>26.143599999999999</v>
      </c>
      <c r="I830" s="8">
        <f>24.8432 * CHOOSE(CONTROL!$C$15, $D$11, 100%, $F$11)</f>
        <v>24.8432</v>
      </c>
      <c r="J830" s="4">
        <f>24.719 * CHOOSE(CONTROL!$C$15, $D$11, 100%, $F$11)</f>
        <v>24.719000000000001</v>
      </c>
      <c r="K830" s="4"/>
      <c r="L830" s="9">
        <v>31.095300000000002</v>
      </c>
      <c r="M830" s="9">
        <v>12.063700000000001</v>
      </c>
      <c r="N830" s="9">
        <v>4.9444999999999997</v>
      </c>
      <c r="O830" s="9">
        <v>0.37409999999999999</v>
      </c>
      <c r="P830" s="9">
        <v>1.2183999999999999</v>
      </c>
      <c r="Q830" s="9">
        <v>19.688099999999999</v>
      </c>
      <c r="R830" s="9"/>
      <c r="S830" s="11"/>
    </row>
    <row r="831" spans="1:19" ht="15.75">
      <c r="A831" s="13">
        <v>66810</v>
      </c>
      <c r="B831" s="8">
        <f>27.7826 * CHOOSE(CONTROL!$C$15, $D$11, 100%, $F$11)</f>
        <v>27.782599999999999</v>
      </c>
      <c r="C831" s="8">
        <f>27.7934 * CHOOSE(CONTROL!$C$15, $D$11, 100%, $F$11)</f>
        <v>27.793399999999998</v>
      </c>
      <c r="D831" s="8">
        <f>27.7761 * CHOOSE( CONTROL!$C$15, $D$11, 100%, $F$11)</f>
        <v>27.7761</v>
      </c>
      <c r="E831" s="12">
        <f>27.7813 * CHOOSE( CONTROL!$C$15, $D$11, 100%, $F$11)</f>
        <v>27.781300000000002</v>
      </c>
      <c r="F831" s="4">
        <f>28.4411 * CHOOSE(CONTROL!$C$15, $D$11, 100%, $F$11)</f>
        <v>28.441099999999999</v>
      </c>
      <c r="G831" s="8">
        <f>27.1617 * CHOOSE( CONTROL!$C$15, $D$11, 100%, $F$11)</f>
        <v>27.1617</v>
      </c>
      <c r="H831" s="4">
        <f>28.041 * CHOOSE(CONTROL!$C$15, $D$11, 100%, $F$11)</f>
        <v>28.041</v>
      </c>
      <c r="I831" s="8">
        <f>26.822 * CHOOSE(CONTROL!$C$15, $D$11, 100%, $F$11)</f>
        <v>26.821999999999999</v>
      </c>
      <c r="J831" s="4">
        <f>26.6596 * CHOOSE(CONTROL!$C$15, $D$11, 100%, $F$11)</f>
        <v>26.659600000000001</v>
      </c>
      <c r="K831" s="4"/>
      <c r="L831" s="9">
        <v>28.360600000000002</v>
      </c>
      <c r="M831" s="9">
        <v>11.6745</v>
      </c>
      <c r="N831" s="9">
        <v>4.7850000000000001</v>
      </c>
      <c r="O831" s="9">
        <v>0.36199999999999999</v>
      </c>
      <c r="P831" s="9">
        <v>1.2509999999999999</v>
      </c>
      <c r="Q831" s="9">
        <v>19.053000000000001</v>
      </c>
      <c r="R831" s="9"/>
      <c r="S831" s="11"/>
    </row>
    <row r="832" spans="1:19" ht="15.75">
      <c r="A832" s="13">
        <v>66841</v>
      </c>
      <c r="B832" s="8">
        <f>27.7321 * CHOOSE(CONTROL!$C$15, $D$11, 100%, $F$11)</f>
        <v>27.732099999999999</v>
      </c>
      <c r="C832" s="8">
        <f>27.7429 * CHOOSE(CONTROL!$C$15, $D$11, 100%, $F$11)</f>
        <v>27.742899999999999</v>
      </c>
      <c r="D832" s="8">
        <f>27.7273 * CHOOSE( CONTROL!$C$15, $D$11, 100%, $F$11)</f>
        <v>27.7273</v>
      </c>
      <c r="E832" s="12">
        <f>27.7319 * CHOOSE( CONTROL!$C$15, $D$11, 100%, $F$11)</f>
        <v>27.7319</v>
      </c>
      <c r="F832" s="4">
        <f>28.3906 * CHOOSE(CONTROL!$C$15, $D$11, 100%, $F$11)</f>
        <v>28.390599999999999</v>
      </c>
      <c r="G832" s="8">
        <f>27.1136 * CHOOSE( CONTROL!$C$15, $D$11, 100%, $F$11)</f>
        <v>27.113600000000002</v>
      </c>
      <c r="H832" s="4">
        <f>27.9916 * CHOOSE(CONTROL!$C$15, $D$11, 100%, $F$11)</f>
        <v>27.991599999999998</v>
      </c>
      <c r="I832" s="8">
        <f>26.7787 * CHOOSE(CONTROL!$C$15, $D$11, 100%, $F$11)</f>
        <v>26.778700000000001</v>
      </c>
      <c r="J832" s="4">
        <f>26.6111 * CHOOSE(CONTROL!$C$15, $D$11, 100%, $F$11)</f>
        <v>26.6111</v>
      </c>
      <c r="K832" s="4"/>
      <c r="L832" s="9">
        <v>29.306000000000001</v>
      </c>
      <c r="M832" s="9">
        <v>12.063700000000001</v>
      </c>
      <c r="N832" s="9">
        <v>4.9444999999999997</v>
      </c>
      <c r="O832" s="9">
        <v>0.37409999999999999</v>
      </c>
      <c r="P832" s="9">
        <v>1.2927</v>
      </c>
      <c r="Q832" s="9">
        <v>19.688099999999999</v>
      </c>
      <c r="R832" s="9"/>
      <c r="S832" s="11"/>
    </row>
    <row r="833" spans="1:19" ht="15.75">
      <c r="A833" s="13">
        <v>66872</v>
      </c>
      <c r="B833" s="8">
        <f>28.5497 * CHOOSE(CONTROL!$C$15, $D$11, 100%, $F$11)</f>
        <v>28.549700000000001</v>
      </c>
      <c r="C833" s="8">
        <f>28.5604 * CHOOSE(CONTROL!$C$15, $D$11, 100%, $F$11)</f>
        <v>28.560400000000001</v>
      </c>
      <c r="D833" s="8">
        <f>28.5418 * CHOOSE( CONTROL!$C$15, $D$11, 100%, $F$11)</f>
        <v>28.541799999999999</v>
      </c>
      <c r="E833" s="12">
        <f>28.5475 * CHOOSE( CONTROL!$C$15, $D$11, 100%, $F$11)</f>
        <v>28.547499999999999</v>
      </c>
      <c r="F833" s="4">
        <f>29.2082 * CHOOSE(CONTROL!$C$15, $D$11, 100%, $F$11)</f>
        <v>29.208200000000001</v>
      </c>
      <c r="G833" s="8">
        <f>27.9053 * CHOOSE( CONTROL!$C$15, $D$11, 100%, $F$11)</f>
        <v>27.9053</v>
      </c>
      <c r="H833" s="4">
        <f>28.7909 * CHOOSE(CONTROL!$C$15, $D$11, 100%, $F$11)</f>
        <v>28.790900000000001</v>
      </c>
      <c r="I833" s="8">
        <f>27.5289 * CHOOSE(CONTROL!$C$15, $D$11, 100%, $F$11)</f>
        <v>27.5289</v>
      </c>
      <c r="J833" s="4">
        <f>27.3961 * CHOOSE(CONTROL!$C$15, $D$11, 100%, $F$11)</f>
        <v>27.396100000000001</v>
      </c>
      <c r="K833" s="4"/>
      <c r="L833" s="9">
        <v>29.306000000000001</v>
      </c>
      <c r="M833" s="9">
        <v>12.063700000000001</v>
      </c>
      <c r="N833" s="9">
        <v>4.9444999999999997</v>
      </c>
      <c r="O833" s="9">
        <v>0.37409999999999999</v>
      </c>
      <c r="P833" s="9">
        <v>1.2927</v>
      </c>
      <c r="Q833" s="9">
        <v>19.688099999999999</v>
      </c>
      <c r="R833" s="9"/>
      <c r="S833" s="11"/>
    </row>
    <row r="834" spans="1:19" ht="15.75">
      <c r="A834" s="13">
        <v>66900</v>
      </c>
      <c r="B834" s="8">
        <f>26.705 * CHOOSE(CONTROL!$C$15, $D$11, 100%, $F$11)</f>
        <v>26.704999999999998</v>
      </c>
      <c r="C834" s="8">
        <f>26.7157 * CHOOSE(CONTROL!$C$15, $D$11, 100%, $F$11)</f>
        <v>26.715699999999998</v>
      </c>
      <c r="D834" s="8">
        <f>26.697 * CHOOSE( CONTROL!$C$15, $D$11, 100%, $F$11)</f>
        <v>26.696999999999999</v>
      </c>
      <c r="E834" s="12">
        <f>26.7027 * CHOOSE( CONTROL!$C$15, $D$11, 100%, $F$11)</f>
        <v>26.7027</v>
      </c>
      <c r="F834" s="4">
        <f>27.3635 * CHOOSE(CONTROL!$C$15, $D$11, 100%, $F$11)</f>
        <v>27.363499999999998</v>
      </c>
      <c r="G834" s="8">
        <f>26.1017 * CHOOSE( CONTROL!$C$15, $D$11, 100%, $F$11)</f>
        <v>26.101700000000001</v>
      </c>
      <c r="H834" s="4">
        <f>26.9873 * CHOOSE(CONTROL!$C$15, $D$11, 100%, $F$11)</f>
        <v>26.987300000000001</v>
      </c>
      <c r="I834" s="8">
        <f>25.7566 * CHOOSE(CONTROL!$C$15, $D$11, 100%, $F$11)</f>
        <v>25.756599999999999</v>
      </c>
      <c r="J834" s="4">
        <f>25.625 * CHOOSE(CONTROL!$C$15, $D$11, 100%, $F$11)</f>
        <v>25.625</v>
      </c>
      <c r="K834" s="4"/>
      <c r="L834" s="9">
        <v>26.469899999999999</v>
      </c>
      <c r="M834" s="9">
        <v>10.8962</v>
      </c>
      <c r="N834" s="9">
        <v>4.4660000000000002</v>
      </c>
      <c r="O834" s="9">
        <v>0.33789999999999998</v>
      </c>
      <c r="P834" s="9">
        <v>1.1676</v>
      </c>
      <c r="Q834" s="9">
        <v>17.782800000000002</v>
      </c>
      <c r="R834" s="9"/>
      <c r="S834" s="11"/>
    </row>
    <row r="835" spans="1:19" ht="15.75">
      <c r="A835" s="13">
        <v>66931</v>
      </c>
      <c r="B835" s="8">
        <f>26.1368 * CHOOSE(CONTROL!$C$15, $D$11, 100%, $F$11)</f>
        <v>26.136800000000001</v>
      </c>
      <c r="C835" s="8">
        <f>26.1476 * CHOOSE(CONTROL!$C$15, $D$11, 100%, $F$11)</f>
        <v>26.147600000000001</v>
      </c>
      <c r="D835" s="8">
        <f>26.1284 * CHOOSE( CONTROL!$C$15, $D$11, 100%, $F$11)</f>
        <v>26.128399999999999</v>
      </c>
      <c r="E835" s="12">
        <f>26.1343 * CHOOSE( CONTROL!$C$15, $D$11, 100%, $F$11)</f>
        <v>26.1343</v>
      </c>
      <c r="F835" s="4">
        <f>26.7953 * CHOOSE(CONTROL!$C$15, $D$11, 100%, $F$11)</f>
        <v>26.795300000000001</v>
      </c>
      <c r="G835" s="8">
        <f>25.5459 * CHOOSE( CONTROL!$C$15, $D$11, 100%, $F$11)</f>
        <v>25.5459</v>
      </c>
      <c r="H835" s="4">
        <f>26.4319 * CHOOSE(CONTROL!$C$15, $D$11, 100%, $F$11)</f>
        <v>26.431899999999999</v>
      </c>
      <c r="I835" s="8">
        <f>25.2093 * CHOOSE(CONTROL!$C$15, $D$11, 100%, $F$11)</f>
        <v>25.209299999999999</v>
      </c>
      <c r="J835" s="4">
        <f>25.0795 * CHOOSE(CONTROL!$C$15, $D$11, 100%, $F$11)</f>
        <v>25.079499999999999</v>
      </c>
      <c r="K835" s="4"/>
      <c r="L835" s="9">
        <v>29.306000000000001</v>
      </c>
      <c r="M835" s="9">
        <v>12.063700000000001</v>
      </c>
      <c r="N835" s="9">
        <v>4.9444999999999997</v>
      </c>
      <c r="O835" s="9">
        <v>0.37409999999999999</v>
      </c>
      <c r="P835" s="9">
        <v>1.2927</v>
      </c>
      <c r="Q835" s="9">
        <v>19.688099999999999</v>
      </c>
      <c r="R835" s="9"/>
      <c r="S835" s="11"/>
    </row>
    <row r="836" spans="1:19" ht="15.75">
      <c r="A836" s="13">
        <v>66961</v>
      </c>
      <c r="B836" s="8">
        <f>26.5338 * CHOOSE(CONTROL!$C$15, $D$11, 100%, $F$11)</f>
        <v>26.533799999999999</v>
      </c>
      <c r="C836" s="8">
        <f>26.5446 * CHOOSE(CONTROL!$C$15, $D$11, 100%, $F$11)</f>
        <v>26.544599999999999</v>
      </c>
      <c r="D836" s="8">
        <f>26.5815 * CHOOSE( CONTROL!$C$15, $D$11, 100%, $F$11)</f>
        <v>26.581499999999998</v>
      </c>
      <c r="E836" s="12">
        <f>26.5681 * CHOOSE( CONTROL!$C$15, $D$11, 100%, $F$11)</f>
        <v>26.568100000000001</v>
      </c>
      <c r="F836" s="4">
        <f>27.273 * CHOOSE(CONTROL!$C$15, $D$11, 100%, $F$11)</f>
        <v>27.273</v>
      </c>
      <c r="G836" s="8">
        <f>25.9332 * CHOOSE( CONTROL!$C$15, $D$11, 100%, $F$11)</f>
        <v>25.933199999999999</v>
      </c>
      <c r="H836" s="4">
        <f>26.8989 * CHOOSE(CONTROL!$C$15, $D$11, 100%, $F$11)</f>
        <v>26.898900000000001</v>
      </c>
      <c r="I836" s="8">
        <f>25.5825 * CHOOSE(CONTROL!$C$15, $D$11, 100%, $F$11)</f>
        <v>25.5825</v>
      </c>
      <c r="J836" s="4">
        <f>25.4606 * CHOOSE(CONTROL!$C$15, $D$11, 100%, $F$11)</f>
        <v>25.460599999999999</v>
      </c>
      <c r="K836" s="4"/>
      <c r="L836" s="9">
        <v>30.092199999999998</v>
      </c>
      <c r="M836" s="9">
        <v>11.6745</v>
      </c>
      <c r="N836" s="9">
        <v>4.7850000000000001</v>
      </c>
      <c r="O836" s="9">
        <v>0.36199999999999999</v>
      </c>
      <c r="P836" s="9">
        <v>1.1791</v>
      </c>
      <c r="Q836" s="9">
        <v>19.053000000000001</v>
      </c>
      <c r="R836" s="9"/>
      <c r="S836" s="11"/>
    </row>
    <row r="837" spans="1:19" ht="15.75">
      <c r="A837" s="13">
        <v>66992</v>
      </c>
      <c r="B837" s="8">
        <f>CHOOSE( CONTROL!$C$32, 27.2427, 27.2403) * CHOOSE(CONTROL!$C$15, $D$11, 100%, $F$11)</f>
        <v>27.242699999999999</v>
      </c>
      <c r="C837" s="8">
        <f>CHOOSE( CONTROL!$C$32, 27.2532, 27.2508) * CHOOSE(CONTROL!$C$15, $D$11, 100%, $F$11)</f>
        <v>27.2532</v>
      </c>
      <c r="D837" s="8">
        <f>CHOOSE( CONTROL!$C$32, 27.2891, 27.2867) * CHOOSE( CONTROL!$C$15, $D$11, 100%, $F$11)</f>
        <v>27.289100000000001</v>
      </c>
      <c r="E837" s="12">
        <f>CHOOSE( CONTROL!$C$32, 27.2745, 27.2721) * CHOOSE( CONTROL!$C$15, $D$11, 100%, $F$11)</f>
        <v>27.2745</v>
      </c>
      <c r="F837" s="4">
        <f>CHOOSE( CONTROL!$C$32, 27.982, 27.9796) * CHOOSE(CONTROL!$C$15, $D$11, 100%, $F$11)</f>
        <v>27.981999999999999</v>
      </c>
      <c r="G837" s="8">
        <f>CHOOSE( CONTROL!$C$32, 26.6269, 26.6246) * CHOOSE( CONTROL!$C$15, $D$11, 100%, $F$11)</f>
        <v>26.626899999999999</v>
      </c>
      <c r="H837" s="4">
        <f>CHOOSE( CONTROL!$C$32, 27.5921, 27.5898) * CHOOSE(CONTROL!$C$15, $D$11, 100%, $F$11)</f>
        <v>27.592099999999999</v>
      </c>
      <c r="I837" s="8">
        <f>CHOOSE( CONTROL!$C$32, 26.2637, 26.2614) * CHOOSE(CONTROL!$C$15, $D$11, 100%, $F$11)</f>
        <v>26.2637</v>
      </c>
      <c r="J837" s="4">
        <f>CHOOSE( CONTROL!$C$32, 26.1414, 26.1391) * CHOOSE(CONTROL!$C$15, $D$11, 100%, $F$11)</f>
        <v>26.141400000000001</v>
      </c>
      <c r="K837" s="4"/>
      <c r="L837" s="9">
        <v>30.7165</v>
      </c>
      <c r="M837" s="9">
        <v>12.063700000000001</v>
      </c>
      <c r="N837" s="9">
        <v>4.9444999999999997</v>
      </c>
      <c r="O837" s="9">
        <v>0.37409999999999999</v>
      </c>
      <c r="P837" s="9">
        <v>1.2183999999999999</v>
      </c>
      <c r="Q837" s="9">
        <v>19.688099999999999</v>
      </c>
      <c r="R837" s="9"/>
      <c r="S837" s="11"/>
    </row>
    <row r="838" spans="1:19" ht="15.75">
      <c r="A838" s="13">
        <v>67022</v>
      </c>
      <c r="B838" s="8">
        <f>CHOOSE( CONTROL!$C$32, 26.805, 26.8026) * CHOOSE(CONTROL!$C$15, $D$11, 100%, $F$11)</f>
        <v>26.805</v>
      </c>
      <c r="C838" s="8">
        <f>CHOOSE( CONTROL!$C$32, 26.8155, 26.8131) * CHOOSE(CONTROL!$C$15, $D$11, 100%, $F$11)</f>
        <v>26.8155</v>
      </c>
      <c r="D838" s="8">
        <f>CHOOSE( CONTROL!$C$32, 26.8516, 26.8492) * CHOOSE( CONTROL!$C$15, $D$11, 100%, $F$11)</f>
        <v>26.851600000000001</v>
      </c>
      <c r="E838" s="12">
        <f>CHOOSE( CONTROL!$C$32, 26.8369, 26.8345) * CHOOSE( CONTROL!$C$15, $D$11, 100%, $F$11)</f>
        <v>26.8369</v>
      </c>
      <c r="F838" s="4">
        <f>CHOOSE( CONTROL!$C$32, 27.5443, 27.5419) * CHOOSE(CONTROL!$C$15, $D$11, 100%, $F$11)</f>
        <v>27.5443</v>
      </c>
      <c r="G838" s="8">
        <f>CHOOSE( CONTROL!$C$32, 26.1993, 26.1969) * CHOOSE( CONTROL!$C$15, $D$11, 100%, $F$11)</f>
        <v>26.199300000000001</v>
      </c>
      <c r="H838" s="4">
        <f>CHOOSE( CONTROL!$C$32, 27.1642, 27.1618) * CHOOSE(CONTROL!$C$15, $D$11, 100%, $F$11)</f>
        <v>27.164200000000001</v>
      </c>
      <c r="I838" s="8">
        <f>CHOOSE( CONTROL!$C$32, 25.8441, 25.8418) * CHOOSE(CONTROL!$C$15, $D$11, 100%, $F$11)</f>
        <v>25.844100000000001</v>
      </c>
      <c r="J838" s="4">
        <f>CHOOSE( CONTROL!$C$32, 25.7211, 25.7188) * CHOOSE(CONTROL!$C$15, $D$11, 100%, $F$11)</f>
        <v>25.7211</v>
      </c>
      <c r="K838" s="4"/>
      <c r="L838" s="9">
        <v>29.7257</v>
      </c>
      <c r="M838" s="9">
        <v>11.6745</v>
      </c>
      <c r="N838" s="9">
        <v>4.7850000000000001</v>
      </c>
      <c r="O838" s="9">
        <v>0.36199999999999999</v>
      </c>
      <c r="P838" s="9">
        <v>1.1791</v>
      </c>
      <c r="Q838" s="9">
        <v>19.053000000000001</v>
      </c>
      <c r="R838" s="9"/>
      <c r="S838" s="11"/>
    </row>
    <row r="839" spans="1:19" ht="15.75">
      <c r="A839" s="13">
        <v>67053</v>
      </c>
      <c r="B839" s="8">
        <f>CHOOSE( CONTROL!$C$32, 27.9576, 27.9552) * CHOOSE(CONTROL!$C$15, $D$11, 100%, $F$11)</f>
        <v>27.957599999999999</v>
      </c>
      <c r="C839" s="8">
        <f>CHOOSE( CONTROL!$C$32, 27.9682, 27.9658) * CHOOSE(CONTROL!$C$15, $D$11, 100%, $F$11)</f>
        <v>27.9682</v>
      </c>
      <c r="D839" s="8">
        <f>CHOOSE( CONTROL!$C$32, 28.0044, 28.0021) * CHOOSE( CONTROL!$C$15, $D$11, 100%, $F$11)</f>
        <v>28.0044</v>
      </c>
      <c r="E839" s="12">
        <f>CHOOSE( CONTROL!$C$32, 27.9897, 27.9873) * CHOOSE( CONTROL!$C$15, $D$11, 100%, $F$11)</f>
        <v>27.989699999999999</v>
      </c>
      <c r="F839" s="4">
        <f>CHOOSE( CONTROL!$C$32, 28.697, 28.6946) * CHOOSE(CONTROL!$C$15, $D$11, 100%, $F$11)</f>
        <v>28.696999999999999</v>
      </c>
      <c r="G839" s="8">
        <f>CHOOSE( CONTROL!$C$32, 27.3266, 27.3242) * CHOOSE( CONTROL!$C$15, $D$11, 100%, $F$11)</f>
        <v>27.326599999999999</v>
      </c>
      <c r="H839" s="4">
        <f>CHOOSE( CONTROL!$C$32, 28.2911, 28.2888) * CHOOSE(CONTROL!$C$15, $D$11, 100%, $F$11)</f>
        <v>28.2911</v>
      </c>
      <c r="I839" s="8">
        <f>CHOOSE( CONTROL!$C$32, 26.9524, 26.9501) * CHOOSE(CONTROL!$C$15, $D$11, 100%, $F$11)</f>
        <v>26.952400000000001</v>
      </c>
      <c r="J839" s="4">
        <f>CHOOSE( CONTROL!$C$32, 26.8278, 26.8255) * CHOOSE(CONTROL!$C$15, $D$11, 100%, $F$11)</f>
        <v>26.8278</v>
      </c>
      <c r="K839" s="4"/>
      <c r="L839" s="9">
        <v>30.7165</v>
      </c>
      <c r="M839" s="9">
        <v>12.063700000000001</v>
      </c>
      <c r="N839" s="9">
        <v>4.9444999999999997</v>
      </c>
      <c r="O839" s="9">
        <v>0.37409999999999999</v>
      </c>
      <c r="P839" s="9">
        <v>1.2183999999999999</v>
      </c>
      <c r="Q839" s="9">
        <v>19.688099999999999</v>
      </c>
      <c r="R839" s="9"/>
      <c r="S839" s="11"/>
    </row>
    <row r="840" spans="1:19" ht="15.75">
      <c r="A840" s="13">
        <v>67084</v>
      </c>
      <c r="B840" s="8">
        <f>CHOOSE( CONTROL!$C$32, 25.8008, 25.7985) * CHOOSE(CONTROL!$C$15, $D$11, 100%, $F$11)</f>
        <v>25.800799999999999</v>
      </c>
      <c r="C840" s="8">
        <f>CHOOSE( CONTROL!$C$32, 25.8114, 25.809) * CHOOSE(CONTROL!$C$15, $D$11, 100%, $F$11)</f>
        <v>25.811399999999999</v>
      </c>
      <c r="D840" s="8">
        <f>CHOOSE( CONTROL!$C$32, 25.8477, 25.8453) * CHOOSE( CONTROL!$C$15, $D$11, 100%, $F$11)</f>
        <v>25.8477</v>
      </c>
      <c r="E840" s="12">
        <f>CHOOSE( CONTROL!$C$32, 25.8329, 25.8305) * CHOOSE( CONTROL!$C$15, $D$11, 100%, $F$11)</f>
        <v>25.832899999999999</v>
      </c>
      <c r="F840" s="4">
        <f>CHOOSE( CONTROL!$C$32, 26.5402, 26.5378) * CHOOSE(CONTROL!$C$15, $D$11, 100%, $F$11)</f>
        <v>26.540199999999999</v>
      </c>
      <c r="G840" s="8">
        <f>CHOOSE( CONTROL!$C$32, 25.218, 25.2156) * CHOOSE( CONTROL!$C$15, $D$11, 100%, $F$11)</f>
        <v>25.218</v>
      </c>
      <c r="H840" s="4">
        <f>CHOOSE( CONTROL!$C$32, 26.1825, 26.1801) * CHOOSE(CONTROL!$C$15, $D$11, 100%, $F$11)</f>
        <v>26.182500000000001</v>
      </c>
      <c r="I840" s="8">
        <f>CHOOSE( CONTROL!$C$32, 24.8809, 24.8786) * CHOOSE(CONTROL!$C$15, $D$11, 100%, $F$11)</f>
        <v>24.8809</v>
      </c>
      <c r="J840" s="4">
        <f>CHOOSE( CONTROL!$C$32, 24.7571, 24.7548) * CHOOSE(CONTROL!$C$15, $D$11, 100%, $F$11)</f>
        <v>24.757100000000001</v>
      </c>
      <c r="K840" s="4"/>
      <c r="L840" s="9">
        <v>30.7165</v>
      </c>
      <c r="M840" s="9">
        <v>12.063700000000001</v>
      </c>
      <c r="N840" s="9">
        <v>4.9444999999999997</v>
      </c>
      <c r="O840" s="9">
        <v>0.37409999999999999</v>
      </c>
      <c r="P840" s="9">
        <v>1.2183999999999999</v>
      </c>
      <c r="Q840" s="9">
        <v>19.688099999999999</v>
      </c>
      <c r="R840" s="9"/>
      <c r="S840" s="11"/>
    </row>
    <row r="841" spans="1:19" ht="15.75">
      <c r="A841" s="13">
        <v>67114</v>
      </c>
      <c r="B841" s="8">
        <f>CHOOSE( CONTROL!$C$32, 25.2608, 25.2584) * CHOOSE(CONTROL!$C$15, $D$11, 100%, $F$11)</f>
        <v>25.2608</v>
      </c>
      <c r="C841" s="8">
        <f>CHOOSE( CONTROL!$C$32, 25.2713, 25.2689) * CHOOSE(CONTROL!$C$15, $D$11, 100%, $F$11)</f>
        <v>25.2713</v>
      </c>
      <c r="D841" s="8">
        <f>CHOOSE( CONTROL!$C$32, 25.3076, 25.3052) * CHOOSE( CONTROL!$C$15, $D$11, 100%, $F$11)</f>
        <v>25.307600000000001</v>
      </c>
      <c r="E841" s="12">
        <f>CHOOSE( CONTROL!$C$32, 25.2928, 25.2904) * CHOOSE( CONTROL!$C$15, $D$11, 100%, $F$11)</f>
        <v>25.2928</v>
      </c>
      <c r="F841" s="4">
        <f>CHOOSE( CONTROL!$C$32, 26.0001, 25.9977) * CHOOSE(CONTROL!$C$15, $D$11, 100%, $F$11)</f>
        <v>26.0001</v>
      </c>
      <c r="G841" s="8">
        <f>CHOOSE( CONTROL!$C$32, 24.6898, 24.6875) * CHOOSE( CONTROL!$C$15, $D$11, 100%, $F$11)</f>
        <v>24.689800000000002</v>
      </c>
      <c r="H841" s="4">
        <f>CHOOSE( CONTROL!$C$32, 25.6544, 25.6521) * CHOOSE(CONTROL!$C$15, $D$11, 100%, $F$11)</f>
        <v>25.654399999999999</v>
      </c>
      <c r="I841" s="8">
        <f>CHOOSE( CONTROL!$C$32, 24.3618, 24.3595) * CHOOSE(CONTROL!$C$15, $D$11, 100%, $F$11)</f>
        <v>24.361799999999999</v>
      </c>
      <c r="J841" s="4">
        <f>CHOOSE( CONTROL!$C$32, 24.2385, 24.2362) * CHOOSE(CONTROL!$C$15, $D$11, 100%, $F$11)</f>
        <v>24.238499999999998</v>
      </c>
      <c r="K841" s="4"/>
      <c r="L841" s="9">
        <v>29.7257</v>
      </c>
      <c r="M841" s="9">
        <v>11.6745</v>
      </c>
      <c r="N841" s="9">
        <v>4.7850000000000001</v>
      </c>
      <c r="O841" s="9">
        <v>0.36199999999999999</v>
      </c>
      <c r="P841" s="9">
        <v>1.1791</v>
      </c>
      <c r="Q841" s="9">
        <v>19.053000000000001</v>
      </c>
      <c r="R841" s="9"/>
      <c r="S841" s="11"/>
    </row>
    <row r="842" spans="1:19" ht="15.75">
      <c r="A842" s="13">
        <v>67145</v>
      </c>
      <c r="B842" s="8">
        <f>26.3799 * CHOOSE(CONTROL!$C$15, $D$11, 100%, $F$11)</f>
        <v>26.379899999999999</v>
      </c>
      <c r="C842" s="8">
        <f>26.3906 * CHOOSE(CONTROL!$C$15, $D$11, 100%, $F$11)</f>
        <v>26.390599999999999</v>
      </c>
      <c r="D842" s="8">
        <f>26.4282 * CHOOSE( CONTROL!$C$15, $D$11, 100%, $F$11)</f>
        <v>26.4282</v>
      </c>
      <c r="E842" s="12">
        <f>26.4146 * CHOOSE( CONTROL!$C$15, $D$11, 100%, $F$11)</f>
        <v>26.4146</v>
      </c>
      <c r="F842" s="4">
        <f>27.1191 * CHOOSE(CONTROL!$C$15, $D$11, 100%, $F$11)</f>
        <v>27.1191</v>
      </c>
      <c r="G842" s="8">
        <f>25.7836 * CHOOSE( CONTROL!$C$15, $D$11, 100%, $F$11)</f>
        <v>25.7836</v>
      </c>
      <c r="H842" s="4">
        <f>26.7485 * CHOOSE(CONTROL!$C$15, $D$11, 100%, $F$11)</f>
        <v>26.7485</v>
      </c>
      <c r="I842" s="8">
        <f>25.4374 * CHOOSE(CONTROL!$C$15, $D$11, 100%, $F$11)</f>
        <v>25.4374</v>
      </c>
      <c r="J842" s="4">
        <f>25.3129 * CHOOSE(CONTROL!$C$15, $D$11, 100%, $F$11)</f>
        <v>25.312899999999999</v>
      </c>
      <c r="K842" s="4"/>
      <c r="L842" s="9">
        <v>31.095300000000002</v>
      </c>
      <c r="M842" s="9">
        <v>12.063700000000001</v>
      </c>
      <c r="N842" s="9">
        <v>4.9444999999999997</v>
      </c>
      <c r="O842" s="9">
        <v>0.37409999999999999</v>
      </c>
      <c r="P842" s="9">
        <v>1.2183999999999999</v>
      </c>
      <c r="Q842" s="9">
        <v>19.688099999999999</v>
      </c>
      <c r="R842" s="9"/>
      <c r="S842" s="11"/>
    </row>
    <row r="843" spans="1:19" ht="15.75">
      <c r="A843" s="13">
        <v>67175</v>
      </c>
      <c r="B843" s="8">
        <f>28.4498 * CHOOSE(CONTROL!$C$15, $D$11, 100%, $F$11)</f>
        <v>28.4498</v>
      </c>
      <c r="C843" s="8">
        <f>28.4606 * CHOOSE(CONTROL!$C$15, $D$11, 100%, $F$11)</f>
        <v>28.460599999999999</v>
      </c>
      <c r="D843" s="8">
        <f>28.4433 * CHOOSE( CONTROL!$C$15, $D$11, 100%, $F$11)</f>
        <v>28.443300000000001</v>
      </c>
      <c r="E843" s="12">
        <f>28.4485 * CHOOSE( CONTROL!$C$15, $D$11, 100%, $F$11)</f>
        <v>28.448499999999999</v>
      </c>
      <c r="F843" s="4">
        <f>29.1083 * CHOOSE(CONTROL!$C$15, $D$11, 100%, $F$11)</f>
        <v>29.1083</v>
      </c>
      <c r="G843" s="8">
        <f>27.814 * CHOOSE( CONTROL!$C$15, $D$11, 100%, $F$11)</f>
        <v>27.814</v>
      </c>
      <c r="H843" s="4">
        <f>28.6933 * CHOOSE(CONTROL!$C$15, $D$11, 100%, $F$11)</f>
        <v>28.693300000000001</v>
      </c>
      <c r="I843" s="8">
        <f>27.4629 * CHOOSE(CONTROL!$C$15, $D$11, 100%, $F$11)</f>
        <v>27.462900000000001</v>
      </c>
      <c r="J843" s="4">
        <f>27.3002 * CHOOSE(CONTROL!$C$15, $D$11, 100%, $F$11)</f>
        <v>27.3002</v>
      </c>
      <c r="K843" s="4"/>
      <c r="L843" s="9">
        <v>28.360600000000002</v>
      </c>
      <c r="M843" s="9">
        <v>11.6745</v>
      </c>
      <c r="N843" s="9">
        <v>4.7850000000000001</v>
      </c>
      <c r="O843" s="9">
        <v>0.36199999999999999</v>
      </c>
      <c r="P843" s="9">
        <v>1.2509999999999999</v>
      </c>
      <c r="Q843" s="9">
        <v>19.053000000000001</v>
      </c>
      <c r="R843" s="9"/>
      <c r="S843" s="11"/>
    </row>
    <row r="844" spans="1:19" ht="15.75">
      <c r="A844" s="13">
        <v>67206</v>
      </c>
      <c r="B844" s="8">
        <f>28.3981 * CHOOSE(CONTROL!$C$15, $D$11, 100%, $F$11)</f>
        <v>28.398099999999999</v>
      </c>
      <c r="C844" s="8">
        <f>28.4088 * CHOOSE(CONTROL!$C$15, $D$11, 100%, $F$11)</f>
        <v>28.408799999999999</v>
      </c>
      <c r="D844" s="8">
        <f>28.3933 * CHOOSE( CONTROL!$C$15, $D$11, 100%, $F$11)</f>
        <v>28.3933</v>
      </c>
      <c r="E844" s="12">
        <f>28.3978 * CHOOSE( CONTROL!$C$15, $D$11, 100%, $F$11)</f>
        <v>28.3978</v>
      </c>
      <c r="F844" s="4">
        <f>29.0566 * CHOOSE(CONTROL!$C$15, $D$11, 100%, $F$11)</f>
        <v>29.0566</v>
      </c>
      <c r="G844" s="8">
        <f>27.7647 * CHOOSE( CONTROL!$C$15, $D$11, 100%, $F$11)</f>
        <v>27.764700000000001</v>
      </c>
      <c r="H844" s="4">
        <f>28.6427 * CHOOSE(CONTROL!$C$15, $D$11, 100%, $F$11)</f>
        <v>28.642700000000001</v>
      </c>
      <c r="I844" s="8">
        <f>27.4184 * CHOOSE(CONTROL!$C$15, $D$11, 100%, $F$11)</f>
        <v>27.418399999999998</v>
      </c>
      <c r="J844" s="4">
        <f>27.2505 * CHOOSE(CONTROL!$C$15, $D$11, 100%, $F$11)</f>
        <v>27.250499999999999</v>
      </c>
      <c r="K844" s="4"/>
      <c r="L844" s="9">
        <v>29.306000000000001</v>
      </c>
      <c r="M844" s="9">
        <v>12.063700000000001</v>
      </c>
      <c r="N844" s="9">
        <v>4.9444999999999997</v>
      </c>
      <c r="O844" s="9">
        <v>0.37409999999999999</v>
      </c>
      <c r="P844" s="9">
        <v>1.2927</v>
      </c>
      <c r="Q844" s="9">
        <v>19.688099999999999</v>
      </c>
      <c r="R844" s="9"/>
      <c r="S844" s="11"/>
    </row>
    <row r="845" spans="1:19" ht="15.75">
      <c r="A845" s="13">
        <v>67237</v>
      </c>
      <c r="B845" s="8">
        <f>29.2353 * CHOOSE(CONTROL!$C$15, $D$11, 100%, $F$11)</f>
        <v>29.235299999999999</v>
      </c>
      <c r="C845" s="8">
        <f>29.246 * CHOOSE(CONTROL!$C$15, $D$11, 100%, $F$11)</f>
        <v>29.245999999999999</v>
      </c>
      <c r="D845" s="8">
        <f>29.2274 * CHOOSE( CONTROL!$C$15, $D$11, 100%, $F$11)</f>
        <v>29.227399999999999</v>
      </c>
      <c r="E845" s="12">
        <f>29.2331 * CHOOSE( CONTROL!$C$15, $D$11, 100%, $F$11)</f>
        <v>29.2331</v>
      </c>
      <c r="F845" s="4">
        <f>29.8938 * CHOOSE(CONTROL!$C$15, $D$11, 100%, $F$11)</f>
        <v>29.893799999999999</v>
      </c>
      <c r="G845" s="8">
        <f>28.5757 * CHOOSE( CONTROL!$C$15, $D$11, 100%, $F$11)</f>
        <v>28.575700000000001</v>
      </c>
      <c r="H845" s="4">
        <f>29.4612 * CHOOSE(CONTROL!$C$15, $D$11, 100%, $F$11)</f>
        <v>29.461200000000002</v>
      </c>
      <c r="I845" s="8">
        <f>28.1875 * CHOOSE(CONTROL!$C$15, $D$11, 100%, $F$11)</f>
        <v>28.1875</v>
      </c>
      <c r="J845" s="4">
        <f>28.0543 * CHOOSE(CONTROL!$C$15, $D$11, 100%, $F$11)</f>
        <v>28.054300000000001</v>
      </c>
      <c r="K845" s="4"/>
      <c r="L845" s="9">
        <v>29.306000000000001</v>
      </c>
      <c r="M845" s="9">
        <v>12.063700000000001</v>
      </c>
      <c r="N845" s="9">
        <v>4.9444999999999997</v>
      </c>
      <c r="O845" s="9">
        <v>0.37409999999999999</v>
      </c>
      <c r="P845" s="9">
        <v>1.2927</v>
      </c>
      <c r="Q845" s="9">
        <v>19.688099999999999</v>
      </c>
      <c r="R845" s="9"/>
      <c r="S845" s="11"/>
    </row>
    <row r="846" spans="1:19" ht="15.75">
      <c r="A846" s="13">
        <v>67266</v>
      </c>
      <c r="B846" s="8">
        <f>27.3462 * CHOOSE(CONTROL!$C$15, $D$11, 100%, $F$11)</f>
        <v>27.3462</v>
      </c>
      <c r="C846" s="8">
        <f>27.357 * CHOOSE(CONTROL!$C$15, $D$11, 100%, $F$11)</f>
        <v>27.356999999999999</v>
      </c>
      <c r="D846" s="8">
        <f>27.3383 * CHOOSE( CONTROL!$C$15, $D$11, 100%, $F$11)</f>
        <v>27.3383</v>
      </c>
      <c r="E846" s="12">
        <f>27.344 * CHOOSE( CONTROL!$C$15, $D$11, 100%, $F$11)</f>
        <v>27.344000000000001</v>
      </c>
      <c r="F846" s="4">
        <f>28.0047 * CHOOSE(CONTROL!$C$15, $D$11, 100%, $F$11)</f>
        <v>28.0047</v>
      </c>
      <c r="G846" s="8">
        <f>26.7287 * CHOOSE( CONTROL!$C$15, $D$11, 100%, $F$11)</f>
        <v>26.7287</v>
      </c>
      <c r="H846" s="4">
        <f>27.6143 * CHOOSE(CONTROL!$C$15, $D$11, 100%, $F$11)</f>
        <v>27.6143</v>
      </c>
      <c r="I846" s="8">
        <f>26.3726 * CHOOSE(CONTROL!$C$15, $D$11, 100%, $F$11)</f>
        <v>26.372599999999998</v>
      </c>
      <c r="J846" s="4">
        <f>26.2407 * CHOOSE(CONTROL!$C$15, $D$11, 100%, $F$11)</f>
        <v>26.2407</v>
      </c>
      <c r="K846" s="4"/>
      <c r="L846" s="9">
        <v>27.415299999999998</v>
      </c>
      <c r="M846" s="9">
        <v>11.285299999999999</v>
      </c>
      <c r="N846" s="9">
        <v>4.6254999999999997</v>
      </c>
      <c r="O846" s="9">
        <v>0.34989999999999999</v>
      </c>
      <c r="P846" s="9">
        <v>1.2093</v>
      </c>
      <c r="Q846" s="9">
        <v>18.417899999999999</v>
      </c>
      <c r="R846" s="9"/>
      <c r="S846" s="11"/>
    </row>
    <row r="847" spans="1:19" ht="15.75">
      <c r="A847" s="13">
        <v>67297</v>
      </c>
      <c r="B847" s="8">
        <f>26.7644 * CHOOSE(CONTROL!$C$15, $D$11, 100%, $F$11)</f>
        <v>26.764399999999998</v>
      </c>
      <c r="C847" s="8">
        <f>26.7752 * CHOOSE(CONTROL!$C$15, $D$11, 100%, $F$11)</f>
        <v>26.775200000000002</v>
      </c>
      <c r="D847" s="8">
        <f>26.756 * CHOOSE( CONTROL!$C$15, $D$11, 100%, $F$11)</f>
        <v>26.756</v>
      </c>
      <c r="E847" s="12">
        <f>26.7619 * CHOOSE( CONTROL!$C$15, $D$11, 100%, $F$11)</f>
        <v>26.761900000000001</v>
      </c>
      <c r="F847" s="4">
        <f>27.4229 * CHOOSE(CONTROL!$C$15, $D$11, 100%, $F$11)</f>
        <v>27.422899999999998</v>
      </c>
      <c r="G847" s="8">
        <f>26.1595 * CHOOSE( CONTROL!$C$15, $D$11, 100%, $F$11)</f>
        <v>26.159500000000001</v>
      </c>
      <c r="H847" s="4">
        <f>27.0455 * CHOOSE(CONTROL!$C$15, $D$11, 100%, $F$11)</f>
        <v>27.045500000000001</v>
      </c>
      <c r="I847" s="8">
        <f>25.8122 * CHOOSE(CONTROL!$C$15, $D$11, 100%, $F$11)</f>
        <v>25.812200000000001</v>
      </c>
      <c r="J847" s="4">
        <f>25.6821 * CHOOSE(CONTROL!$C$15, $D$11, 100%, $F$11)</f>
        <v>25.682099999999998</v>
      </c>
      <c r="K847" s="4"/>
      <c r="L847" s="9">
        <v>29.306000000000001</v>
      </c>
      <c r="M847" s="9">
        <v>12.063700000000001</v>
      </c>
      <c r="N847" s="9">
        <v>4.9444999999999997</v>
      </c>
      <c r="O847" s="9">
        <v>0.37409999999999999</v>
      </c>
      <c r="P847" s="9">
        <v>1.2927</v>
      </c>
      <c r="Q847" s="9">
        <v>19.688099999999999</v>
      </c>
      <c r="R847" s="9"/>
      <c r="S847" s="11"/>
    </row>
    <row r="848" spans="1:19" ht="15.75">
      <c r="A848" s="13">
        <v>67327</v>
      </c>
      <c r="B848" s="8">
        <f>27.1709 * CHOOSE(CONTROL!$C$15, $D$11, 100%, $F$11)</f>
        <v>27.1709</v>
      </c>
      <c r="C848" s="8">
        <f>27.1817 * CHOOSE(CONTROL!$C$15, $D$11, 100%, $F$11)</f>
        <v>27.181699999999999</v>
      </c>
      <c r="D848" s="8">
        <f>27.2187 * CHOOSE( CONTROL!$C$15, $D$11, 100%, $F$11)</f>
        <v>27.218699999999998</v>
      </c>
      <c r="E848" s="12">
        <f>27.2052 * CHOOSE( CONTROL!$C$15, $D$11, 100%, $F$11)</f>
        <v>27.205200000000001</v>
      </c>
      <c r="F848" s="4">
        <f>27.9102 * CHOOSE(CONTROL!$C$15, $D$11, 100%, $F$11)</f>
        <v>27.9102</v>
      </c>
      <c r="G848" s="8">
        <f>26.5562 * CHOOSE( CONTROL!$C$15, $D$11, 100%, $F$11)</f>
        <v>26.5562</v>
      </c>
      <c r="H848" s="4">
        <f>27.5219 * CHOOSE(CONTROL!$C$15, $D$11, 100%, $F$11)</f>
        <v>27.521899999999999</v>
      </c>
      <c r="I848" s="8">
        <f>26.1946 * CHOOSE(CONTROL!$C$15, $D$11, 100%, $F$11)</f>
        <v>26.194600000000001</v>
      </c>
      <c r="J848" s="4">
        <f>26.0724 * CHOOSE(CONTROL!$C$15, $D$11, 100%, $F$11)</f>
        <v>26.072399999999998</v>
      </c>
      <c r="K848" s="4"/>
      <c r="L848" s="9">
        <v>30.092199999999998</v>
      </c>
      <c r="M848" s="9">
        <v>11.6745</v>
      </c>
      <c r="N848" s="9">
        <v>4.7850000000000001</v>
      </c>
      <c r="O848" s="9">
        <v>0.36199999999999999</v>
      </c>
      <c r="P848" s="9">
        <v>1.1791</v>
      </c>
      <c r="Q848" s="9">
        <v>19.053000000000001</v>
      </c>
      <c r="R848" s="9"/>
      <c r="S848" s="11"/>
    </row>
    <row r="849" spans="1:19" ht="15.75">
      <c r="A849" s="13">
        <v>67358</v>
      </c>
      <c r="B849" s="8">
        <f>CHOOSE( CONTROL!$C$32, 27.8968, 27.8944) * CHOOSE(CONTROL!$C$15, $D$11, 100%, $F$11)</f>
        <v>27.896799999999999</v>
      </c>
      <c r="C849" s="8">
        <f>CHOOSE( CONTROL!$C$32, 27.9074, 27.905) * CHOOSE(CONTROL!$C$15, $D$11, 100%, $F$11)</f>
        <v>27.907399999999999</v>
      </c>
      <c r="D849" s="8">
        <f>CHOOSE( CONTROL!$C$32, 27.9432, 27.9408) * CHOOSE( CONTROL!$C$15, $D$11, 100%, $F$11)</f>
        <v>27.943200000000001</v>
      </c>
      <c r="E849" s="12">
        <f>CHOOSE( CONTROL!$C$32, 27.9286, 27.9262) * CHOOSE( CONTROL!$C$15, $D$11, 100%, $F$11)</f>
        <v>27.928599999999999</v>
      </c>
      <c r="F849" s="4">
        <f>CHOOSE( CONTROL!$C$32, 28.6362, 28.6338) * CHOOSE(CONTROL!$C$15, $D$11, 100%, $F$11)</f>
        <v>28.636199999999999</v>
      </c>
      <c r="G849" s="8">
        <f>CHOOSE( CONTROL!$C$32, 27.2665, 27.2642) * CHOOSE( CONTROL!$C$15, $D$11, 100%, $F$11)</f>
        <v>27.266500000000001</v>
      </c>
      <c r="H849" s="4">
        <f>CHOOSE( CONTROL!$C$32, 28.2317, 28.2294) * CHOOSE(CONTROL!$C$15, $D$11, 100%, $F$11)</f>
        <v>28.2317</v>
      </c>
      <c r="I849" s="8">
        <f>CHOOSE( CONTROL!$C$32, 26.8921, 26.8898) * CHOOSE(CONTROL!$C$15, $D$11, 100%, $F$11)</f>
        <v>26.892099999999999</v>
      </c>
      <c r="J849" s="4">
        <f>CHOOSE( CONTROL!$C$32, 26.7694, 26.7671) * CHOOSE(CONTROL!$C$15, $D$11, 100%, $F$11)</f>
        <v>26.769400000000001</v>
      </c>
      <c r="K849" s="4"/>
      <c r="L849" s="9">
        <v>30.7165</v>
      </c>
      <c r="M849" s="9">
        <v>12.063700000000001</v>
      </c>
      <c r="N849" s="9">
        <v>4.9444999999999997</v>
      </c>
      <c r="O849" s="9">
        <v>0.37409999999999999</v>
      </c>
      <c r="P849" s="9">
        <v>1.2183999999999999</v>
      </c>
      <c r="Q849" s="9">
        <v>19.688099999999999</v>
      </c>
      <c r="R849" s="9"/>
      <c r="S849" s="11"/>
    </row>
    <row r="850" spans="1:19" ht="15.75">
      <c r="A850" s="13">
        <v>67388</v>
      </c>
      <c r="B850" s="8">
        <f>CHOOSE( CONTROL!$C$32, 27.4486, 27.4462) * CHOOSE(CONTROL!$C$15, $D$11, 100%, $F$11)</f>
        <v>27.448599999999999</v>
      </c>
      <c r="C850" s="8">
        <f>CHOOSE( CONTROL!$C$32, 27.4592, 27.4568) * CHOOSE(CONTROL!$C$15, $D$11, 100%, $F$11)</f>
        <v>27.459199999999999</v>
      </c>
      <c r="D850" s="8">
        <f>CHOOSE( CONTROL!$C$32, 27.4952, 27.4928) * CHOOSE( CONTROL!$C$15, $D$11, 100%, $F$11)</f>
        <v>27.495200000000001</v>
      </c>
      <c r="E850" s="12">
        <f>CHOOSE( CONTROL!$C$32, 27.4805, 27.4781) * CHOOSE( CONTROL!$C$15, $D$11, 100%, $F$11)</f>
        <v>27.480499999999999</v>
      </c>
      <c r="F850" s="4">
        <f>CHOOSE( CONTROL!$C$32, 28.188, 28.1856) * CHOOSE(CONTROL!$C$15, $D$11, 100%, $F$11)</f>
        <v>28.187999999999999</v>
      </c>
      <c r="G850" s="8">
        <f>CHOOSE( CONTROL!$C$32, 26.8286, 26.8262) * CHOOSE( CONTROL!$C$15, $D$11, 100%, $F$11)</f>
        <v>26.828600000000002</v>
      </c>
      <c r="H850" s="4">
        <f>CHOOSE( CONTROL!$C$32, 27.7935, 27.7911) * CHOOSE(CONTROL!$C$15, $D$11, 100%, $F$11)</f>
        <v>27.793500000000002</v>
      </c>
      <c r="I850" s="8">
        <f>CHOOSE( CONTROL!$C$32, 26.4624, 26.4601) * CHOOSE(CONTROL!$C$15, $D$11, 100%, $F$11)</f>
        <v>26.462399999999999</v>
      </c>
      <c r="J850" s="4">
        <f>CHOOSE( CONTROL!$C$32, 26.3391, 26.3368) * CHOOSE(CONTROL!$C$15, $D$11, 100%, $F$11)</f>
        <v>26.339099999999998</v>
      </c>
      <c r="K850" s="4"/>
      <c r="L850" s="9">
        <v>29.7257</v>
      </c>
      <c r="M850" s="9">
        <v>11.6745</v>
      </c>
      <c r="N850" s="9">
        <v>4.7850000000000001</v>
      </c>
      <c r="O850" s="9">
        <v>0.36199999999999999</v>
      </c>
      <c r="P850" s="9">
        <v>1.1791</v>
      </c>
      <c r="Q850" s="9">
        <v>19.053000000000001</v>
      </c>
      <c r="R850" s="9"/>
      <c r="S850" s="11"/>
    </row>
    <row r="851" spans="1:19" ht="15.75">
      <c r="A851" s="13">
        <v>67419</v>
      </c>
      <c r="B851" s="8">
        <f>CHOOSE( CONTROL!$C$32, 28.629, 28.6266) * CHOOSE(CONTROL!$C$15, $D$11, 100%, $F$11)</f>
        <v>28.629000000000001</v>
      </c>
      <c r="C851" s="8">
        <f>CHOOSE( CONTROL!$C$32, 28.6395, 28.6371) * CHOOSE(CONTROL!$C$15, $D$11, 100%, $F$11)</f>
        <v>28.639500000000002</v>
      </c>
      <c r="D851" s="8">
        <f>CHOOSE( CONTROL!$C$32, 28.6758, 28.6734) * CHOOSE( CONTROL!$C$15, $D$11, 100%, $F$11)</f>
        <v>28.675799999999999</v>
      </c>
      <c r="E851" s="12">
        <f>CHOOSE( CONTROL!$C$32, 28.661, 28.6586) * CHOOSE( CONTROL!$C$15, $D$11, 100%, $F$11)</f>
        <v>28.661000000000001</v>
      </c>
      <c r="F851" s="4">
        <f>CHOOSE( CONTROL!$C$32, 29.3683, 29.3659) * CHOOSE(CONTROL!$C$15, $D$11, 100%, $F$11)</f>
        <v>29.368300000000001</v>
      </c>
      <c r="G851" s="8">
        <f>CHOOSE( CONTROL!$C$32, 27.9829, 27.9806) * CHOOSE( CONTROL!$C$15, $D$11, 100%, $F$11)</f>
        <v>27.982900000000001</v>
      </c>
      <c r="H851" s="4">
        <f>CHOOSE( CONTROL!$C$32, 28.9475, 28.9452) * CHOOSE(CONTROL!$C$15, $D$11, 100%, $F$11)</f>
        <v>28.947500000000002</v>
      </c>
      <c r="I851" s="8">
        <f>CHOOSE( CONTROL!$C$32, 27.5973, 27.595) * CHOOSE(CONTROL!$C$15, $D$11, 100%, $F$11)</f>
        <v>27.597300000000001</v>
      </c>
      <c r="J851" s="4">
        <f>CHOOSE( CONTROL!$C$32, 27.4723, 27.47) * CHOOSE(CONTROL!$C$15, $D$11, 100%, $F$11)</f>
        <v>27.472300000000001</v>
      </c>
      <c r="K851" s="4"/>
      <c r="L851" s="9">
        <v>30.7165</v>
      </c>
      <c r="M851" s="9">
        <v>12.063700000000001</v>
      </c>
      <c r="N851" s="9">
        <v>4.9444999999999997</v>
      </c>
      <c r="O851" s="9">
        <v>0.37409999999999999</v>
      </c>
      <c r="P851" s="9">
        <v>1.2183999999999999</v>
      </c>
      <c r="Q851" s="9">
        <v>19.688099999999999</v>
      </c>
      <c r="R851" s="9"/>
      <c r="S851" s="11"/>
    </row>
    <row r="852" spans="1:19" ht="15.75">
      <c r="A852" s="13">
        <v>67450</v>
      </c>
      <c r="B852" s="8">
        <f>CHOOSE( CONTROL!$C$32, 26.4204, 26.418) * CHOOSE(CONTROL!$C$15, $D$11, 100%, $F$11)</f>
        <v>26.420400000000001</v>
      </c>
      <c r="C852" s="8">
        <f>CHOOSE( CONTROL!$C$32, 26.4309, 26.4285) * CHOOSE(CONTROL!$C$15, $D$11, 100%, $F$11)</f>
        <v>26.430900000000001</v>
      </c>
      <c r="D852" s="8">
        <f>CHOOSE( CONTROL!$C$32, 26.4672, 26.4648) * CHOOSE( CONTROL!$C$15, $D$11, 100%, $F$11)</f>
        <v>26.467199999999998</v>
      </c>
      <c r="E852" s="12">
        <f>CHOOSE( CONTROL!$C$32, 26.4524, 26.45) * CHOOSE( CONTROL!$C$15, $D$11, 100%, $F$11)</f>
        <v>26.452400000000001</v>
      </c>
      <c r="F852" s="4">
        <f>CHOOSE( CONTROL!$C$32, 27.1597, 27.1573) * CHOOSE(CONTROL!$C$15, $D$11, 100%, $F$11)</f>
        <v>27.159700000000001</v>
      </c>
      <c r="G852" s="8">
        <f>CHOOSE( CONTROL!$C$32, 25.8237, 25.8213) * CHOOSE( CONTROL!$C$15, $D$11, 100%, $F$11)</f>
        <v>25.823699999999999</v>
      </c>
      <c r="H852" s="4">
        <f>CHOOSE( CONTROL!$C$32, 26.7882, 26.7858) * CHOOSE(CONTROL!$C$15, $D$11, 100%, $F$11)</f>
        <v>26.7882</v>
      </c>
      <c r="I852" s="8">
        <f>CHOOSE( CONTROL!$C$32, 25.4759, 25.4736) * CHOOSE(CONTROL!$C$15, $D$11, 100%, $F$11)</f>
        <v>25.475899999999999</v>
      </c>
      <c r="J852" s="4">
        <f>CHOOSE( CONTROL!$C$32, 25.3519, 25.3496) * CHOOSE(CONTROL!$C$15, $D$11, 100%, $F$11)</f>
        <v>25.351900000000001</v>
      </c>
      <c r="K852" s="4"/>
      <c r="L852" s="9">
        <v>30.7165</v>
      </c>
      <c r="M852" s="9">
        <v>12.063700000000001</v>
      </c>
      <c r="N852" s="9">
        <v>4.9444999999999997</v>
      </c>
      <c r="O852" s="9">
        <v>0.37409999999999999</v>
      </c>
      <c r="P852" s="9">
        <v>1.2183999999999999</v>
      </c>
      <c r="Q852" s="9">
        <v>19.688099999999999</v>
      </c>
      <c r="R852" s="9"/>
      <c r="S852" s="11"/>
    </row>
    <row r="853" spans="1:19" ht="15.75">
      <c r="A853" s="13">
        <v>67480</v>
      </c>
      <c r="B853" s="8">
        <f>CHOOSE( CONTROL!$C$32, 25.8673, 25.8649) * CHOOSE(CONTROL!$C$15, $D$11, 100%, $F$11)</f>
        <v>25.8673</v>
      </c>
      <c r="C853" s="8">
        <f>CHOOSE( CONTROL!$C$32, 25.8779, 25.8755) * CHOOSE(CONTROL!$C$15, $D$11, 100%, $F$11)</f>
        <v>25.8779</v>
      </c>
      <c r="D853" s="8">
        <f>CHOOSE( CONTROL!$C$32, 25.9141, 25.9117) * CHOOSE( CONTROL!$C$15, $D$11, 100%, $F$11)</f>
        <v>25.914100000000001</v>
      </c>
      <c r="E853" s="12">
        <f>CHOOSE( CONTROL!$C$32, 25.8994, 25.897) * CHOOSE( CONTROL!$C$15, $D$11, 100%, $F$11)</f>
        <v>25.8994</v>
      </c>
      <c r="F853" s="4">
        <f>CHOOSE( CONTROL!$C$32, 26.6067, 26.6043) * CHOOSE(CONTROL!$C$15, $D$11, 100%, $F$11)</f>
        <v>26.6067</v>
      </c>
      <c r="G853" s="8">
        <f>CHOOSE( CONTROL!$C$32, 25.2828, 25.2805) * CHOOSE( CONTROL!$C$15, $D$11, 100%, $F$11)</f>
        <v>25.282800000000002</v>
      </c>
      <c r="H853" s="4">
        <f>CHOOSE( CONTROL!$C$32, 26.2474, 26.2451) * CHOOSE(CONTROL!$C$15, $D$11, 100%, $F$11)</f>
        <v>26.247399999999999</v>
      </c>
      <c r="I853" s="8">
        <f>CHOOSE( CONTROL!$C$32, 24.9444, 24.9421) * CHOOSE(CONTROL!$C$15, $D$11, 100%, $F$11)</f>
        <v>24.944400000000002</v>
      </c>
      <c r="J853" s="4">
        <f>CHOOSE( CONTROL!$C$32, 24.8209, 24.8186) * CHOOSE(CONTROL!$C$15, $D$11, 100%, $F$11)</f>
        <v>24.820900000000002</v>
      </c>
      <c r="K853" s="4"/>
      <c r="L853" s="9">
        <v>29.7257</v>
      </c>
      <c r="M853" s="9">
        <v>11.6745</v>
      </c>
      <c r="N853" s="9">
        <v>4.7850000000000001</v>
      </c>
      <c r="O853" s="9">
        <v>0.36199999999999999</v>
      </c>
      <c r="P853" s="9">
        <v>1.1791</v>
      </c>
      <c r="Q853" s="9">
        <v>19.053000000000001</v>
      </c>
      <c r="R853" s="9"/>
      <c r="S853" s="11"/>
    </row>
    <row r="854" spans="1:19" ht="15.75">
      <c r="A854" s="13">
        <v>67511</v>
      </c>
      <c r="B854" s="8">
        <f>27.0134 * CHOOSE(CONTROL!$C$15, $D$11, 100%, $F$11)</f>
        <v>27.013400000000001</v>
      </c>
      <c r="C854" s="8">
        <f>27.0241 * CHOOSE(CONTROL!$C$15, $D$11, 100%, $F$11)</f>
        <v>27.024100000000001</v>
      </c>
      <c r="D854" s="8">
        <f>27.0617 * CHOOSE( CONTROL!$C$15, $D$11, 100%, $F$11)</f>
        <v>27.061699999999998</v>
      </c>
      <c r="E854" s="12">
        <f>27.0481 * CHOOSE( CONTROL!$C$15, $D$11, 100%, $F$11)</f>
        <v>27.048100000000002</v>
      </c>
      <c r="F854" s="4">
        <f>27.7526 * CHOOSE(CONTROL!$C$15, $D$11, 100%, $F$11)</f>
        <v>27.752600000000001</v>
      </c>
      <c r="G854" s="8">
        <f>26.403 * CHOOSE( CONTROL!$C$15, $D$11, 100%, $F$11)</f>
        <v>26.402999999999999</v>
      </c>
      <c r="H854" s="4">
        <f>27.3678 * CHOOSE(CONTROL!$C$15, $D$11, 100%, $F$11)</f>
        <v>27.367799999999999</v>
      </c>
      <c r="I854" s="8">
        <f>26.0459 * CHOOSE(CONTROL!$C$15, $D$11, 100%, $F$11)</f>
        <v>26.0459</v>
      </c>
      <c r="J854" s="4">
        <f>25.9211 * CHOOSE(CONTROL!$C$15, $D$11, 100%, $F$11)</f>
        <v>25.921099999999999</v>
      </c>
      <c r="K854" s="4"/>
      <c r="L854" s="9">
        <v>31.095300000000002</v>
      </c>
      <c r="M854" s="9">
        <v>12.063700000000001</v>
      </c>
      <c r="N854" s="9">
        <v>4.9444999999999997</v>
      </c>
      <c r="O854" s="9">
        <v>0.37409999999999999</v>
      </c>
      <c r="P854" s="9">
        <v>1.2183999999999999</v>
      </c>
      <c r="Q854" s="9">
        <v>19.688099999999999</v>
      </c>
      <c r="R854" s="9"/>
      <c r="S854" s="11"/>
    </row>
    <row r="855" spans="1:19" ht="15.75">
      <c r="A855" s="13">
        <v>67541</v>
      </c>
      <c r="B855" s="8">
        <f>29.133 * CHOOSE(CONTROL!$C$15, $D$11, 100%, $F$11)</f>
        <v>29.132999999999999</v>
      </c>
      <c r="C855" s="8">
        <f>29.1438 * CHOOSE(CONTROL!$C$15, $D$11, 100%, $F$11)</f>
        <v>29.143799999999999</v>
      </c>
      <c r="D855" s="8">
        <f>29.1265 * CHOOSE( CONTROL!$C$15, $D$11, 100%, $F$11)</f>
        <v>29.1265</v>
      </c>
      <c r="E855" s="12">
        <f>29.1317 * CHOOSE( CONTROL!$C$15, $D$11, 100%, $F$11)</f>
        <v>29.131699999999999</v>
      </c>
      <c r="F855" s="4">
        <f>29.7915 * CHOOSE(CONTROL!$C$15, $D$11, 100%, $F$11)</f>
        <v>29.791499999999999</v>
      </c>
      <c r="G855" s="8">
        <f>28.482 * CHOOSE( CONTROL!$C$15, $D$11, 100%, $F$11)</f>
        <v>28.481999999999999</v>
      </c>
      <c r="H855" s="4">
        <f>29.3612 * CHOOSE(CONTROL!$C$15, $D$11, 100%, $F$11)</f>
        <v>29.3612</v>
      </c>
      <c r="I855" s="8">
        <f>28.1191 * CHOOSE(CONTROL!$C$15, $D$11, 100%, $F$11)</f>
        <v>28.1191</v>
      </c>
      <c r="J855" s="4">
        <f>27.9561 * CHOOSE(CONTROL!$C$15, $D$11, 100%, $F$11)</f>
        <v>27.956099999999999</v>
      </c>
      <c r="K855" s="4"/>
      <c r="L855" s="9">
        <v>28.360600000000002</v>
      </c>
      <c r="M855" s="9">
        <v>11.6745</v>
      </c>
      <c r="N855" s="9">
        <v>4.7850000000000001</v>
      </c>
      <c r="O855" s="9">
        <v>0.36199999999999999</v>
      </c>
      <c r="P855" s="9">
        <v>1.2509999999999999</v>
      </c>
      <c r="Q855" s="9">
        <v>19.053000000000001</v>
      </c>
      <c r="R855" s="9"/>
      <c r="S855" s="11"/>
    </row>
    <row r="856" spans="1:19" ht="15.75">
      <c r="A856" s="13">
        <v>67572</v>
      </c>
      <c r="B856" s="8">
        <f>29.08 * CHOOSE(CONTROL!$C$15, $D$11, 100%, $F$11)</f>
        <v>29.08</v>
      </c>
      <c r="C856" s="8">
        <f>29.0908 * CHOOSE(CONTROL!$C$15, $D$11, 100%, $F$11)</f>
        <v>29.090800000000002</v>
      </c>
      <c r="D856" s="8">
        <f>29.0752 * CHOOSE( CONTROL!$C$15, $D$11, 100%, $F$11)</f>
        <v>29.075199999999999</v>
      </c>
      <c r="E856" s="12">
        <f>29.0798 * CHOOSE( CONTROL!$C$15, $D$11, 100%, $F$11)</f>
        <v>29.079799999999999</v>
      </c>
      <c r="F856" s="4">
        <f>29.7385 * CHOOSE(CONTROL!$C$15, $D$11, 100%, $F$11)</f>
        <v>29.738499999999998</v>
      </c>
      <c r="G856" s="8">
        <f>28.4314 * CHOOSE( CONTROL!$C$15, $D$11, 100%, $F$11)</f>
        <v>28.4314</v>
      </c>
      <c r="H856" s="4">
        <f>29.3095 * CHOOSE(CONTROL!$C$15, $D$11, 100%, $F$11)</f>
        <v>29.3095</v>
      </c>
      <c r="I856" s="8">
        <f>28.0735 * CHOOSE(CONTROL!$C$15, $D$11, 100%, $F$11)</f>
        <v>28.073499999999999</v>
      </c>
      <c r="J856" s="4">
        <f>27.9053 * CHOOSE(CONTROL!$C$15, $D$11, 100%, $F$11)</f>
        <v>27.9053</v>
      </c>
      <c r="K856" s="4"/>
      <c r="L856" s="9">
        <v>29.306000000000001</v>
      </c>
      <c r="M856" s="9">
        <v>12.063700000000001</v>
      </c>
      <c r="N856" s="9">
        <v>4.9444999999999997</v>
      </c>
      <c r="O856" s="9">
        <v>0.37409999999999999</v>
      </c>
      <c r="P856" s="9">
        <v>1.2927</v>
      </c>
      <c r="Q856" s="9">
        <v>19.688099999999999</v>
      </c>
      <c r="R856" s="9"/>
      <c r="S856" s="11"/>
    </row>
    <row r="857" spans="1:19" ht="15.75">
      <c r="A857" s="13">
        <v>67603</v>
      </c>
      <c r="B857" s="8">
        <f>29.9374 * CHOOSE(CONTROL!$C$15, $D$11, 100%, $F$11)</f>
        <v>29.9374</v>
      </c>
      <c r="C857" s="8">
        <f>29.9481 * CHOOSE(CONTROL!$C$15, $D$11, 100%, $F$11)</f>
        <v>29.9481</v>
      </c>
      <c r="D857" s="8">
        <f>29.9295 * CHOOSE( CONTROL!$C$15, $D$11, 100%, $F$11)</f>
        <v>29.929500000000001</v>
      </c>
      <c r="E857" s="12">
        <f>29.9352 * CHOOSE( CONTROL!$C$15, $D$11, 100%, $F$11)</f>
        <v>29.935199999999998</v>
      </c>
      <c r="F857" s="4">
        <f>30.5959 * CHOOSE(CONTROL!$C$15, $D$11, 100%, $F$11)</f>
        <v>30.5959</v>
      </c>
      <c r="G857" s="8">
        <f>29.2621 * CHOOSE( CONTROL!$C$15, $D$11, 100%, $F$11)</f>
        <v>29.2621</v>
      </c>
      <c r="H857" s="4">
        <f>30.1477 * CHOOSE(CONTROL!$C$15, $D$11, 100%, $F$11)</f>
        <v>30.1477</v>
      </c>
      <c r="I857" s="8">
        <f>28.8619 * CHOOSE(CONTROL!$C$15, $D$11, 100%, $F$11)</f>
        <v>28.861899999999999</v>
      </c>
      <c r="J857" s="4">
        <f>28.7284 * CHOOSE(CONTROL!$C$15, $D$11, 100%, $F$11)</f>
        <v>28.728400000000001</v>
      </c>
      <c r="K857" s="4"/>
      <c r="L857" s="9">
        <v>29.306000000000001</v>
      </c>
      <c r="M857" s="9">
        <v>12.063700000000001</v>
      </c>
      <c r="N857" s="9">
        <v>4.9444999999999997</v>
      </c>
      <c r="O857" s="9">
        <v>0.37409999999999999</v>
      </c>
      <c r="P857" s="9">
        <v>1.2927</v>
      </c>
      <c r="Q857" s="9">
        <v>19.688099999999999</v>
      </c>
      <c r="R857" s="9"/>
      <c r="S857" s="11"/>
    </row>
    <row r="858" spans="1:19" ht="15.75">
      <c r="A858" s="13">
        <v>67631</v>
      </c>
      <c r="B858" s="8">
        <f>28.0029 * CHOOSE(CONTROL!$C$15, $D$11, 100%, $F$11)</f>
        <v>28.0029</v>
      </c>
      <c r="C858" s="8">
        <f>28.0137 * CHOOSE(CONTROL!$C$15, $D$11, 100%, $F$11)</f>
        <v>28.0137</v>
      </c>
      <c r="D858" s="8">
        <f>27.995 * CHOOSE( CONTROL!$C$15, $D$11, 100%, $F$11)</f>
        <v>27.995000000000001</v>
      </c>
      <c r="E858" s="12">
        <f>28.0007 * CHOOSE( CONTROL!$C$15, $D$11, 100%, $F$11)</f>
        <v>28.000699999999998</v>
      </c>
      <c r="F858" s="4">
        <f>28.6614 * CHOOSE(CONTROL!$C$15, $D$11, 100%, $F$11)</f>
        <v>28.6614</v>
      </c>
      <c r="G858" s="8">
        <f>27.3707 * CHOOSE( CONTROL!$C$15, $D$11, 100%, $F$11)</f>
        <v>27.370699999999999</v>
      </c>
      <c r="H858" s="4">
        <f>28.2564 * CHOOSE(CONTROL!$C$15, $D$11, 100%, $F$11)</f>
        <v>28.256399999999999</v>
      </c>
      <c r="I858" s="8">
        <f>27.0034 * CHOOSE(CONTROL!$C$15, $D$11, 100%, $F$11)</f>
        <v>27.003399999999999</v>
      </c>
      <c r="J858" s="4">
        <f>26.8712 * CHOOSE(CONTROL!$C$15, $D$11, 100%, $F$11)</f>
        <v>26.871200000000002</v>
      </c>
      <c r="K858" s="4"/>
      <c r="L858" s="9">
        <v>26.469899999999999</v>
      </c>
      <c r="M858" s="9">
        <v>10.8962</v>
      </c>
      <c r="N858" s="9">
        <v>4.4660000000000002</v>
      </c>
      <c r="O858" s="9">
        <v>0.33789999999999998</v>
      </c>
      <c r="P858" s="9">
        <v>1.1676</v>
      </c>
      <c r="Q858" s="9">
        <v>17.782800000000002</v>
      </c>
      <c r="R858" s="9"/>
      <c r="S858" s="11"/>
    </row>
    <row r="859" spans="1:19" ht="15.75">
      <c r="A859" s="13">
        <v>67662</v>
      </c>
      <c r="B859" s="8">
        <f>27.4071 * CHOOSE(CONTROL!$C$15, $D$11, 100%, $F$11)</f>
        <v>27.4071</v>
      </c>
      <c r="C859" s="8">
        <f>27.4179 * CHOOSE(CONTROL!$C$15, $D$11, 100%, $F$11)</f>
        <v>27.417899999999999</v>
      </c>
      <c r="D859" s="8">
        <f>27.3987 * CHOOSE( CONTROL!$C$15, $D$11, 100%, $F$11)</f>
        <v>27.398700000000002</v>
      </c>
      <c r="E859" s="12">
        <f>27.4046 * CHOOSE( CONTROL!$C$15, $D$11, 100%, $F$11)</f>
        <v>27.404599999999999</v>
      </c>
      <c r="F859" s="4">
        <f>28.0656 * CHOOSE(CONTROL!$C$15, $D$11, 100%, $F$11)</f>
        <v>28.0656</v>
      </c>
      <c r="G859" s="8">
        <f>26.7879 * CHOOSE( CONTROL!$C$15, $D$11, 100%, $F$11)</f>
        <v>26.7879</v>
      </c>
      <c r="H859" s="4">
        <f>27.6739 * CHOOSE(CONTROL!$C$15, $D$11, 100%, $F$11)</f>
        <v>27.6739</v>
      </c>
      <c r="I859" s="8">
        <f>26.4296 * CHOOSE(CONTROL!$C$15, $D$11, 100%, $F$11)</f>
        <v>26.429600000000001</v>
      </c>
      <c r="J859" s="4">
        <f>26.2991 * CHOOSE(CONTROL!$C$15, $D$11, 100%, $F$11)</f>
        <v>26.299099999999999</v>
      </c>
      <c r="K859" s="4"/>
      <c r="L859" s="9">
        <v>29.306000000000001</v>
      </c>
      <c r="M859" s="9">
        <v>12.063700000000001</v>
      </c>
      <c r="N859" s="9">
        <v>4.9444999999999997</v>
      </c>
      <c r="O859" s="9">
        <v>0.37409999999999999</v>
      </c>
      <c r="P859" s="9">
        <v>1.2927</v>
      </c>
      <c r="Q859" s="9">
        <v>19.688099999999999</v>
      </c>
      <c r="R859" s="9"/>
      <c r="S859" s="11"/>
    </row>
    <row r="860" spans="1:19" ht="15.75">
      <c r="A860" s="13">
        <v>67692</v>
      </c>
      <c r="B860" s="8">
        <f>27.8234 * CHOOSE(CONTROL!$C$15, $D$11, 100%, $F$11)</f>
        <v>27.823399999999999</v>
      </c>
      <c r="C860" s="8">
        <f>27.8342 * CHOOSE(CONTROL!$C$15, $D$11, 100%, $F$11)</f>
        <v>27.834199999999999</v>
      </c>
      <c r="D860" s="8">
        <f>27.8712 * CHOOSE( CONTROL!$C$15, $D$11, 100%, $F$11)</f>
        <v>27.871200000000002</v>
      </c>
      <c r="E860" s="12">
        <f>27.8577 * CHOOSE( CONTROL!$C$15, $D$11, 100%, $F$11)</f>
        <v>27.857700000000001</v>
      </c>
      <c r="F860" s="4">
        <f>28.5627 * CHOOSE(CONTROL!$C$15, $D$11, 100%, $F$11)</f>
        <v>28.5627</v>
      </c>
      <c r="G860" s="8">
        <f>27.1941 * CHOOSE( CONTROL!$C$15, $D$11, 100%, $F$11)</f>
        <v>27.194099999999999</v>
      </c>
      <c r="H860" s="4">
        <f>28.1598 * CHOOSE(CONTROL!$C$15, $D$11, 100%, $F$11)</f>
        <v>28.159800000000001</v>
      </c>
      <c r="I860" s="8">
        <f>26.8214 * CHOOSE(CONTROL!$C$15, $D$11, 100%, $F$11)</f>
        <v>26.821400000000001</v>
      </c>
      <c r="J860" s="4">
        <f>26.6989 * CHOOSE(CONTROL!$C$15, $D$11, 100%, $F$11)</f>
        <v>26.698899999999998</v>
      </c>
      <c r="K860" s="4"/>
      <c r="L860" s="9">
        <v>30.092199999999998</v>
      </c>
      <c r="M860" s="9">
        <v>11.6745</v>
      </c>
      <c r="N860" s="9">
        <v>4.7850000000000001</v>
      </c>
      <c r="O860" s="9">
        <v>0.36199999999999999</v>
      </c>
      <c r="P860" s="9">
        <v>1.1791</v>
      </c>
      <c r="Q860" s="9">
        <v>19.053000000000001</v>
      </c>
      <c r="R860" s="9"/>
      <c r="S860" s="11"/>
    </row>
    <row r="861" spans="1:19" ht="15.75">
      <c r="A861" s="13">
        <v>67723</v>
      </c>
      <c r="B861" s="8">
        <f>CHOOSE( CONTROL!$C$32, 28.5667, 28.5643) * CHOOSE(CONTROL!$C$15, $D$11, 100%, $F$11)</f>
        <v>28.566700000000001</v>
      </c>
      <c r="C861" s="8">
        <f>CHOOSE( CONTROL!$C$32, 28.5773, 28.5749) * CHOOSE(CONTROL!$C$15, $D$11, 100%, $F$11)</f>
        <v>28.577300000000001</v>
      </c>
      <c r="D861" s="8">
        <f>CHOOSE( CONTROL!$C$32, 28.6131, 28.6107) * CHOOSE( CONTROL!$C$15, $D$11, 100%, $F$11)</f>
        <v>28.613099999999999</v>
      </c>
      <c r="E861" s="12">
        <f>CHOOSE( CONTROL!$C$32, 28.5985, 28.5961) * CHOOSE( CONTROL!$C$15, $D$11, 100%, $F$11)</f>
        <v>28.598500000000001</v>
      </c>
      <c r="F861" s="4">
        <f>CHOOSE( CONTROL!$C$32, 29.3061, 29.3037) * CHOOSE(CONTROL!$C$15, $D$11, 100%, $F$11)</f>
        <v>29.306100000000001</v>
      </c>
      <c r="G861" s="8">
        <f>CHOOSE( CONTROL!$C$32, 27.9214, 27.9191) * CHOOSE( CONTROL!$C$15, $D$11, 100%, $F$11)</f>
        <v>27.921399999999998</v>
      </c>
      <c r="H861" s="4">
        <f>CHOOSE( CONTROL!$C$32, 28.8866, 28.8843) * CHOOSE(CONTROL!$C$15, $D$11, 100%, $F$11)</f>
        <v>28.886600000000001</v>
      </c>
      <c r="I861" s="8">
        <f>CHOOSE( CONTROL!$C$32, 27.5355, 27.5332) * CHOOSE(CONTROL!$C$15, $D$11, 100%, $F$11)</f>
        <v>27.535499999999999</v>
      </c>
      <c r="J861" s="4">
        <f>CHOOSE( CONTROL!$C$32, 27.4126, 27.4103) * CHOOSE(CONTROL!$C$15, $D$11, 100%, $F$11)</f>
        <v>27.412600000000001</v>
      </c>
      <c r="K861" s="4"/>
      <c r="L861" s="9">
        <v>30.7165</v>
      </c>
      <c r="M861" s="9">
        <v>12.063700000000001</v>
      </c>
      <c r="N861" s="9">
        <v>4.9444999999999997</v>
      </c>
      <c r="O861" s="9">
        <v>0.37409999999999999</v>
      </c>
      <c r="P861" s="9">
        <v>1.2183999999999999</v>
      </c>
      <c r="Q861" s="9">
        <v>19.688099999999999</v>
      </c>
      <c r="R861" s="9"/>
      <c r="S861" s="11"/>
    </row>
    <row r="862" spans="1:19" ht="15.75">
      <c r="A862" s="13">
        <v>67753</v>
      </c>
      <c r="B862" s="8">
        <f>CHOOSE( CONTROL!$C$32, 28.1077, 28.1053) * CHOOSE(CONTROL!$C$15, $D$11, 100%, $F$11)</f>
        <v>28.107700000000001</v>
      </c>
      <c r="C862" s="8">
        <f>CHOOSE( CONTROL!$C$32, 28.1183, 28.1159) * CHOOSE(CONTROL!$C$15, $D$11, 100%, $F$11)</f>
        <v>28.118300000000001</v>
      </c>
      <c r="D862" s="8">
        <f>CHOOSE( CONTROL!$C$32, 28.1543, 28.1519) * CHOOSE( CONTROL!$C$15, $D$11, 100%, $F$11)</f>
        <v>28.154299999999999</v>
      </c>
      <c r="E862" s="12">
        <f>CHOOSE( CONTROL!$C$32, 28.1396, 28.1372) * CHOOSE( CONTROL!$C$15, $D$11, 100%, $F$11)</f>
        <v>28.139600000000002</v>
      </c>
      <c r="F862" s="4">
        <f>CHOOSE( CONTROL!$C$32, 28.8471, 28.8447) * CHOOSE(CONTROL!$C$15, $D$11, 100%, $F$11)</f>
        <v>28.847100000000001</v>
      </c>
      <c r="G862" s="8">
        <f>CHOOSE( CONTROL!$C$32, 27.473, 27.4706) * CHOOSE( CONTROL!$C$15, $D$11, 100%, $F$11)</f>
        <v>27.472999999999999</v>
      </c>
      <c r="H862" s="4">
        <f>CHOOSE( CONTROL!$C$32, 28.4379, 28.4355) * CHOOSE(CONTROL!$C$15, $D$11, 100%, $F$11)</f>
        <v>28.437899999999999</v>
      </c>
      <c r="I862" s="8">
        <f>CHOOSE( CONTROL!$C$32, 27.0955, 27.0932) * CHOOSE(CONTROL!$C$15, $D$11, 100%, $F$11)</f>
        <v>27.095500000000001</v>
      </c>
      <c r="J862" s="4">
        <f>CHOOSE( CONTROL!$C$32, 26.9719, 26.9696) * CHOOSE(CONTROL!$C$15, $D$11, 100%, $F$11)</f>
        <v>26.971900000000002</v>
      </c>
      <c r="K862" s="4"/>
      <c r="L862" s="9">
        <v>29.7257</v>
      </c>
      <c r="M862" s="9">
        <v>11.6745</v>
      </c>
      <c r="N862" s="9">
        <v>4.7850000000000001</v>
      </c>
      <c r="O862" s="9">
        <v>0.36199999999999999</v>
      </c>
      <c r="P862" s="9">
        <v>1.1791</v>
      </c>
      <c r="Q862" s="9">
        <v>19.053000000000001</v>
      </c>
      <c r="R862" s="9"/>
      <c r="S862" s="11"/>
    </row>
    <row r="863" spans="1:19" ht="15.75">
      <c r="A863" s="13">
        <v>67784</v>
      </c>
      <c r="B863" s="8">
        <f>CHOOSE( CONTROL!$C$32, 29.3164, 29.314) * CHOOSE(CONTROL!$C$15, $D$11, 100%, $F$11)</f>
        <v>29.316400000000002</v>
      </c>
      <c r="C863" s="8">
        <f>CHOOSE( CONTROL!$C$32, 29.327, 29.3246) * CHOOSE(CONTROL!$C$15, $D$11, 100%, $F$11)</f>
        <v>29.327000000000002</v>
      </c>
      <c r="D863" s="8">
        <f>CHOOSE( CONTROL!$C$32, 29.3632, 29.3609) * CHOOSE( CONTROL!$C$15, $D$11, 100%, $F$11)</f>
        <v>29.363199999999999</v>
      </c>
      <c r="E863" s="12">
        <f>CHOOSE( CONTROL!$C$32, 29.3485, 29.3461) * CHOOSE( CONTROL!$C$15, $D$11, 100%, $F$11)</f>
        <v>29.348500000000001</v>
      </c>
      <c r="F863" s="4">
        <f>CHOOSE( CONTROL!$C$32, 30.0558, 30.0534) * CHOOSE(CONTROL!$C$15, $D$11, 100%, $F$11)</f>
        <v>30.055800000000001</v>
      </c>
      <c r="G863" s="8">
        <f>CHOOSE( CONTROL!$C$32, 28.6551, 28.6527) * CHOOSE( CONTROL!$C$15, $D$11, 100%, $F$11)</f>
        <v>28.655100000000001</v>
      </c>
      <c r="H863" s="4">
        <f>CHOOSE( CONTROL!$C$32, 29.6196, 29.6173) * CHOOSE(CONTROL!$C$15, $D$11, 100%, $F$11)</f>
        <v>29.619599999999998</v>
      </c>
      <c r="I863" s="8">
        <f>CHOOSE( CONTROL!$C$32, 28.2576, 28.2553) * CHOOSE(CONTROL!$C$15, $D$11, 100%, $F$11)</f>
        <v>28.2576</v>
      </c>
      <c r="J863" s="4">
        <f>CHOOSE( CONTROL!$C$32, 28.1324, 28.1301) * CHOOSE(CONTROL!$C$15, $D$11, 100%, $F$11)</f>
        <v>28.132400000000001</v>
      </c>
      <c r="K863" s="4"/>
      <c r="L863" s="9">
        <v>30.7165</v>
      </c>
      <c r="M863" s="9">
        <v>12.063700000000001</v>
      </c>
      <c r="N863" s="9">
        <v>4.9444999999999997</v>
      </c>
      <c r="O863" s="9">
        <v>0.37409999999999999</v>
      </c>
      <c r="P863" s="9">
        <v>1.2183999999999999</v>
      </c>
      <c r="Q863" s="9">
        <v>19.688099999999999</v>
      </c>
      <c r="R863" s="9"/>
      <c r="S863" s="11"/>
    </row>
    <row r="864" spans="1:19" ht="15.75">
      <c r="A864" s="13">
        <v>67815</v>
      </c>
      <c r="B864" s="8">
        <f>CHOOSE( CONTROL!$C$32, 27.0548, 27.0524) * CHOOSE(CONTROL!$C$15, $D$11, 100%, $F$11)</f>
        <v>27.0548</v>
      </c>
      <c r="C864" s="8">
        <f>CHOOSE( CONTROL!$C$32, 27.0653, 27.0629) * CHOOSE(CONTROL!$C$15, $D$11, 100%, $F$11)</f>
        <v>27.065300000000001</v>
      </c>
      <c r="D864" s="8">
        <f>CHOOSE( CONTROL!$C$32, 27.1016, 27.0992) * CHOOSE( CONTROL!$C$15, $D$11, 100%, $F$11)</f>
        <v>27.101600000000001</v>
      </c>
      <c r="E864" s="12">
        <f>CHOOSE( CONTROL!$C$32, 27.0868, 27.0844) * CHOOSE( CONTROL!$C$15, $D$11, 100%, $F$11)</f>
        <v>27.0868</v>
      </c>
      <c r="F864" s="4">
        <f>CHOOSE( CONTROL!$C$32, 27.7941, 27.7917) * CHOOSE(CONTROL!$C$15, $D$11, 100%, $F$11)</f>
        <v>27.7941</v>
      </c>
      <c r="G864" s="8">
        <f>CHOOSE( CONTROL!$C$32, 26.4439, 26.4416) * CHOOSE( CONTROL!$C$15, $D$11, 100%, $F$11)</f>
        <v>26.443899999999999</v>
      </c>
      <c r="H864" s="4">
        <f>CHOOSE( CONTROL!$C$32, 27.4084, 27.4061) * CHOOSE(CONTROL!$C$15, $D$11, 100%, $F$11)</f>
        <v>27.4084</v>
      </c>
      <c r="I864" s="8">
        <f>CHOOSE( CONTROL!$C$32, 26.0853, 26.083) * CHOOSE(CONTROL!$C$15, $D$11, 100%, $F$11)</f>
        <v>26.0853</v>
      </c>
      <c r="J864" s="4">
        <f>CHOOSE( CONTROL!$C$32, 25.9609, 25.9586) * CHOOSE(CONTROL!$C$15, $D$11, 100%, $F$11)</f>
        <v>25.960899999999999</v>
      </c>
      <c r="K864" s="4"/>
      <c r="L864" s="9">
        <v>30.7165</v>
      </c>
      <c r="M864" s="9">
        <v>12.063700000000001</v>
      </c>
      <c r="N864" s="9">
        <v>4.9444999999999997</v>
      </c>
      <c r="O864" s="9">
        <v>0.37409999999999999</v>
      </c>
      <c r="P864" s="9">
        <v>1.2183999999999999</v>
      </c>
      <c r="Q864" s="9">
        <v>19.688099999999999</v>
      </c>
      <c r="R864" s="9"/>
      <c r="S864" s="11"/>
    </row>
    <row r="865" spans="1:19" ht="15.75">
      <c r="A865" s="13">
        <v>67845</v>
      </c>
      <c r="B865" s="8">
        <f>CHOOSE( CONTROL!$C$32, 26.4884, 26.486) * CHOOSE(CONTROL!$C$15, $D$11, 100%, $F$11)</f>
        <v>26.488399999999999</v>
      </c>
      <c r="C865" s="8">
        <f>CHOOSE( CONTROL!$C$32, 26.499, 26.4966) * CHOOSE(CONTROL!$C$15, $D$11, 100%, $F$11)</f>
        <v>26.498999999999999</v>
      </c>
      <c r="D865" s="8">
        <f>CHOOSE( CONTROL!$C$32, 26.5352, 26.5328) * CHOOSE( CONTROL!$C$15, $D$11, 100%, $F$11)</f>
        <v>26.5352</v>
      </c>
      <c r="E865" s="12">
        <f>CHOOSE( CONTROL!$C$32, 26.5205, 26.5181) * CHOOSE( CONTROL!$C$15, $D$11, 100%, $F$11)</f>
        <v>26.520499999999998</v>
      </c>
      <c r="F865" s="4">
        <f>CHOOSE( CONTROL!$C$32, 27.2278, 27.2254) * CHOOSE(CONTROL!$C$15, $D$11, 100%, $F$11)</f>
        <v>27.227799999999998</v>
      </c>
      <c r="G865" s="8">
        <f>CHOOSE( CONTROL!$C$32, 25.8901, 25.8878) * CHOOSE( CONTROL!$C$15, $D$11, 100%, $F$11)</f>
        <v>25.8901</v>
      </c>
      <c r="H865" s="4">
        <f>CHOOSE( CONTROL!$C$32, 26.8547, 26.8523) * CHOOSE(CONTROL!$C$15, $D$11, 100%, $F$11)</f>
        <v>26.854700000000001</v>
      </c>
      <c r="I865" s="8">
        <f>CHOOSE( CONTROL!$C$32, 25.541, 25.5387) * CHOOSE(CONTROL!$C$15, $D$11, 100%, $F$11)</f>
        <v>25.541</v>
      </c>
      <c r="J865" s="4">
        <f>CHOOSE( CONTROL!$C$32, 25.4172, 25.4149) * CHOOSE(CONTROL!$C$15, $D$11, 100%, $F$11)</f>
        <v>25.417200000000001</v>
      </c>
      <c r="K865" s="4"/>
      <c r="L865" s="9">
        <v>29.7257</v>
      </c>
      <c r="M865" s="9">
        <v>11.6745</v>
      </c>
      <c r="N865" s="9">
        <v>4.7850000000000001</v>
      </c>
      <c r="O865" s="9">
        <v>0.36199999999999999</v>
      </c>
      <c r="P865" s="9">
        <v>1.1791</v>
      </c>
      <c r="Q865" s="9">
        <v>19.053000000000001</v>
      </c>
      <c r="R865" s="9"/>
      <c r="S865" s="11"/>
    </row>
    <row r="866" spans="1:19" ht="15.75">
      <c r="A866" s="13">
        <v>67876</v>
      </c>
      <c r="B866" s="8">
        <f>27.6621 * CHOOSE(CONTROL!$C$15, $D$11, 100%, $F$11)</f>
        <v>27.662099999999999</v>
      </c>
      <c r="C866" s="8">
        <f>27.6728 * CHOOSE(CONTROL!$C$15, $D$11, 100%, $F$11)</f>
        <v>27.672799999999999</v>
      </c>
      <c r="D866" s="8">
        <f>27.7104 * CHOOSE( CONTROL!$C$15, $D$11, 100%, $F$11)</f>
        <v>27.7104</v>
      </c>
      <c r="E866" s="12">
        <f>27.6968 * CHOOSE( CONTROL!$C$15, $D$11, 100%, $F$11)</f>
        <v>27.6968</v>
      </c>
      <c r="F866" s="4">
        <f>28.4013 * CHOOSE(CONTROL!$C$15, $D$11, 100%, $F$11)</f>
        <v>28.401299999999999</v>
      </c>
      <c r="G866" s="8">
        <f>27.0372 * CHOOSE( CONTROL!$C$15, $D$11, 100%, $F$11)</f>
        <v>27.037199999999999</v>
      </c>
      <c r="H866" s="4">
        <f>28.0021 * CHOOSE(CONTROL!$C$15, $D$11, 100%, $F$11)</f>
        <v>28.002099999999999</v>
      </c>
      <c r="I866" s="8">
        <f>26.6691 * CHOOSE(CONTROL!$C$15, $D$11, 100%, $F$11)</f>
        <v>26.6691</v>
      </c>
      <c r="J866" s="4">
        <f>26.5439 * CHOOSE(CONTROL!$C$15, $D$11, 100%, $F$11)</f>
        <v>26.543900000000001</v>
      </c>
      <c r="K866" s="4"/>
      <c r="L866" s="9">
        <v>31.095300000000002</v>
      </c>
      <c r="M866" s="9">
        <v>12.063700000000001</v>
      </c>
      <c r="N866" s="9">
        <v>4.9444999999999997</v>
      </c>
      <c r="O866" s="9">
        <v>0.37409999999999999</v>
      </c>
      <c r="P866" s="9">
        <v>1.2183999999999999</v>
      </c>
      <c r="Q866" s="9">
        <v>19.688099999999999</v>
      </c>
      <c r="R866" s="9"/>
      <c r="S866" s="11"/>
    </row>
    <row r="867" spans="1:19" ht="15.75">
      <c r="A867" s="13">
        <v>67906</v>
      </c>
      <c r="B867" s="8">
        <f>29.8326 * CHOOSE(CONTROL!$C$15, $D$11, 100%, $F$11)</f>
        <v>29.832599999999999</v>
      </c>
      <c r="C867" s="8">
        <f>29.8434 * CHOOSE(CONTROL!$C$15, $D$11, 100%, $F$11)</f>
        <v>29.843399999999999</v>
      </c>
      <c r="D867" s="8">
        <f>29.8261 * CHOOSE( CONTROL!$C$15, $D$11, 100%, $F$11)</f>
        <v>29.8261</v>
      </c>
      <c r="E867" s="12">
        <f>29.8313 * CHOOSE( CONTROL!$C$15, $D$11, 100%, $F$11)</f>
        <v>29.831299999999999</v>
      </c>
      <c r="F867" s="4">
        <f>30.4911 * CHOOSE(CONTROL!$C$15, $D$11, 100%, $F$11)</f>
        <v>30.491099999999999</v>
      </c>
      <c r="G867" s="8">
        <f>29.166 * CHOOSE( CONTROL!$C$15, $D$11, 100%, $F$11)</f>
        <v>29.166</v>
      </c>
      <c r="H867" s="4">
        <f>30.0453 * CHOOSE(CONTROL!$C$15, $D$11, 100%, $F$11)</f>
        <v>30.045300000000001</v>
      </c>
      <c r="I867" s="8">
        <f>28.7912 * CHOOSE(CONTROL!$C$15, $D$11, 100%, $F$11)</f>
        <v>28.7912</v>
      </c>
      <c r="J867" s="4">
        <f>28.6279 * CHOOSE(CONTROL!$C$15, $D$11, 100%, $F$11)</f>
        <v>28.6279</v>
      </c>
      <c r="K867" s="4"/>
      <c r="L867" s="9">
        <v>28.360600000000002</v>
      </c>
      <c r="M867" s="9">
        <v>11.6745</v>
      </c>
      <c r="N867" s="9">
        <v>4.7850000000000001</v>
      </c>
      <c r="O867" s="9">
        <v>0.36199999999999999</v>
      </c>
      <c r="P867" s="9">
        <v>1.2509999999999999</v>
      </c>
      <c r="Q867" s="9">
        <v>19.053000000000001</v>
      </c>
      <c r="R867" s="9"/>
      <c r="S867" s="11"/>
    </row>
    <row r="868" spans="1:19" ht="15.75">
      <c r="A868" s="13">
        <v>67937</v>
      </c>
      <c r="B868" s="8">
        <f>29.7784 * CHOOSE(CONTROL!$C$15, $D$11, 100%, $F$11)</f>
        <v>29.778400000000001</v>
      </c>
      <c r="C868" s="8">
        <f>29.7892 * CHOOSE(CONTROL!$C$15, $D$11, 100%, $F$11)</f>
        <v>29.789200000000001</v>
      </c>
      <c r="D868" s="8">
        <f>29.7736 * CHOOSE( CONTROL!$C$15, $D$11, 100%, $F$11)</f>
        <v>29.773599999999998</v>
      </c>
      <c r="E868" s="12">
        <f>29.7782 * CHOOSE( CONTROL!$C$15, $D$11, 100%, $F$11)</f>
        <v>29.778199999999998</v>
      </c>
      <c r="F868" s="4">
        <f>30.4369 * CHOOSE(CONTROL!$C$15, $D$11, 100%, $F$11)</f>
        <v>30.436900000000001</v>
      </c>
      <c r="G868" s="8">
        <f>29.1142 * CHOOSE( CONTROL!$C$15, $D$11, 100%, $F$11)</f>
        <v>29.1142</v>
      </c>
      <c r="H868" s="4">
        <f>29.9923 * CHOOSE(CONTROL!$C$15, $D$11, 100%, $F$11)</f>
        <v>29.9923</v>
      </c>
      <c r="I868" s="8">
        <f>28.7443 * CHOOSE(CONTROL!$C$15, $D$11, 100%, $F$11)</f>
        <v>28.744299999999999</v>
      </c>
      <c r="J868" s="4">
        <f>28.5758 * CHOOSE(CONTROL!$C$15, $D$11, 100%, $F$11)</f>
        <v>28.575800000000001</v>
      </c>
      <c r="K868" s="4"/>
      <c r="L868" s="9">
        <v>29.306000000000001</v>
      </c>
      <c r="M868" s="9">
        <v>12.063700000000001</v>
      </c>
      <c r="N868" s="9">
        <v>4.9444999999999997</v>
      </c>
      <c r="O868" s="9">
        <v>0.37409999999999999</v>
      </c>
      <c r="P868" s="9">
        <v>1.2927</v>
      </c>
      <c r="Q868" s="9">
        <v>19.688099999999999</v>
      </c>
      <c r="R868" s="9"/>
      <c r="S868" s="11"/>
    </row>
    <row r="869" spans="1:19" ht="15.75">
      <c r="A869" s="13">
        <v>67968</v>
      </c>
      <c r="B869" s="8">
        <f>30.6563 * CHOOSE(CONTROL!$C$15, $D$11, 100%, $F$11)</f>
        <v>30.656300000000002</v>
      </c>
      <c r="C869" s="8">
        <f>30.6671 * CHOOSE(CONTROL!$C$15, $D$11, 100%, $F$11)</f>
        <v>30.667100000000001</v>
      </c>
      <c r="D869" s="8">
        <f>30.6485 * CHOOSE( CONTROL!$C$15, $D$11, 100%, $F$11)</f>
        <v>30.648499999999999</v>
      </c>
      <c r="E869" s="12">
        <f>30.6542 * CHOOSE( CONTROL!$C$15, $D$11, 100%, $F$11)</f>
        <v>30.654199999999999</v>
      </c>
      <c r="F869" s="4">
        <f>31.3148 * CHOOSE(CONTROL!$C$15, $D$11, 100%, $F$11)</f>
        <v>31.314800000000002</v>
      </c>
      <c r="G869" s="8">
        <f>29.965 * CHOOSE( CONTROL!$C$15, $D$11, 100%, $F$11)</f>
        <v>29.965</v>
      </c>
      <c r="H869" s="4">
        <f>30.8506 * CHOOSE(CONTROL!$C$15, $D$11, 100%, $F$11)</f>
        <v>30.8506</v>
      </c>
      <c r="I869" s="8">
        <f>29.5525 * CHOOSE(CONTROL!$C$15, $D$11, 100%, $F$11)</f>
        <v>29.552499999999998</v>
      </c>
      <c r="J869" s="4">
        <f>29.4187 * CHOOSE(CONTROL!$C$15, $D$11, 100%, $F$11)</f>
        <v>29.418700000000001</v>
      </c>
      <c r="K869" s="4"/>
      <c r="L869" s="9">
        <v>29.306000000000001</v>
      </c>
      <c r="M869" s="9">
        <v>12.063700000000001</v>
      </c>
      <c r="N869" s="9">
        <v>4.9444999999999997</v>
      </c>
      <c r="O869" s="9">
        <v>0.37409999999999999</v>
      </c>
      <c r="P869" s="9">
        <v>1.2927</v>
      </c>
      <c r="Q869" s="9">
        <v>19.688099999999999</v>
      </c>
      <c r="R869" s="9"/>
      <c r="S869" s="11"/>
    </row>
    <row r="870" spans="1:19" ht="15.75">
      <c r="A870" s="13">
        <v>67996</v>
      </c>
      <c r="B870" s="8">
        <f>28.6754 * CHOOSE(CONTROL!$C$15, $D$11, 100%, $F$11)</f>
        <v>28.6754</v>
      </c>
      <c r="C870" s="8">
        <f>28.6862 * CHOOSE(CONTROL!$C$15, $D$11, 100%, $F$11)</f>
        <v>28.686199999999999</v>
      </c>
      <c r="D870" s="8">
        <f>28.6675 * CHOOSE( CONTROL!$C$15, $D$11, 100%, $F$11)</f>
        <v>28.6675</v>
      </c>
      <c r="E870" s="12">
        <f>28.6732 * CHOOSE( CONTROL!$C$15, $D$11, 100%, $F$11)</f>
        <v>28.673200000000001</v>
      </c>
      <c r="F870" s="4">
        <f>29.3339 * CHOOSE(CONTROL!$C$15, $D$11, 100%, $F$11)</f>
        <v>29.3339</v>
      </c>
      <c r="G870" s="8">
        <f>28.0282 * CHOOSE( CONTROL!$C$15, $D$11, 100%, $F$11)</f>
        <v>28.028199999999998</v>
      </c>
      <c r="H870" s="4">
        <f>28.9139 * CHOOSE(CONTROL!$C$15, $D$11, 100%, $F$11)</f>
        <v>28.913900000000002</v>
      </c>
      <c r="I870" s="8">
        <f>27.6494 * CHOOSE(CONTROL!$C$15, $D$11, 100%, $F$11)</f>
        <v>27.6494</v>
      </c>
      <c r="J870" s="4">
        <f>27.5168 * CHOOSE(CONTROL!$C$15, $D$11, 100%, $F$11)</f>
        <v>27.5168</v>
      </c>
      <c r="K870" s="4"/>
      <c r="L870" s="9">
        <v>26.469899999999999</v>
      </c>
      <c r="M870" s="9">
        <v>10.8962</v>
      </c>
      <c r="N870" s="9">
        <v>4.4660000000000002</v>
      </c>
      <c r="O870" s="9">
        <v>0.33789999999999998</v>
      </c>
      <c r="P870" s="9">
        <v>1.1676</v>
      </c>
      <c r="Q870" s="9">
        <v>17.782800000000002</v>
      </c>
      <c r="R870" s="9"/>
      <c r="S870" s="11"/>
    </row>
    <row r="871" spans="1:19" ht="15.75">
      <c r="A871" s="13">
        <v>68027</v>
      </c>
      <c r="B871" s="8">
        <f>28.0653 * CHOOSE(CONTROL!$C$15, $D$11, 100%, $F$11)</f>
        <v>28.065300000000001</v>
      </c>
      <c r="C871" s="8">
        <f>28.0761 * CHOOSE(CONTROL!$C$15, $D$11, 100%, $F$11)</f>
        <v>28.0761</v>
      </c>
      <c r="D871" s="8">
        <f>28.0569 * CHOOSE( CONTROL!$C$15, $D$11, 100%, $F$11)</f>
        <v>28.056899999999999</v>
      </c>
      <c r="E871" s="12">
        <f>28.0628 * CHOOSE( CONTROL!$C$15, $D$11, 100%, $F$11)</f>
        <v>28.062799999999999</v>
      </c>
      <c r="F871" s="4">
        <f>28.7238 * CHOOSE(CONTROL!$C$15, $D$11, 100%, $F$11)</f>
        <v>28.723800000000001</v>
      </c>
      <c r="G871" s="8">
        <f>27.4314 * CHOOSE( CONTROL!$C$15, $D$11, 100%, $F$11)</f>
        <v>27.4314</v>
      </c>
      <c r="H871" s="4">
        <f>28.3174 * CHOOSE(CONTROL!$C$15, $D$11, 100%, $F$11)</f>
        <v>28.317399999999999</v>
      </c>
      <c r="I871" s="8">
        <f>27.0618 * CHOOSE(CONTROL!$C$15, $D$11, 100%, $F$11)</f>
        <v>27.061800000000002</v>
      </c>
      <c r="J871" s="4">
        <f>26.931 * CHOOSE(CONTROL!$C$15, $D$11, 100%, $F$11)</f>
        <v>26.931000000000001</v>
      </c>
      <c r="K871" s="4"/>
      <c r="L871" s="9">
        <v>29.306000000000001</v>
      </c>
      <c r="M871" s="9">
        <v>12.063700000000001</v>
      </c>
      <c r="N871" s="9">
        <v>4.9444999999999997</v>
      </c>
      <c r="O871" s="9">
        <v>0.37409999999999999</v>
      </c>
      <c r="P871" s="9">
        <v>1.2927</v>
      </c>
      <c r="Q871" s="9">
        <v>19.688099999999999</v>
      </c>
      <c r="R871" s="9"/>
      <c r="S871" s="11"/>
    </row>
    <row r="872" spans="1:19" ht="15.75">
      <c r="A872" s="13">
        <v>68057</v>
      </c>
      <c r="B872" s="8">
        <f>28.4916 * CHOOSE(CONTROL!$C$15, $D$11, 100%, $F$11)</f>
        <v>28.491599999999998</v>
      </c>
      <c r="C872" s="8">
        <f>28.5024 * CHOOSE(CONTROL!$C$15, $D$11, 100%, $F$11)</f>
        <v>28.502400000000002</v>
      </c>
      <c r="D872" s="8">
        <f>28.5393 * CHOOSE( CONTROL!$C$15, $D$11, 100%, $F$11)</f>
        <v>28.539300000000001</v>
      </c>
      <c r="E872" s="12">
        <f>28.5259 * CHOOSE( CONTROL!$C$15, $D$11, 100%, $F$11)</f>
        <v>28.5259</v>
      </c>
      <c r="F872" s="4">
        <f>29.2309 * CHOOSE(CONTROL!$C$15, $D$11, 100%, $F$11)</f>
        <v>29.230899999999998</v>
      </c>
      <c r="G872" s="8">
        <f>27.8474 * CHOOSE( CONTROL!$C$15, $D$11, 100%, $F$11)</f>
        <v>27.8474</v>
      </c>
      <c r="H872" s="4">
        <f>28.8131 * CHOOSE(CONTROL!$C$15, $D$11, 100%, $F$11)</f>
        <v>28.813099999999999</v>
      </c>
      <c r="I872" s="8">
        <f>27.4632 * CHOOSE(CONTROL!$C$15, $D$11, 100%, $F$11)</f>
        <v>27.463200000000001</v>
      </c>
      <c r="J872" s="4">
        <f>27.3404 * CHOOSE(CONTROL!$C$15, $D$11, 100%, $F$11)</f>
        <v>27.340399999999999</v>
      </c>
      <c r="K872" s="4"/>
      <c r="L872" s="9">
        <v>30.092199999999998</v>
      </c>
      <c r="M872" s="9">
        <v>11.6745</v>
      </c>
      <c r="N872" s="9">
        <v>4.7850000000000001</v>
      </c>
      <c r="O872" s="9">
        <v>0.36199999999999999</v>
      </c>
      <c r="P872" s="9">
        <v>1.1791</v>
      </c>
      <c r="Q872" s="9">
        <v>19.053000000000001</v>
      </c>
      <c r="R872" s="9"/>
      <c r="S872" s="11"/>
    </row>
    <row r="873" spans="1:19" ht="15.75">
      <c r="A873" s="13">
        <v>68088</v>
      </c>
      <c r="B873" s="8">
        <f>CHOOSE( CONTROL!$C$32, 29.2527, 29.2503) * CHOOSE(CONTROL!$C$15, $D$11, 100%, $F$11)</f>
        <v>29.252700000000001</v>
      </c>
      <c r="C873" s="8">
        <f>CHOOSE( CONTROL!$C$32, 29.2632, 29.2608) * CHOOSE(CONTROL!$C$15, $D$11, 100%, $F$11)</f>
        <v>29.263200000000001</v>
      </c>
      <c r="D873" s="8">
        <f>CHOOSE( CONTROL!$C$32, 29.2991, 29.2967) * CHOOSE( CONTROL!$C$15, $D$11, 100%, $F$11)</f>
        <v>29.299099999999999</v>
      </c>
      <c r="E873" s="12">
        <f>CHOOSE( CONTROL!$C$32, 29.2845, 29.2821) * CHOOSE( CONTROL!$C$15, $D$11, 100%, $F$11)</f>
        <v>29.284500000000001</v>
      </c>
      <c r="F873" s="4">
        <f>CHOOSE( CONTROL!$C$32, 29.992, 29.9896) * CHOOSE(CONTROL!$C$15, $D$11, 100%, $F$11)</f>
        <v>29.992000000000001</v>
      </c>
      <c r="G873" s="8">
        <f>CHOOSE( CONTROL!$C$32, 28.5921, 28.5898) * CHOOSE( CONTROL!$C$15, $D$11, 100%, $F$11)</f>
        <v>28.592099999999999</v>
      </c>
      <c r="H873" s="4">
        <f>CHOOSE( CONTROL!$C$32, 29.5573, 29.555) * CHOOSE(CONTROL!$C$15, $D$11, 100%, $F$11)</f>
        <v>29.557300000000001</v>
      </c>
      <c r="I873" s="8">
        <f>CHOOSE( CONTROL!$C$32, 28.1944, 28.1921) * CHOOSE(CONTROL!$C$15, $D$11, 100%, $F$11)</f>
        <v>28.194400000000002</v>
      </c>
      <c r="J873" s="4">
        <f>CHOOSE( CONTROL!$C$32, 28.0712, 28.0689) * CHOOSE(CONTROL!$C$15, $D$11, 100%, $F$11)</f>
        <v>28.071200000000001</v>
      </c>
      <c r="K873" s="4"/>
      <c r="L873" s="9">
        <v>30.7165</v>
      </c>
      <c r="M873" s="9">
        <v>12.063700000000001</v>
      </c>
      <c r="N873" s="9">
        <v>4.9444999999999997</v>
      </c>
      <c r="O873" s="9">
        <v>0.37409999999999999</v>
      </c>
      <c r="P873" s="9">
        <v>1.2183999999999999</v>
      </c>
      <c r="Q873" s="9">
        <v>19.688099999999999</v>
      </c>
      <c r="R873" s="9"/>
      <c r="S873" s="11"/>
    </row>
    <row r="874" spans="1:19" ht="15.75">
      <c r="A874" s="13">
        <v>68118</v>
      </c>
      <c r="B874" s="8">
        <f>CHOOSE( CONTROL!$C$32, 28.7826, 28.7802) * CHOOSE(CONTROL!$C$15, $D$11, 100%, $F$11)</f>
        <v>28.782599999999999</v>
      </c>
      <c r="C874" s="8">
        <f>CHOOSE( CONTROL!$C$32, 28.7932, 28.7908) * CHOOSE(CONTROL!$C$15, $D$11, 100%, $F$11)</f>
        <v>28.793199999999999</v>
      </c>
      <c r="D874" s="8">
        <f>CHOOSE( CONTROL!$C$32, 28.8292, 28.8268) * CHOOSE( CONTROL!$C$15, $D$11, 100%, $F$11)</f>
        <v>28.8292</v>
      </c>
      <c r="E874" s="12">
        <f>CHOOSE( CONTROL!$C$32, 28.8145, 28.8121) * CHOOSE( CONTROL!$C$15, $D$11, 100%, $F$11)</f>
        <v>28.814499999999999</v>
      </c>
      <c r="F874" s="4">
        <f>CHOOSE( CONTROL!$C$32, 29.522, 29.5196) * CHOOSE(CONTROL!$C$15, $D$11, 100%, $F$11)</f>
        <v>29.521999999999998</v>
      </c>
      <c r="G874" s="8">
        <f>CHOOSE( CONTROL!$C$32, 28.1329, 28.1305) * CHOOSE( CONTROL!$C$15, $D$11, 100%, $F$11)</f>
        <v>28.132899999999999</v>
      </c>
      <c r="H874" s="4">
        <f>CHOOSE( CONTROL!$C$32, 29.0977, 29.0954) * CHOOSE(CONTROL!$C$15, $D$11, 100%, $F$11)</f>
        <v>29.0977</v>
      </c>
      <c r="I874" s="8">
        <f>CHOOSE( CONTROL!$C$32, 27.7439, 27.7416) * CHOOSE(CONTROL!$C$15, $D$11, 100%, $F$11)</f>
        <v>27.7439</v>
      </c>
      <c r="J874" s="4">
        <f>CHOOSE( CONTROL!$C$32, 27.6199, 27.6176) * CHOOSE(CONTROL!$C$15, $D$11, 100%, $F$11)</f>
        <v>27.619900000000001</v>
      </c>
      <c r="K874" s="4"/>
      <c r="L874" s="9">
        <v>29.7257</v>
      </c>
      <c r="M874" s="9">
        <v>11.6745</v>
      </c>
      <c r="N874" s="9">
        <v>4.7850000000000001</v>
      </c>
      <c r="O874" s="9">
        <v>0.36199999999999999</v>
      </c>
      <c r="P874" s="9">
        <v>1.1791</v>
      </c>
      <c r="Q874" s="9">
        <v>19.053000000000001</v>
      </c>
      <c r="R874" s="9"/>
      <c r="S874" s="11"/>
    </row>
    <row r="875" spans="1:19" ht="15.75">
      <c r="A875" s="13">
        <v>68149</v>
      </c>
      <c r="B875" s="8">
        <f>CHOOSE( CONTROL!$C$32, 30.0204, 30.018) * CHOOSE(CONTROL!$C$15, $D$11, 100%, $F$11)</f>
        <v>30.020399999999999</v>
      </c>
      <c r="C875" s="8">
        <f>CHOOSE( CONTROL!$C$32, 30.031, 30.0286) * CHOOSE(CONTROL!$C$15, $D$11, 100%, $F$11)</f>
        <v>30.030999999999999</v>
      </c>
      <c r="D875" s="8">
        <f>CHOOSE( CONTROL!$C$32, 30.0672, 30.0648) * CHOOSE( CONTROL!$C$15, $D$11, 100%, $F$11)</f>
        <v>30.0672</v>
      </c>
      <c r="E875" s="12">
        <f>CHOOSE( CONTROL!$C$32, 30.0525, 30.0501) * CHOOSE( CONTROL!$C$15, $D$11, 100%, $F$11)</f>
        <v>30.052499999999998</v>
      </c>
      <c r="F875" s="4">
        <f>CHOOSE( CONTROL!$C$32, 30.7598, 30.7574) * CHOOSE(CONTROL!$C$15, $D$11, 100%, $F$11)</f>
        <v>30.759799999999998</v>
      </c>
      <c r="G875" s="8">
        <f>CHOOSE( CONTROL!$C$32, 29.3434, 29.341) * CHOOSE( CONTROL!$C$15, $D$11, 100%, $F$11)</f>
        <v>29.343399999999999</v>
      </c>
      <c r="H875" s="4">
        <f>CHOOSE( CONTROL!$C$32, 30.3079, 30.3056) * CHOOSE(CONTROL!$C$15, $D$11, 100%, $F$11)</f>
        <v>30.3079</v>
      </c>
      <c r="I875" s="8">
        <f>CHOOSE( CONTROL!$C$32, 28.9339, 28.9316) * CHOOSE(CONTROL!$C$15, $D$11, 100%, $F$11)</f>
        <v>28.933900000000001</v>
      </c>
      <c r="J875" s="4">
        <f>CHOOSE( CONTROL!$C$32, 28.8083, 28.806) * CHOOSE(CONTROL!$C$15, $D$11, 100%, $F$11)</f>
        <v>28.808299999999999</v>
      </c>
      <c r="K875" s="4"/>
      <c r="L875" s="9">
        <v>30.7165</v>
      </c>
      <c r="M875" s="9">
        <v>12.063700000000001</v>
      </c>
      <c r="N875" s="9">
        <v>4.9444999999999997</v>
      </c>
      <c r="O875" s="9">
        <v>0.37409999999999999</v>
      </c>
      <c r="P875" s="9">
        <v>1.2183999999999999</v>
      </c>
      <c r="Q875" s="9">
        <v>19.688099999999999</v>
      </c>
      <c r="R875" s="9"/>
      <c r="S875" s="11"/>
    </row>
    <row r="876" spans="1:19" ht="15.75">
      <c r="A876" s="13">
        <v>68180</v>
      </c>
      <c r="B876" s="8">
        <f>CHOOSE( CONTROL!$C$32, 27.7044, 27.702) * CHOOSE(CONTROL!$C$15, $D$11, 100%, $F$11)</f>
        <v>27.7044</v>
      </c>
      <c r="C876" s="8">
        <f>CHOOSE( CONTROL!$C$32, 27.715, 27.7126) * CHOOSE(CONTROL!$C$15, $D$11, 100%, $F$11)</f>
        <v>27.715</v>
      </c>
      <c r="D876" s="8">
        <f>CHOOSE( CONTROL!$C$32, 27.7513, 27.7489) * CHOOSE( CONTROL!$C$15, $D$11, 100%, $F$11)</f>
        <v>27.751300000000001</v>
      </c>
      <c r="E876" s="12">
        <f>CHOOSE( CONTROL!$C$32, 27.7365, 27.7341) * CHOOSE( CONTROL!$C$15, $D$11, 100%, $F$11)</f>
        <v>27.736499999999999</v>
      </c>
      <c r="F876" s="4">
        <f>CHOOSE( CONTROL!$C$32, 28.4438, 28.4414) * CHOOSE(CONTROL!$C$15, $D$11, 100%, $F$11)</f>
        <v>28.4438</v>
      </c>
      <c r="G876" s="8">
        <f>CHOOSE( CONTROL!$C$32, 27.0791, 27.0767) * CHOOSE( CONTROL!$C$15, $D$11, 100%, $F$11)</f>
        <v>27.0791</v>
      </c>
      <c r="H876" s="4">
        <f>CHOOSE( CONTROL!$C$32, 28.0436, 28.0412) * CHOOSE(CONTROL!$C$15, $D$11, 100%, $F$11)</f>
        <v>28.043600000000001</v>
      </c>
      <c r="I876" s="8">
        <f>CHOOSE( CONTROL!$C$32, 26.7094, 26.7071) * CHOOSE(CONTROL!$C$15, $D$11, 100%, $F$11)</f>
        <v>26.709399999999999</v>
      </c>
      <c r="J876" s="4">
        <f>CHOOSE( CONTROL!$C$32, 26.5847, 26.5824) * CHOOSE(CONTROL!$C$15, $D$11, 100%, $F$11)</f>
        <v>26.584700000000002</v>
      </c>
      <c r="K876" s="4"/>
      <c r="L876" s="9">
        <v>30.7165</v>
      </c>
      <c r="M876" s="9">
        <v>12.063700000000001</v>
      </c>
      <c r="N876" s="9">
        <v>4.9444999999999997</v>
      </c>
      <c r="O876" s="9">
        <v>0.37409999999999999</v>
      </c>
      <c r="P876" s="9">
        <v>1.2183999999999999</v>
      </c>
      <c r="Q876" s="9">
        <v>19.688099999999999</v>
      </c>
      <c r="R876" s="9"/>
      <c r="S876" s="11"/>
    </row>
    <row r="877" spans="1:19" ht="15.75">
      <c r="A877" s="13">
        <v>68210</v>
      </c>
      <c r="B877" s="8">
        <f>CHOOSE( CONTROL!$C$32, 27.1244, 27.122) * CHOOSE(CONTROL!$C$15, $D$11, 100%, $F$11)</f>
        <v>27.124400000000001</v>
      </c>
      <c r="C877" s="8">
        <f>CHOOSE( CONTROL!$C$32, 27.135, 27.1326) * CHOOSE(CONTROL!$C$15, $D$11, 100%, $F$11)</f>
        <v>27.135000000000002</v>
      </c>
      <c r="D877" s="8">
        <f>CHOOSE( CONTROL!$C$32, 27.1712, 27.1688) * CHOOSE( CONTROL!$C$15, $D$11, 100%, $F$11)</f>
        <v>27.171199999999999</v>
      </c>
      <c r="E877" s="12">
        <f>CHOOSE( CONTROL!$C$32, 27.1565, 27.1541) * CHOOSE( CONTROL!$C$15, $D$11, 100%, $F$11)</f>
        <v>27.156500000000001</v>
      </c>
      <c r="F877" s="4">
        <f>CHOOSE( CONTROL!$C$32, 27.8638, 27.8614) * CHOOSE(CONTROL!$C$15, $D$11, 100%, $F$11)</f>
        <v>27.863800000000001</v>
      </c>
      <c r="G877" s="8">
        <f>CHOOSE( CONTROL!$C$32, 26.5119, 26.5096) * CHOOSE( CONTROL!$C$15, $D$11, 100%, $F$11)</f>
        <v>26.511900000000001</v>
      </c>
      <c r="H877" s="4">
        <f>CHOOSE( CONTROL!$C$32, 27.4765, 27.4742) * CHOOSE(CONTROL!$C$15, $D$11, 100%, $F$11)</f>
        <v>27.476500000000001</v>
      </c>
      <c r="I877" s="8">
        <f>CHOOSE( CONTROL!$C$32, 26.152, 26.1497) * CHOOSE(CONTROL!$C$15, $D$11, 100%, $F$11)</f>
        <v>26.152000000000001</v>
      </c>
      <c r="J877" s="4">
        <f>CHOOSE( CONTROL!$C$32, 26.0278, 26.0255) * CHOOSE(CONTROL!$C$15, $D$11, 100%, $F$11)</f>
        <v>26.027799999999999</v>
      </c>
      <c r="K877" s="4"/>
      <c r="L877" s="9">
        <v>29.7257</v>
      </c>
      <c r="M877" s="9">
        <v>11.6745</v>
      </c>
      <c r="N877" s="9">
        <v>4.7850000000000001</v>
      </c>
      <c r="O877" s="9">
        <v>0.36199999999999999</v>
      </c>
      <c r="P877" s="9">
        <v>1.1791</v>
      </c>
      <c r="Q877" s="9">
        <v>19.053000000000001</v>
      </c>
      <c r="R877" s="9"/>
      <c r="S877" s="11"/>
    </row>
    <row r="878" spans="1:19" ht="15.75">
      <c r="A878" s="13">
        <v>68241</v>
      </c>
      <c r="B878" s="8">
        <f>28.3264 * CHOOSE(CONTROL!$C$15, $D$11, 100%, $F$11)</f>
        <v>28.3264</v>
      </c>
      <c r="C878" s="8">
        <f>28.3371 * CHOOSE(CONTROL!$C$15, $D$11, 100%, $F$11)</f>
        <v>28.3371</v>
      </c>
      <c r="D878" s="8">
        <f>28.3747 * CHOOSE( CONTROL!$C$15, $D$11, 100%, $F$11)</f>
        <v>28.374700000000001</v>
      </c>
      <c r="E878" s="12">
        <f>28.3611 * CHOOSE( CONTROL!$C$15, $D$11, 100%, $F$11)</f>
        <v>28.3611</v>
      </c>
      <c r="F878" s="4">
        <f>29.0656 * CHOOSE(CONTROL!$C$15, $D$11, 100%, $F$11)</f>
        <v>29.0656</v>
      </c>
      <c r="G878" s="8">
        <f>27.6867 * CHOOSE( CONTROL!$C$15, $D$11, 100%, $F$11)</f>
        <v>27.686699999999998</v>
      </c>
      <c r="H878" s="4">
        <f>28.6515 * CHOOSE(CONTROL!$C$15, $D$11, 100%, $F$11)</f>
        <v>28.651499999999999</v>
      </c>
      <c r="I878" s="8">
        <f>27.3072 * CHOOSE(CONTROL!$C$15, $D$11, 100%, $F$11)</f>
        <v>27.307200000000002</v>
      </c>
      <c r="J878" s="4">
        <f>27.1817 * CHOOSE(CONTROL!$C$15, $D$11, 100%, $F$11)</f>
        <v>27.181699999999999</v>
      </c>
      <c r="K878" s="4"/>
      <c r="L878" s="9">
        <v>31.095300000000002</v>
      </c>
      <c r="M878" s="9">
        <v>12.063700000000001</v>
      </c>
      <c r="N878" s="9">
        <v>4.9444999999999997</v>
      </c>
      <c r="O878" s="9">
        <v>0.37409999999999999</v>
      </c>
      <c r="P878" s="9">
        <v>1.2183999999999999</v>
      </c>
      <c r="Q878" s="9">
        <v>19.688099999999999</v>
      </c>
      <c r="R878" s="9"/>
      <c r="S878" s="11"/>
    </row>
    <row r="879" spans="1:19" ht="15.75">
      <c r="A879" s="13">
        <v>68271</v>
      </c>
      <c r="B879" s="8">
        <f>30.5491 * CHOOSE(CONTROL!$C$15, $D$11, 100%, $F$11)</f>
        <v>30.549099999999999</v>
      </c>
      <c r="C879" s="8">
        <f>30.5598 * CHOOSE(CONTROL!$C$15, $D$11, 100%, $F$11)</f>
        <v>30.559799999999999</v>
      </c>
      <c r="D879" s="8">
        <f>30.5426 * CHOOSE( CONTROL!$C$15, $D$11, 100%, $F$11)</f>
        <v>30.5426</v>
      </c>
      <c r="E879" s="12">
        <f>30.5477 * CHOOSE( CONTROL!$C$15, $D$11, 100%, $F$11)</f>
        <v>30.547699999999999</v>
      </c>
      <c r="F879" s="4">
        <f>31.2076 * CHOOSE(CONTROL!$C$15, $D$11, 100%, $F$11)</f>
        <v>31.207599999999999</v>
      </c>
      <c r="G879" s="8">
        <f>29.8665 * CHOOSE( CONTROL!$C$15, $D$11, 100%, $F$11)</f>
        <v>29.866499999999998</v>
      </c>
      <c r="H879" s="4">
        <f>30.7457 * CHOOSE(CONTROL!$C$15, $D$11, 100%, $F$11)</f>
        <v>30.745699999999999</v>
      </c>
      <c r="I879" s="8">
        <f>29.4794 * CHOOSE(CONTROL!$C$15, $D$11, 100%, $F$11)</f>
        <v>29.479399999999998</v>
      </c>
      <c r="J879" s="4">
        <f>29.3157 * CHOOSE(CONTROL!$C$15, $D$11, 100%, $F$11)</f>
        <v>29.3157</v>
      </c>
      <c r="K879" s="4"/>
      <c r="L879" s="9">
        <v>28.360600000000002</v>
      </c>
      <c r="M879" s="9">
        <v>11.6745</v>
      </c>
      <c r="N879" s="9">
        <v>4.7850000000000001</v>
      </c>
      <c r="O879" s="9">
        <v>0.36199999999999999</v>
      </c>
      <c r="P879" s="9">
        <v>1.2509999999999999</v>
      </c>
      <c r="Q879" s="9">
        <v>19.053000000000001</v>
      </c>
      <c r="R879" s="9"/>
      <c r="S879" s="11"/>
    </row>
    <row r="880" spans="1:19" ht="15.75">
      <c r="A880" s="13">
        <v>68302</v>
      </c>
      <c r="B880" s="8">
        <f>30.4935 * CHOOSE(CONTROL!$C$15, $D$11, 100%, $F$11)</f>
        <v>30.493500000000001</v>
      </c>
      <c r="C880" s="8">
        <f>30.5043 * CHOOSE(CONTROL!$C$15, $D$11, 100%, $F$11)</f>
        <v>30.504300000000001</v>
      </c>
      <c r="D880" s="8">
        <f>30.4887 * CHOOSE( CONTROL!$C$15, $D$11, 100%, $F$11)</f>
        <v>30.488700000000001</v>
      </c>
      <c r="E880" s="12">
        <f>30.4933 * CHOOSE( CONTROL!$C$15, $D$11, 100%, $F$11)</f>
        <v>30.493300000000001</v>
      </c>
      <c r="F880" s="4">
        <f>31.152 * CHOOSE(CONTROL!$C$15, $D$11, 100%, $F$11)</f>
        <v>31.152000000000001</v>
      </c>
      <c r="G880" s="8">
        <f>29.8134 * CHOOSE( CONTROL!$C$15, $D$11, 100%, $F$11)</f>
        <v>29.813400000000001</v>
      </c>
      <c r="H880" s="4">
        <f>30.6914 * CHOOSE(CONTROL!$C$15, $D$11, 100%, $F$11)</f>
        <v>30.691400000000002</v>
      </c>
      <c r="I880" s="8">
        <f>29.4312 * CHOOSE(CONTROL!$C$15, $D$11, 100%, $F$11)</f>
        <v>29.4312</v>
      </c>
      <c r="J880" s="4">
        <f>29.2624 * CHOOSE(CONTROL!$C$15, $D$11, 100%, $F$11)</f>
        <v>29.2624</v>
      </c>
      <c r="K880" s="4"/>
      <c r="L880" s="9">
        <v>29.306000000000001</v>
      </c>
      <c r="M880" s="9">
        <v>12.063700000000001</v>
      </c>
      <c r="N880" s="9">
        <v>4.9444999999999997</v>
      </c>
      <c r="O880" s="9">
        <v>0.37409999999999999</v>
      </c>
      <c r="P880" s="9">
        <v>1.2927</v>
      </c>
      <c r="Q880" s="9">
        <v>19.688099999999999</v>
      </c>
      <c r="R880" s="9"/>
      <c r="S880" s="11"/>
    </row>
    <row r="881" spans="1:19" ht="15.75">
      <c r="A881" s="13">
        <v>68333</v>
      </c>
      <c r="B881" s="8">
        <f>31.3926 * CHOOSE(CONTROL!$C$15, $D$11, 100%, $F$11)</f>
        <v>31.392600000000002</v>
      </c>
      <c r="C881" s="8">
        <f>31.4033 * CHOOSE(CONTROL!$C$15, $D$11, 100%, $F$11)</f>
        <v>31.403300000000002</v>
      </c>
      <c r="D881" s="8">
        <f>31.3847 * CHOOSE( CONTROL!$C$15, $D$11, 100%, $F$11)</f>
        <v>31.384699999999999</v>
      </c>
      <c r="E881" s="12">
        <f>31.3904 * CHOOSE( CONTROL!$C$15, $D$11, 100%, $F$11)</f>
        <v>31.3904</v>
      </c>
      <c r="F881" s="4">
        <f>32.0511 * CHOOSE(CONTROL!$C$15, $D$11, 100%, $F$11)</f>
        <v>32.051099999999998</v>
      </c>
      <c r="G881" s="8">
        <f>30.6848 * CHOOSE( CONTROL!$C$15, $D$11, 100%, $F$11)</f>
        <v>30.684799999999999</v>
      </c>
      <c r="H881" s="4">
        <f>31.5704 * CHOOSE(CONTROL!$C$15, $D$11, 100%, $F$11)</f>
        <v>31.570399999999999</v>
      </c>
      <c r="I881" s="8">
        <f>30.2597 * CHOOSE(CONTROL!$C$15, $D$11, 100%, $F$11)</f>
        <v>30.259699999999999</v>
      </c>
      <c r="J881" s="4">
        <f>30.1255 * CHOOSE(CONTROL!$C$15, $D$11, 100%, $F$11)</f>
        <v>30.125499999999999</v>
      </c>
      <c r="K881" s="4"/>
      <c r="L881" s="9">
        <v>29.306000000000001</v>
      </c>
      <c r="M881" s="9">
        <v>12.063700000000001</v>
      </c>
      <c r="N881" s="9">
        <v>4.9444999999999997</v>
      </c>
      <c r="O881" s="9">
        <v>0.37409999999999999</v>
      </c>
      <c r="P881" s="9">
        <v>1.2927</v>
      </c>
      <c r="Q881" s="9">
        <v>19.688099999999999</v>
      </c>
      <c r="R881" s="9"/>
      <c r="S881" s="11"/>
    </row>
    <row r="882" spans="1:19" ht="15.75">
      <c r="A882" s="13">
        <v>68361</v>
      </c>
      <c r="B882" s="8">
        <f>29.3641 * CHOOSE(CONTROL!$C$15, $D$11, 100%, $F$11)</f>
        <v>29.364100000000001</v>
      </c>
      <c r="C882" s="8">
        <f>29.3748 * CHOOSE(CONTROL!$C$15, $D$11, 100%, $F$11)</f>
        <v>29.3748</v>
      </c>
      <c r="D882" s="8">
        <f>29.3561 * CHOOSE( CONTROL!$C$15, $D$11, 100%, $F$11)</f>
        <v>29.356100000000001</v>
      </c>
      <c r="E882" s="12">
        <f>29.3618 * CHOOSE( CONTROL!$C$15, $D$11, 100%, $F$11)</f>
        <v>29.361799999999999</v>
      </c>
      <c r="F882" s="4">
        <f>30.0226 * CHOOSE(CONTROL!$C$15, $D$11, 100%, $F$11)</f>
        <v>30.022600000000001</v>
      </c>
      <c r="G882" s="8">
        <f>28.7015 * CHOOSE( CONTROL!$C$15, $D$11, 100%, $F$11)</f>
        <v>28.701499999999999</v>
      </c>
      <c r="H882" s="4">
        <f>29.5871 * CHOOSE(CONTROL!$C$15, $D$11, 100%, $F$11)</f>
        <v>29.5871</v>
      </c>
      <c r="I882" s="8">
        <f>28.3109 * CHOOSE(CONTROL!$C$15, $D$11, 100%, $F$11)</f>
        <v>28.3109</v>
      </c>
      <c r="J882" s="4">
        <f>28.178 * CHOOSE(CONTROL!$C$15, $D$11, 100%, $F$11)</f>
        <v>28.178000000000001</v>
      </c>
      <c r="K882" s="4"/>
      <c r="L882" s="9">
        <v>26.469899999999999</v>
      </c>
      <c r="M882" s="9">
        <v>10.8962</v>
      </c>
      <c r="N882" s="9">
        <v>4.4660000000000002</v>
      </c>
      <c r="O882" s="9">
        <v>0.33789999999999998</v>
      </c>
      <c r="P882" s="9">
        <v>1.1676</v>
      </c>
      <c r="Q882" s="9">
        <v>17.782800000000002</v>
      </c>
      <c r="R882" s="9"/>
      <c r="S882" s="11"/>
    </row>
    <row r="883" spans="1:19" ht="15.75">
      <c r="A883" s="13">
        <v>68392</v>
      </c>
      <c r="B883" s="8">
        <f>28.7393 * CHOOSE(CONTROL!$C$15, $D$11, 100%, $F$11)</f>
        <v>28.7393</v>
      </c>
      <c r="C883" s="8">
        <f>28.75 * CHOOSE(CONTROL!$C$15, $D$11, 100%, $F$11)</f>
        <v>28.75</v>
      </c>
      <c r="D883" s="8">
        <f>28.7309 * CHOOSE( CONTROL!$C$15, $D$11, 100%, $F$11)</f>
        <v>28.730899999999998</v>
      </c>
      <c r="E883" s="12">
        <f>28.7367 * CHOOSE( CONTROL!$C$15, $D$11, 100%, $F$11)</f>
        <v>28.736699999999999</v>
      </c>
      <c r="F883" s="4">
        <f>29.3978 * CHOOSE(CONTROL!$C$15, $D$11, 100%, $F$11)</f>
        <v>29.3978</v>
      </c>
      <c r="G883" s="8">
        <f>28.0903 * CHOOSE( CONTROL!$C$15, $D$11, 100%, $F$11)</f>
        <v>28.090299999999999</v>
      </c>
      <c r="H883" s="4">
        <f>28.9763 * CHOOSE(CONTROL!$C$15, $D$11, 100%, $F$11)</f>
        <v>28.976299999999998</v>
      </c>
      <c r="I883" s="8">
        <f>27.7092 * CHOOSE(CONTROL!$C$15, $D$11, 100%, $F$11)</f>
        <v>27.709199999999999</v>
      </c>
      <c r="J883" s="4">
        <f>27.5781 * CHOOSE(CONTROL!$C$15, $D$11, 100%, $F$11)</f>
        <v>27.578099999999999</v>
      </c>
      <c r="K883" s="4"/>
      <c r="L883" s="9">
        <v>29.306000000000001</v>
      </c>
      <c r="M883" s="9">
        <v>12.063700000000001</v>
      </c>
      <c r="N883" s="9">
        <v>4.9444999999999997</v>
      </c>
      <c r="O883" s="9">
        <v>0.37409999999999999</v>
      </c>
      <c r="P883" s="9">
        <v>1.2927</v>
      </c>
      <c r="Q883" s="9">
        <v>19.688099999999999</v>
      </c>
      <c r="R883" s="9"/>
      <c r="S883" s="11"/>
    </row>
    <row r="884" spans="1:19" ht="15.75">
      <c r="A884" s="13">
        <v>68422</v>
      </c>
      <c r="B884" s="8">
        <f>29.1758 * CHOOSE(CONTROL!$C$15, $D$11, 100%, $F$11)</f>
        <v>29.175799999999999</v>
      </c>
      <c r="C884" s="8">
        <f>29.1866 * CHOOSE(CONTROL!$C$15, $D$11, 100%, $F$11)</f>
        <v>29.186599999999999</v>
      </c>
      <c r="D884" s="8">
        <f>29.2235 * CHOOSE( CONTROL!$C$15, $D$11, 100%, $F$11)</f>
        <v>29.223500000000001</v>
      </c>
      <c r="E884" s="12">
        <f>29.2101 * CHOOSE( CONTROL!$C$15, $D$11, 100%, $F$11)</f>
        <v>29.210100000000001</v>
      </c>
      <c r="F884" s="4">
        <f>29.9151 * CHOOSE(CONTROL!$C$15, $D$11, 100%, $F$11)</f>
        <v>29.915099999999999</v>
      </c>
      <c r="G884" s="8">
        <f>28.5164 * CHOOSE( CONTROL!$C$15, $D$11, 100%, $F$11)</f>
        <v>28.516400000000001</v>
      </c>
      <c r="H884" s="4">
        <f>29.4821 * CHOOSE(CONTROL!$C$15, $D$11, 100%, $F$11)</f>
        <v>29.482099999999999</v>
      </c>
      <c r="I884" s="8">
        <f>28.1204 * CHOOSE(CONTROL!$C$15, $D$11, 100%, $F$11)</f>
        <v>28.1204</v>
      </c>
      <c r="J884" s="4">
        <f>27.9973 * CHOOSE(CONTROL!$C$15, $D$11, 100%, $F$11)</f>
        <v>27.997299999999999</v>
      </c>
      <c r="K884" s="4"/>
      <c r="L884" s="9">
        <v>30.092199999999998</v>
      </c>
      <c r="M884" s="9">
        <v>11.6745</v>
      </c>
      <c r="N884" s="9">
        <v>4.7850000000000001</v>
      </c>
      <c r="O884" s="9">
        <v>0.36199999999999999</v>
      </c>
      <c r="P884" s="9">
        <v>1.1791</v>
      </c>
      <c r="Q884" s="9">
        <v>19.053000000000001</v>
      </c>
      <c r="R884" s="9"/>
      <c r="S884" s="11"/>
    </row>
    <row r="885" spans="1:19" ht="15.75">
      <c r="A885" s="13">
        <v>68453</v>
      </c>
      <c r="B885" s="8">
        <f>CHOOSE( CONTROL!$C$32, 29.9551, 29.9527) * CHOOSE(CONTROL!$C$15, $D$11, 100%, $F$11)</f>
        <v>29.955100000000002</v>
      </c>
      <c r="C885" s="8">
        <f>CHOOSE( CONTROL!$C$32, 29.9657, 29.9633) * CHOOSE(CONTROL!$C$15, $D$11, 100%, $F$11)</f>
        <v>29.965699999999998</v>
      </c>
      <c r="D885" s="8">
        <f>CHOOSE( CONTROL!$C$32, 30.0015, 29.9991) * CHOOSE( CONTROL!$C$15, $D$11, 100%, $F$11)</f>
        <v>30.0015</v>
      </c>
      <c r="E885" s="12">
        <f>CHOOSE( CONTROL!$C$32, 29.9869, 29.9845) * CHOOSE( CONTROL!$C$15, $D$11, 100%, $F$11)</f>
        <v>29.986899999999999</v>
      </c>
      <c r="F885" s="4">
        <f>CHOOSE( CONTROL!$C$32, 30.6945, 30.6921) * CHOOSE(CONTROL!$C$15, $D$11, 100%, $F$11)</f>
        <v>30.694500000000001</v>
      </c>
      <c r="G885" s="8">
        <f>CHOOSE( CONTROL!$C$32, 29.2789, 29.2766) * CHOOSE( CONTROL!$C$15, $D$11, 100%, $F$11)</f>
        <v>29.2789</v>
      </c>
      <c r="H885" s="4">
        <f>CHOOSE( CONTROL!$C$32, 30.2441, 30.2417) * CHOOSE(CONTROL!$C$15, $D$11, 100%, $F$11)</f>
        <v>30.2441</v>
      </c>
      <c r="I885" s="8">
        <f>CHOOSE( CONTROL!$C$32, 28.8692, 28.8669) * CHOOSE(CONTROL!$C$15, $D$11, 100%, $F$11)</f>
        <v>28.869199999999999</v>
      </c>
      <c r="J885" s="4">
        <f>CHOOSE( CONTROL!$C$32, 28.7456, 28.7433) * CHOOSE(CONTROL!$C$15, $D$11, 100%, $F$11)</f>
        <v>28.7456</v>
      </c>
      <c r="K885" s="4"/>
      <c r="L885" s="9">
        <v>30.7165</v>
      </c>
      <c r="M885" s="9">
        <v>12.063700000000001</v>
      </c>
      <c r="N885" s="9">
        <v>4.9444999999999997</v>
      </c>
      <c r="O885" s="9">
        <v>0.37409999999999999</v>
      </c>
      <c r="P885" s="9">
        <v>1.2183999999999999</v>
      </c>
      <c r="Q885" s="9">
        <v>19.688099999999999</v>
      </c>
      <c r="R885" s="9"/>
      <c r="S885" s="11"/>
    </row>
    <row r="886" spans="1:19" ht="15.75">
      <c r="A886" s="13">
        <v>68483</v>
      </c>
      <c r="B886" s="8">
        <f>CHOOSE( CONTROL!$C$32, 29.4738, 29.4714) * CHOOSE(CONTROL!$C$15, $D$11, 100%, $F$11)</f>
        <v>29.473800000000001</v>
      </c>
      <c r="C886" s="8">
        <f>CHOOSE( CONTROL!$C$32, 29.4844, 29.482) * CHOOSE(CONTROL!$C$15, $D$11, 100%, $F$11)</f>
        <v>29.484400000000001</v>
      </c>
      <c r="D886" s="8">
        <f>CHOOSE( CONTROL!$C$32, 29.5204, 29.518) * CHOOSE( CONTROL!$C$15, $D$11, 100%, $F$11)</f>
        <v>29.520399999999999</v>
      </c>
      <c r="E886" s="12">
        <f>CHOOSE( CONTROL!$C$32, 29.5057, 29.5033) * CHOOSE( CONTROL!$C$15, $D$11, 100%, $F$11)</f>
        <v>29.505700000000001</v>
      </c>
      <c r="F886" s="4">
        <f>CHOOSE( CONTROL!$C$32, 30.2132, 30.2108) * CHOOSE(CONTROL!$C$15, $D$11, 100%, $F$11)</f>
        <v>30.213200000000001</v>
      </c>
      <c r="G886" s="8">
        <f>CHOOSE( CONTROL!$C$32, 28.8086, 28.8063) * CHOOSE( CONTROL!$C$15, $D$11, 100%, $F$11)</f>
        <v>28.808599999999998</v>
      </c>
      <c r="H886" s="4">
        <f>CHOOSE( CONTROL!$C$32, 29.7735, 29.7712) * CHOOSE(CONTROL!$C$15, $D$11, 100%, $F$11)</f>
        <v>29.773499999999999</v>
      </c>
      <c r="I886" s="8">
        <f>CHOOSE( CONTROL!$C$32, 28.4078, 28.4055) * CHOOSE(CONTROL!$C$15, $D$11, 100%, $F$11)</f>
        <v>28.407800000000002</v>
      </c>
      <c r="J886" s="4">
        <f>CHOOSE( CONTROL!$C$32, 28.2835, 28.2812) * CHOOSE(CONTROL!$C$15, $D$11, 100%, $F$11)</f>
        <v>28.2835</v>
      </c>
      <c r="K886" s="4"/>
      <c r="L886" s="9">
        <v>29.7257</v>
      </c>
      <c r="M886" s="9">
        <v>11.6745</v>
      </c>
      <c r="N886" s="9">
        <v>4.7850000000000001</v>
      </c>
      <c r="O886" s="9">
        <v>0.36199999999999999</v>
      </c>
      <c r="P886" s="9">
        <v>1.1791</v>
      </c>
      <c r="Q886" s="9">
        <v>19.053000000000001</v>
      </c>
      <c r="R886" s="9"/>
      <c r="S886" s="11"/>
    </row>
    <row r="887" spans="1:19" ht="15.75">
      <c r="A887" s="13">
        <v>68514</v>
      </c>
      <c r="B887" s="8">
        <f>CHOOSE( CONTROL!$C$32, 30.7413, 30.7389) * CHOOSE(CONTROL!$C$15, $D$11, 100%, $F$11)</f>
        <v>30.741299999999999</v>
      </c>
      <c r="C887" s="8">
        <f>CHOOSE( CONTROL!$C$32, 30.7519, 30.7495) * CHOOSE(CONTROL!$C$15, $D$11, 100%, $F$11)</f>
        <v>30.751899999999999</v>
      </c>
      <c r="D887" s="8">
        <f>CHOOSE( CONTROL!$C$32, 30.7881, 30.7857) * CHOOSE( CONTROL!$C$15, $D$11, 100%, $F$11)</f>
        <v>30.7881</v>
      </c>
      <c r="E887" s="12">
        <f>CHOOSE( CONTROL!$C$32, 30.7734, 30.771) * CHOOSE( CONTROL!$C$15, $D$11, 100%, $F$11)</f>
        <v>30.773399999999999</v>
      </c>
      <c r="F887" s="4">
        <f>CHOOSE( CONTROL!$C$32, 31.4807, 31.4783) * CHOOSE(CONTROL!$C$15, $D$11, 100%, $F$11)</f>
        <v>31.480699999999999</v>
      </c>
      <c r="G887" s="8">
        <f>CHOOSE( CONTROL!$C$32, 30.0482, 30.0458) * CHOOSE( CONTROL!$C$15, $D$11, 100%, $F$11)</f>
        <v>30.048200000000001</v>
      </c>
      <c r="H887" s="4">
        <f>CHOOSE( CONTROL!$C$32, 31.0127, 31.0104) * CHOOSE(CONTROL!$C$15, $D$11, 100%, $F$11)</f>
        <v>31.012699999999999</v>
      </c>
      <c r="I887" s="8">
        <f>CHOOSE( CONTROL!$C$32, 29.6263, 29.624) * CHOOSE(CONTROL!$C$15, $D$11, 100%, $F$11)</f>
        <v>29.626300000000001</v>
      </c>
      <c r="J887" s="4">
        <f>CHOOSE( CONTROL!$C$32, 29.5004, 29.4981) * CHOOSE(CONTROL!$C$15, $D$11, 100%, $F$11)</f>
        <v>29.500399999999999</v>
      </c>
      <c r="K887" s="4"/>
      <c r="L887" s="9">
        <v>30.7165</v>
      </c>
      <c r="M887" s="9">
        <v>12.063700000000001</v>
      </c>
      <c r="N887" s="9">
        <v>4.9444999999999997</v>
      </c>
      <c r="O887" s="9">
        <v>0.37409999999999999</v>
      </c>
      <c r="P887" s="9">
        <v>1.2183999999999999</v>
      </c>
      <c r="Q887" s="9">
        <v>19.688099999999999</v>
      </c>
      <c r="R887" s="9"/>
      <c r="S887" s="11"/>
    </row>
    <row r="888" spans="1:19" ht="15.75">
      <c r="A888" s="13">
        <v>68545</v>
      </c>
      <c r="B888" s="8">
        <f>CHOOSE( CONTROL!$C$32, 28.3696, 28.3673) * CHOOSE(CONTROL!$C$15, $D$11, 100%, $F$11)</f>
        <v>28.369599999999998</v>
      </c>
      <c r="C888" s="8">
        <f>CHOOSE( CONTROL!$C$32, 28.3802, 28.3778) * CHOOSE(CONTROL!$C$15, $D$11, 100%, $F$11)</f>
        <v>28.380199999999999</v>
      </c>
      <c r="D888" s="8">
        <f>CHOOSE( CONTROL!$C$32, 28.4165, 28.4141) * CHOOSE( CONTROL!$C$15, $D$11, 100%, $F$11)</f>
        <v>28.416499999999999</v>
      </c>
      <c r="E888" s="12">
        <f>CHOOSE( CONTROL!$C$32, 28.4017, 28.3993) * CHOOSE( CONTROL!$C$15, $D$11, 100%, $F$11)</f>
        <v>28.401700000000002</v>
      </c>
      <c r="F888" s="4">
        <f>CHOOSE( CONTROL!$C$32, 29.109, 29.1066) * CHOOSE(CONTROL!$C$15, $D$11, 100%, $F$11)</f>
        <v>29.109000000000002</v>
      </c>
      <c r="G888" s="8">
        <f>CHOOSE( CONTROL!$C$32, 27.7295, 27.7271) * CHOOSE( CONTROL!$C$15, $D$11, 100%, $F$11)</f>
        <v>27.729500000000002</v>
      </c>
      <c r="H888" s="4">
        <f>CHOOSE( CONTROL!$C$32, 28.694, 28.6916) * CHOOSE(CONTROL!$C$15, $D$11, 100%, $F$11)</f>
        <v>28.693999999999999</v>
      </c>
      <c r="I888" s="8">
        <f>CHOOSE( CONTROL!$C$32, 27.3484, 27.3461) * CHOOSE(CONTROL!$C$15, $D$11, 100%, $F$11)</f>
        <v>27.348400000000002</v>
      </c>
      <c r="J888" s="4">
        <f>CHOOSE( CONTROL!$C$32, 27.2234, 27.2211) * CHOOSE(CONTROL!$C$15, $D$11, 100%, $F$11)</f>
        <v>27.223400000000002</v>
      </c>
      <c r="K888" s="4"/>
      <c r="L888" s="9">
        <v>30.7165</v>
      </c>
      <c r="M888" s="9">
        <v>12.063700000000001</v>
      </c>
      <c r="N888" s="9">
        <v>4.9444999999999997</v>
      </c>
      <c r="O888" s="9">
        <v>0.37409999999999999</v>
      </c>
      <c r="P888" s="9">
        <v>1.2183999999999999</v>
      </c>
      <c r="Q888" s="9">
        <v>19.688099999999999</v>
      </c>
      <c r="R888" s="9"/>
      <c r="S888" s="11"/>
    </row>
    <row r="889" spans="1:19" ht="15.75">
      <c r="A889" s="13">
        <v>68575</v>
      </c>
      <c r="B889" s="8">
        <f>CHOOSE( CONTROL!$C$32, 27.7758, 27.7734) * CHOOSE(CONTROL!$C$15, $D$11, 100%, $F$11)</f>
        <v>27.7758</v>
      </c>
      <c r="C889" s="8">
        <f>CHOOSE( CONTROL!$C$32, 27.7863, 27.7839) * CHOOSE(CONTROL!$C$15, $D$11, 100%, $F$11)</f>
        <v>27.786300000000001</v>
      </c>
      <c r="D889" s="8">
        <f>CHOOSE( CONTROL!$C$32, 27.8226, 27.8202) * CHOOSE( CONTROL!$C$15, $D$11, 100%, $F$11)</f>
        <v>27.822600000000001</v>
      </c>
      <c r="E889" s="12">
        <f>CHOOSE( CONTROL!$C$32, 27.8078, 27.8054) * CHOOSE( CONTROL!$C$15, $D$11, 100%, $F$11)</f>
        <v>27.8078</v>
      </c>
      <c r="F889" s="4">
        <f>CHOOSE( CONTROL!$C$32, 28.5151, 28.5127) * CHOOSE(CONTROL!$C$15, $D$11, 100%, $F$11)</f>
        <v>28.5151</v>
      </c>
      <c r="G889" s="8">
        <f>CHOOSE( CONTROL!$C$32, 27.1487, 27.1464) * CHOOSE( CONTROL!$C$15, $D$11, 100%, $F$11)</f>
        <v>27.148700000000002</v>
      </c>
      <c r="H889" s="4">
        <f>CHOOSE( CONTROL!$C$32, 28.1133, 28.111) * CHOOSE(CONTROL!$C$15, $D$11, 100%, $F$11)</f>
        <v>28.113299999999999</v>
      </c>
      <c r="I889" s="8">
        <f>CHOOSE( CONTROL!$C$32, 26.7776, 26.7753) * CHOOSE(CONTROL!$C$15, $D$11, 100%, $F$11)</f>
        <v>26.7776</v>
      </c>
      <c r="J889" s="4">
        <f>CHOOSE( CONTROL!$C$32, 26.6532, 26.6509) * CHOOSE(CONTROL!$C$15, $D$11, 100%, $F$11)</f>
        <v>26.653199999999998</v>
      </c>
      <c r="K889" s="4"/>
      <c r="L889" s="9">
        <v>29.7257</v>
      </c>
      <c r="M889" s="9">
        <v>11.6745</v>
      </c>
      <c r="N889" s="9">
        <v>4.7850000000000001</v>
      </c>
      <c r="O889" s="9">
        <v>0.36199999999999999</v>
      </c>
      <c r="P889" s="9">
        <v>1.1791</v>
      </c>
      <c r="Q889" s="9">
        <v>19.053000000000001</v>
      </c>
      <c r="R889" s="9"/>
      <c r="S889" s="11"/>
    </row>
    <row r="890" spans="1:19" ht="15.75">
      <c r="A890" s="13">
        <v>68606</v>
      </c>
      <c r="B890" s="8">
        <f>29.0066 * CHOOSE(CONTROL!$C$15, $D$11, 100%, $F$11)</f>
        <v>29.006599999999999</v>
      </c>
      <c r="C890" s="8">
        <f>29.0173 * CHOOSE(CONTROL!$C$15, $D$11, 100%, $F$11)</f>
        <v>29.017299999999999</v>
      </c>
      <c r="D890" s="8">
        <f>29.0549 * CHOOSE( CONTROL!$C$15, $D$11, 100%, $F$11)</f>
        <v>29.0549</v>
      </c>
      <c r="E890" s="12">
        <f>29.0413 * CHOOSE( CONTROL!$C$15, $D$11, 100%, $F$11)</f>
        <v>29.0413</v>
      </c>
      <c r="F890" s="4">
        <f>29.7458 * CHOOSE(CONTROL!$C$15, $D$11, 100%, $F$11)</f>
        <v>29.745799999999999</v>
      </c>
      <c r="G890" s="8">
        <f>28.3518 * CHOOSE( CONTROL!$C$15, $D$11, 100%, $F$11)</f>
        <v>28.351800000000001</v>
      </c>
      <c r="H890" s="4">
        <f>29.3166 * CHOOSE(CONTROL!$C$15, $D$11, 100%, $F$11)</f>
        <v>29.316600000000001</v>
      </c>
      <c r="I890" s="8">
        <f>27.9606 * CHOOSE(CONTROL!$C$15, $D$11, 100%, $F$11)</f>
        <v>27.960599999999999</v>
      </c>
      <c r="J890" s="4">
        <f>27.8348 * CHOOSE(CONTROL!$C$15, $D$11, 100%, $F$11)</f>
        <v>27.834800000000001</v>
      </c>
      <c r="K890" s="4"/>
      <c r="L890" s="9">
        <v>31.095300000000002</v>
      </c>
      <c r="M890" s="9">
        <v>12.063700000000001</v>
      </c>
      <c r="N890" s="9">
        <v>4.9444999999999997</v>
      </c>
      <c r="O890" s="9">
        <v>0.37409999999999999</v>
      </c>
      <c r="P890" s="9">
        <v>1.2183999999999999</v>
      </c>
      <c r="Q890" s="9">
        <v>19.688099999999999</v>
      </c>
      <c r="R890" s="9"/>
      <c r="S890" s="11"/>
    </row>
    <row r="891" spans="1:19" ht="15.75">
      <c r="A891" s="13">
        <v>68636</v>
      </c>
      <c r="B891" s="8">
        <f>31.2827 * CHOOSE(CONTROL!$C$15, $D$11, 100%, $F$11)</f>
        <v>31.282699999999998</v>
      </c>
      <c r="C891" s="8">
        <f>31.2935 * CHOOSE(CONTROL!$C$15, $D$11, 100%, $F$11)</f>
        <v>31.293500000000002</v>
      </c>
      <c r="D891" s="8">
        <f>31.2762 * CHOOSE( CONTROL!$C$15, $D$11, 100%, $F$11)</f>
        <v>31.276199999999999</v>
      </c>
      <c r="E891" s="12">
        <f>31.2814 * CHOOSE( CONTROL!$C$15, $D$11, 100%, $F$11)</f>
        <v>31.281400000000001</v>
      </c>
      <c r="F891" s="4">
        <f>31.9412 * CHOOSE(CONTROL!$C$15, $D$11, 100%, $F$11)</f>
        <v>31.941199999999998</v>
      </c>
      <c r="G891" s="8">
        <f>30.5838 * CHOOSE( CONTROL!$C$15, $D$11, 100%, $F$11)</f>
        <v>30.5838</v>
      </c>
      <c r="H891" s="4">
        <f>31.463 * CHOOSE(CONTROL!$C$15, $D$11, 100%, $F$11)</f>
        <v>31.463000000000001</v>
      </c>
      <c r="I891" s="8">
        <f>30.1841 * CHOOSE(CONTROL!$C$15, $D$11, 100%, $F$11)</f>
        <v>30.184100000000001</v>
      </c>
      <c r="J891" s="4">
        <f>30.0201 * CHOOSE(CONTROL!$C$15, $D$11, 100%, $F$11)</f>
        <v>30.020099999999999</v>
      </c>
      <c r="K891" s="4"/>
      <c r="L891" s="9">
        <v>28.360600000000002</v>
      </c>
      <c r="M891" s="9">
        <v>11.6745</v>
      </c>
      <c r="N891" s="9">
        <v>4.7850000000000001</v>
      </c>
      <c r="O891" s="9">
        <v>0.36199999999999999</v>
      </c>
      <c r="P891" s="9">
        <v>1.2509999999999999</v>
      </c>
      <c r="Q891" s="9">
        <v>19.053000000000001</v>
      </c>
      <c r="R891" s="9"/>
      <c r="S891" s="11"/>
    </row>
    <row r="892" spans="1:19" ht="15.75">
      <c r="A892" s="13">
        <v>68667</v>
      </c>
      <c r="B892" s="8">
        <f>31.2259 * CHOOSE(CONTROL!$C$15, $D$11, 100%, $F$11)</f>
        <v>31.225899999999999</v>
      </c>
      <c r="C892" s="8">
        <f>31.2366 * CHOOSE(CONTROL!$C$15, $D$11, 100%, $F$11)</f>
        <v>31.236599999999999</v>
      </c>
      <c r="D892" s="8">
        <f>31.2211 * CHOOSE( CONTROL!$C$15, $D$11, 100%, $F$11)</f>
        <v>31.2211</v>
      </c>
      <c r="E892" s="12">
        <f>31.2256 * CHOOSE( CONTROL!$C$15, $D$11, 100%, $F$11)</f>
        <v>31.2256</v>
      </c>
      <c r="F892" s="4">
        <f>31.8844 * CHOOSE(CONTROL!$C$15, $D$11, 100%, $F$11)</f>
        <v>31.884399999999999</v>
      </c>
      <c r="G892" s="8">
        <f>30.5294 * CHOOSE( CONTROL!$C$15, $D$11, 100%, $F$11)</f>
        <v>30.529399999999999</v>
      </c>
      <c r="H892" s="4">
        <f>31.4074 * CHOOSE(CONTROL!$C$15, $D$11, 100%, $F$11)</f>
        <v>31.407399999999999</v>
      </c>
      <c r="I892" s="8">
        <f>30.1347 * CHOOSE(CONTROL!$C$15, $D$11, 100%, $F$11)</f>
        <v>30.134699999999999</v>
      </c>
      <c r="J892" s="4">
        <f>29.9655 * CHOOSE(CONTROL!$C$15, $D$11, 100%, $F$11)</f>
        <v>29.965499999999999</v>
      </c>
      <c r="K892" s="4"/>
      <c r="L892" s="9">
        <v>29.306000000000001</v>
      </c>
      <c r="M892" s="9">
        <v>12.063700000000001</v>
      </c>
      <c r="N892" s="9">
        <v>4.9444999999999997</v>
      </c>
      <c r="O892" s="9">
        <v>0.37409999999999999</v>
      </c>
      <c r="P892" s="9">
        <v>1.2927</v>
      </c>
      <c r="Q892" s="9">
        <v>19.688099999999999</v>
      </c>
      <c r="R892" s="9"/>
      <c r="S892" s="11"/>
    </row>
    <row r="893" spans="1:19" ht="15.75">
      <c r="A893" s="13">
        <v>68698</v>
      </c>
      <c r="B893" s="8">
        <f>32.1465 * CHOOSE(CONTROL!$C$15, $D$11, 100%, $F$11)</f>
        <v>32.146500000000003</v>
      </c>
      <c r="C893" s="8">
        <f>32.1572 * CHOOSE(CONTROL!$C$15, $D$11, 100%, $F$11)</f>
        <v>32.157200000000003</v>
      </c>
      <c r="D893" s="8">
        <f>32.1386 * CHOOSE( CONTROL!$C$15, $D$11, 100%, $F$11)</f>
        <v>32.138599999999997</v>
      </c>
      <c r="E893" s="12">
        <f>32.1443 * CHOOSE( CONTROL!$C$15, $D$11, 100%, $F$11)</f>
        <v>32.144300000000001</v>
      </c>
      <c r="F893" s="4">
        <f>32.805 * CHOOSE(CONTROL!$C$15, $D$11, 100%, $F$11)</f>
        <v>32.805</v>
      </c>
      <c r="G893" s="8">
        <f>31.4219 * CHOOSE( CONTROL!$C$15, $D$11, 100%, $F$11)</f>
        <v>31.421900000000001</v>
      </c>
      <c r="H893" s="4">
        <f>32.3075 * CHOOSE(CONTROL!$C$15, $D$11, 100%, $F$11)</f>
        <v>32.307499999999997</v>
      </c>
      <c r="I893" s="8">
        <f>30.9839 * CHOOSE(CONTROL!$C$15, $D$11, 100%, $F$11)</f>
        <v>30.983899999999998</v>
      </c>
      <c r="J893" s="4">
        <f>30.8494 * CHOOSE(CONTROL!$C$15, $D$11, 100%, $F$11)</f>
        <v>30.849399999999999</v>
      </c>
      <c r="K893" s="4"/>
      <c r="L893" s="9">
        <v>29.306000000000001</v>
      </c>
      <c r="M893" s="9">
        <v>12.063700000000001</v>
      </c>
      <c r="N893" s="9">
        <v>4.9444999999999997</v>
      </c>
      <c r="O893" s="9">
        <v>0.37409999999999999</v>
      </c>
      <c r="P893" s="9">
        <v>1.2927</v>
      </c>
      <c r="Q893" s="9">
        <v>19.688099999999999</v>
      </c>
      <c r="R893" s="9"/>
      <c r="S893" s="11"/>
    </row>
    <row r="894" spans="1:19" ht="15.75">
      <c r="A894" s="13">
        <v>68727</v>
      </c>
      <c r="B894" s="8">
        <f>30.0692 * CHOOSE(CONTROL!$C$15, $D$11, 100%, $F$11)</f>
        <v>30.069199999999999</v>
      </c>
      <c r="C894" s="8">
        <f>30.08 * CHOOSE(CONTROL!$C$15, $D$11, 100%, $F$11)</f>
        <v>30.08</v>
      </c>
      <c r="D894" s="8">
        <f>30.0613 * CHOOSE( CONTROL!$C$15, $D$11, 100%, $F$11)</f>
        <v>30.061299999999999</v>
      </c>
      <c r="E894" s="12">
        <f>30.067 * CHOOSE( CONTROL!$C$15, $D$11, 100%, $F$11)</f>
        <v>30.067</v>
      </c>
      <c r="F894" s="4">
        <f>30.7277 * CHOOSE(CONTROL!$C$15, $D$11, 100%, $F$11)</f>
        <v>30.727699999999999</v>
      </c>
      <c r="G894" s="8">
        <f>29.391 * CHOOSE( CONTROL!$C$15, $D$11, 100%, $F$11)</f>
        <v>29.390999999999998</v>
      </c>
      <c r="H894" s="4">
        <f>30.2766 * CHOOSE(CONTROL!$C$15, $D$11, 100%, $F$11)</f>
        <v>30.276599999999998</v>
      </c>
      <c r="I894" s="8">
        <f>28.9883 * CHOOSE(CONTROL!$C$15, $D$11, 100%, $F$11)</f>
        <v>28.988299999999999</v>
      </c>
      <c r="J894" s="4">
        <f>28.855 * CHOOSE(CONTROL!$C$15, $D$11, 100%, $F$11)</f>
        <v>28.855</v>
      </c>
      <c r="K894" s="4"/>
      <c r="L894" s="9">
        <v>27.415299999999998</v>
      </c>
      <c r="M894" s="9">
        <v>11.285299999999999</v>
      </c>
      <c r="N894" s="9">
        <v>4.6254999999999997</v>
      </c>
      <c r="O894" s="9">
        <v>0.34989999999999999</v>
      </c>
      <c r="P894" s="9">
        <v>1.2093</v>
      </c>
      <c r="Q894" s="9">
        <v>18.417899999999999</v>
      </c>
      <c r="R894" s="9"/>
      <c r="S894" s="11"/>
    </row>
    <row r="895" spans="1:19" ht="15.75">
      <c r="A895" s="13">
        <v>68758</v>
      </c>
      <c r="B895" s="8">
        <f>29.4295 * CHOOSE(CONTROL!$C$15, $D$11, 100%, $F$11)</f>
        <v>29.429500000000001</v>
      </c>
      <c r="C895" s="8">
        <f>29.4402 * CHOOSE(CONTROL!$C$15, $D$11, 100%, $F$11)</f>
        <v>29.440200000000001</v>
      </c>
      <c r="D895" s="8">
        <f>29.421 * CHOOSE( CONTROL!$C$15, $D$11, 100%, $F$11)</f>
        <v>29.420999999999999</v>
      </c>
      <c r="E895" s="12">
        <f>29.4269 * CHOOSE( CONTROL!$C$15, $D$11, 100%, $F$11)</f>
        <v>29.4269</v>
      </c>
      <c r="F895" s="4">
        <f>30.088 * CHOOSE(CONTROL!$C$15, $D$11, 100%, $F$11)</f>
        <v>30.088000000000001</v>
      </c>
      <c r="G895" s="8">
        <f>28.7651 * CHOOSE( CONTROL!$C$15, $D$11, 100%, $F$11)</f>
        <v>28.7651</v>
      </c>
      <c r="H895" s="4">
        <f>29.6511 * CHOOSE(CONTROL!$C$15, $D$11, 100%, $F$11)</f>
        <v>29.6511</v>
      </c>
      <c r="I895" s="8">
        <f>28.3722 * CHOOSE(CONTROL!$C$15, $D$11, 100%, $F$11)</f>
        <v>28.372199999999999</v>
      </c>
      <c r="J895" s="4">
        <f>28.2408 * CHOOSE(CONTROL!$C$15, $D$11, 100%, $F$11)</f>
        <v>28.2408</v>
      </c>
      <c r="K895" s="4"/>
      <c r="L895" s="9">
        <v>29.306000000000001</v>
      </c>
      <c r="M895" s="9">
        <v>12.063700000000001</v>
      </c>
      <c r="N895" s="9">
        <v>4.9444999999999997</v>
      </c>
      <c r="O895" s="9">
        <v>0.37409999999999999</v>
      </c>
      <c r="P895" s="9">
        <v>1.2927</v>
      </c>
      <c r="Q895" s="9">
        <v>19.688099999999999</v>
      </c>
      <c r="R895" s="9"/>
      <c r="S895" s="11"/>
    </row>
    <row r="896" spans="1:19" ht="15.75">
      <c r="A896" s="13">
        <v>68788</v>
      </c>
      <c r="B896" s="8">
        <f>29.8765 * CHOOSE(CONTROL!$C$15, $D$11, 100%, $F$11)</f>
        <v>29.8765</v>
      </c>
      <c r="C896" s="8">
        <f>29.8873 * CHOOSE(CONTROL!$C$15, $D$11, 100%, $F$11)</f>
        <v>29.8873</v>
      </c>
      <c r="D896" s="8">
        <f>29.9242 * CHOOSE( CONTROL!$C$15, $D$11, 100%, $F$11)</f>
        <v>29.924199999999999</v>
      </c>
      <c r="E896" s="12">
        <f>29.9108 * CHOOSE( CONTROL!$C$15, $D$11, 100%, $F$11)</f>
        <v>29.910799999999998</v>
      </c>
      <c r="F896" s="4">
        <f>30.6157 * CHOOSE(CONTROL!$C$15, $D$11, 100%, $F$11)</f>
        <v>30.6157</v>
      </c>
      <c r="G896" s="8">
        <f>29.2014 * CHOOSE( CONTROL!$C$15, $D$11, 100%, $F$11)</f>
        <v>29.2014</v>
      </c>
      <c r="H896" s="4">
        <f>30.1671 * CHOOSE(CONTROL!$C$15, $D$11, 100%, $F$11)</f>
        <v>30.167100000000001</v>
      </c>
      <c r="I896" s="8">
        <f>28.7935 * CHOOSE(CONTROL!$C$15, $D$11, 100%, $F$11)</f>
        <v>28.793500000000002</v>
      </c>
      <c r="J896" s="4">
        <f>28.67 * CHOOSE(CONTROL!$C$15, $D$11, 100%, $F$11)</f>
        <v>28.67</v>
      </c>
      <c r="K896" s="4"/>
      <c r="L896" s="9">
        <v>30.092199999999998</v>
      </c>
      <c r="M896" s="9">
        <v>11.6745</v>
      </c>
      <c r="N896" s="9">
        <v>4.7850000000000001</v>
      </c>
      <c r="O896" s="9">
        <v>0.36199999999999999</v>
      </c>
      <c r="P896" s="9">
        <v>1.1791</v>
      </c>
      <c r="Q896" s="9">
        <v>19.053000000000001</v>
      </c>
      <c r="R896" s="9"/>
      <c r="S896" s="11"/>
    </row>
    <row r="897" spans="1:19" ht="15.75">
      <c r="A897" s="13">
        <v>68819</v>
      </c>
      <c r="B897" s="8">
        <f>CHOOSE( CONTROL!$C$32, 30.6745, 30.6721) * CHOOSE(CONTROL!$C$15, $D$11, 100%, $F$11)</f>
        <v>30.674499999999998</v>
      </c>
      <c r="C897" s="8">
        <f>CHOOSE( CONTROL!$C$32, 30.685, 30.6826) * CHOOSE(CONTROL!$C$15, $D$11, 100%, $F$11)</f>
        <v>30.684999999999999</v>
      </c>
      <c r="D897" s="8">
        <f>CHOOSE( CONTROL!$C$32, 30.7209, 30.7185) * CHOOSE( CONTROL!$C$15, $D$11, 100%, $F$11)</f>
        <v>30.7209</v>
      </c>
      <c r="E897" s="12">
        <f>CHOOSE( CONTROL!$C$32, 30.7063, 30.7039) * CHOOSE( CONTROL!$C$15, $D$11, 100%, $F$11)</f>
        <v>30.706299999999999</v>
      </c>
      <c r="F897" s="4">
        <f>CHOOSE( CONTROL!$C$32, 31.4138, 31.4114) * CHOOSE(CONTROL!$C$15, $D$11, 100%, $F$11)</f>
        <v>31.413799999999998</v>
      </c>
      <c r="G897" s="8">
        <f>CHOOSE( CONTROL!$C$32, 29.9822, 29.9798) * CHOOSE( CONTROL!$C$15, $D$11, 100%, $F$11)</f>
        <v>29.982199999999999</v>
      </c>
      <c r="H897" s="4">
        <f>CHOOSE( CONTROL!$C$32, 30.9474, 30.945) * CHOOSE(CONTROL!$C$15, $D$11, 100%, $F$11)</f>
        <v>30.947399999999998</v>
      </c>
      <c r="I897" s="8">
        <f>CHOOSE( CONTROL!$C$32, 29.5602, 29.5579) * CHOOSE(CONTROL!$C$15, $D$11, 100%, $F$11)</f>
        <v>29.560199999999998</v>
      </c>
      <c r="J897" s="4">
        <f>CHOOSE( CONTROL!$C$32, 29.4362, 29.4339) * CHOOSE(CONTROL!$C$15, $D$11, 100%, $F$11)</f>
        <v>29.436199999999999</v>
      </c>
      <c r="K897" s="4"/>
      <c r="L897" s="9">
        <v>30.7165</v>
      </c>
      <c r="M897" s="9">
        <v>12.063700000000001</v>
      </c>
      <c r="N897" s="9">
        <v>4.9444999999999997</v>
      </c>
      <c r="O897" s="9">
        <v>0.37409999999999999</v>
      </c>
      <c r="P897" s="9">
        <v>1.2183999999999999</v>
      </c>
      <c r="Q897" s="9">
        <v>19.688099999999999</v>
      </c>
      <c r="R897" s="9"/>
      <c r="S897" s="11"/>
    </row>
    <row r="898" spans="1:19" ht="15.75">
      <c r="A898" s="13">
        <v>68849</v>
      </c>
      <c r="B898" s="8">
        <f>CHOOSE( CONTROL!$C$32, 30.1816, 30.1792) * CHOOSE(CONTROL!$C$15, $D$11, 100%, $F$11)</f>
        <v>30.1816</v>
      </c>
      <c r="C898" s="8">
        <f>CHOOSE( CONTROL!$C$32, 30.1921, 30.1897) * CHOOSE(CONTROL!$C$15, $D$11, 100%, $F$11)</f>
        <v>30.1921</v>
      </c>
      <c r="D898" s="8">
        <f>CHOOSE( CONTROL!$C$32, 30.2282, 30.2258) * CHOOSE( CONTROL!$C$15, $D$11, 100%, $F$11)</f>
        <v>30.228200000000001</v>
      </c>
      <c r="E898" s="12">
        <f>CHOOSE( CONTROL!$C$32, 30.2135, 30.2111) * CHOOSE( CONTROL!$C$15, $D$11, 100%, $F$11)</f>
        <v>30.2135</v>
      </c>
      <c r="F898" s="4">
        <f>CHOOSE( CONTROL!$C$32, 30.9209, 30.9185) * CHOOSE(CONTROL!$C$15, $D$11, 100%, $F$11)</f>
        <v>30.9209</v>
      </c>
      <c r="G898" s="8">
        <f>CHOOSE( CONTROL!$C$32, 29.5006, 29.4982) * CHOOSE( CONTROL!$C$15, $D$11, 100%, $F$11)</f>
        <v>29.500599999999999</v>
      </c>
      <c r="H898" s="4">
        <f>CHOOSE( CONTROL!$C$32, 30.4655, 30.4631) * CHOOSE(CONTROL!$C$15, $D$11, 100%, $F$11)</f>
        <v>30.465499999999999</v>
      </c>
      <c r="I898" s="8">
        <f>CHOOSE( CONTROL!$C$32, 29.0876, 29.0853) * CHOOSE(CONTROL!$C$15, $D$11, 100%, $F$11)</f>
        <v>29.087599999999998</v>
      </c>
      <c r="J898" s="4">
        <f>CHOOSE( CONTROL!$C$32, 28.963, 28.9607) * CHOOSE(CONTROL!$C$15, $D$11, 100%, $F$11)</f>
        <v>28.963000000000001</v>
      </c>
      <c r="K898" s="4"/>
      <c r="L898" s="9">
        <v>29.7257</v>
      </c>
      <c r="M898" s="9">
        <v>11.6745</v>
      </c>
      <c r="N898" s="9">
        <v>4.7850000000000001</v>
      </c>
      <c r="O898" s="9">
        <v>0.36199999999999999</v>
      </c>
      <c r="P898" s="9">
        <v>1.1791</v>
      </c>
      <c r="Q898" s="9">
        <v>19.053000000000001</v>
      </c>
      <c r="R898" s="9"/>
      <c r="S898" s="11"/>
    </row>
    <row r="899" spans="1:19" ht="15.75">
      <c r="A899" s="13">
        <v>68880</v>
      </c>
      <c r="B899" s="8">
        <f>CHOOSE( CONTROL!$C$32, 31.4795, 31.4771) * CHOOSE(CONTROL!$C$15, $D$11, 100%, $F$11)</f>
        <v>31.479500000000002</v>
      </c>
      <c r="C899" s="8">
        <f>CHOOSE( CONTROL!$C$32, 31.4901, 31.4877) * CHOOSE(CONTROL!$C$15, $D$11, 100%, $F$11)</f>
        <v>31.490100000000002</v>
      </c>
      <c r="D899" s="8">
        <f>CHOOSE( CONTROL!$C$32, 31.5263, 31.524) * CHOOSE( CONTROL!$C$15, $D$11, 100%, $F$11)</f>
        <v>31.526299999999999</v>
      </c>
      <c r="E899" s="12">
        <f>CHOOSE( CONTROL!$C$32, 31.5116, 31.5092) * CHOOSE( CONTROL!$C$15, $D$11, 100%, $F$11)</f>
        <v>31.511600000000001</v>
      </c>
      <c r="F899" s="4">
        <f>CHOOSE( CONTROL!$C$32, 32.2189, 32.2165) * CHOOSE(CONTROL!$C$15, $D$11, 100%, $F$11)</f>
        <v>32.218899999999998</v>
      </c>
      <c r="G899" s="8">
        <f>CHOOSE( CONTROL!$C$32, 30.7699, 30.7676) * CHOOSE( CONTROL!$C$15, $D$11, 100%, $F$11)</f>
        <v>30.7699</v>
      </c>
      <c r="H899" s="4">
        <f>CHOOSE( CONTROL!$C$32, 31.7345, 31.7322) * CHOOSE(CONTROL!$C$15, $D$11, 100%, $F$11)</f>
        <v>31.734500000000001</v>
      </c>
      <c r="I899" s="8">
        <f>CHOOSE( CONTROL!$C$32, 30.3355, 30.3332) * CHOOSE(CONTROL!$C$15, $D$11, 100%, $F$11)</f>
        <v>30.3355</v>
      </c>
      <c r="J899" s="4">
        <f>CHOOSE( CONTROL!$C$32, 30.2092, 30.2069) * CHOOSE(CONTROL!$C$15, $D$11, 100%, $F$11)</f>
        <v>30.209199999999999</v>
      </c>
      <c r="K899" s="4"/>
      <c r="L899" s="9">
        <v>30.7165</v>
      </c>
      <c r="M899" s="9">
        <v>12.063700000000001</v>
      </c>
      <c r="N899" s="9">
        <v>4.9444999999999997</v>
      </c>
      <c r="O899" s="9">
        <v>0.37409999999999999</v>
      </c>
      <c r="P899" s="9">
        <v>1.2183999999999999</v>
      </c>
      <c r="Q899" s="9">
        <v>19.688099999999999</v>
      </c>
      <c r="R899" s="9"/>
      <c r="S899" s="11"/>
    </row>
    <row r="900" spans="1:19" ht="15.75">
      <c r="A900" s="13">
        <v>68911</v>
      </c>
      <c r="B900" s="8">
        <f>CHOOSE( CONTROL!$C$32, 29.0509, 29.0485) * CHOOSE(CONTROL!$C$15, $D$11, 100%, $F$11)</f>
        <v>29.050899999999999</v>
      </c>
      <c r="C900" s="8">
        <f>CHOOSE( CONTROL!$C$32, 29.0615, 29.0591) * CHOOSE(CONTROL!$C$15, $D$11, 100%, $F$11)</f>
        <v>29.061499999999999</v>
      </c>
      <c r="D900" s="8">
        <f>CHOOSE( CONTROL!$C$32, 29.0977, 29.0954) * CHOOSE( CONTROL!$C$15, $D$11, 100%, $F$11)</f>
        <v>29.0977</v>
      </c>
      <c r="E900" s="12">
        <f>CHOOSE( CONTROL!$C$32, 29.083, 29.0806) * CHOOSE( CONTROL!$C$15, $D$11, 100%, $F$11)</f>
        <v>29.082999999999998</v>
      </c>
      <c r="F900" s="4">
        <f>CHOOSE( CONTROL!$C$32, 29.7902, 29.7879) * CHOOSE(CONTROL!$C$15, $D$11, 100%, $F$11)</f>
        <v>29.790199999999999</v>
      </c>
      <c r="G900" s="8">
        <f>CHOOSE( CONTROL!$C$32, 28.3955, 28.3932) * CHOOSE( CONTROL!$C$15, $D$11, 100%, $F$11)</f>
        <v>28.395499999999998</v>
      </c>
      <c r="H900" s="4">
        <f>CHOOSE( CONTROL!$C$32, 29.36, 29.3577) * CHOOSE(CONTROL!$C$15, $D$11, 100%, $F$11)</f>
        <v>29.36</v>
      </c>
      <c r="I900" s="8">
        <f>CHOOSE( CONTROL!$C$32, 28.0028, 28.0005) * CHOOSE(CONTROL!$C$15, $D$11, 100%, $F$11)</f>
        <v>28.002800000000001</v>
      </c>
      <c r="J900" s="4">
        <f>CHOOSE( CONTROL!$C$32, 27.8774, 27.8751) * CHOOSE(CONTROL!$C$15, $D$11, 100%, $F$11)</f>
        <v>27.877400000000002</v>
      </c>
      <c r="K900" s="4"/>
      <c r="L900" s="9">
        <v>30.7165</v>
      </c>
      <c r="M900" s="9">
        <v>12.063700000000001</v>
      </c>
      <c r="N900" s="9">
        <v>4.9444999999999997</v>
      </c>
      <c r="O900" s="9">
        <v>0.37409999999999999</v>
      </c>
      <c r="P900" s="9">
        <v>1.2183999999999999</v>
      </c>
      <c r="Q900" s="9">
        <v>19.688099999999999</v>
      </c>
      <c r="R900" s="9"/>
      <c r="S900" s="11"/>
    </row>
    <row r="901" spans="1:19" ht="15.75">
      <c r="A901" s="13">
        <v>68941</v>
      </c>
      <c r="B901" s="8">
        <f>CHOOSE( CONTROL!$C$32, 28.4427, 28.4403) * CHOOSE(CONTROL!$C$15, $D$11, 100%, $F$11)</f>
        <v>28.442699999999999</v>
      </c>
      <c r="C901" s="8">
        <f>CHOOSE( CONTROL!$C$32, 28.4533, 28.4509) * CHOOSE(CONTROL!$C$15, $D$11, 100%, $F$11)</f>
        <v>28.453299999999999</v>
      </c>
      <c r="D901" s="8">
        <f>CHOOSE( CONTROL!$C$32, 28.4895, 28.4871) * CHOOSE( CONTROL!$C$15, $D$11, 100%, $F$11)</f>
        <v>28.4895</v>
      </c>
      <c r="E901" s="12">
        <f>CHOOSE( CONTROL!$C$32, 28.4748, 28.4724) * CHOOSE( CONTROL!$C$15, $D$11, 100%, $F$11)</f>
        <v>28.474799999999998</v>
      </c>
      <c r="F901" s="4">
        <f>CHOOSE( CONTROL!$C$32, 29.1821, 29.1797) * CHOOSE(CONTROL!$C$15, $D$11, 100%, $F$11)</f>
        <v>29.182099999999998</v>
      </c>
      <c r="G901" s="8">
        <f>CHOOSE( CONTROL!$C$32, 27.8008, 27.7985) * CHOOSE( CONTROL!$C$15, $D$11, 100%, $F$11)</f>
        <v>27.800799999999999</v>
      </c>
      <c r="H901" s="4">
        <f>CHOOSE( CONTROL!$C$32, 28.7654, 28.7631) * CHOOSE(CONTROL!$C$15, $D$11, 100%, $F$11)</f>
        <v>28.7654</v>
      </c>
      <c r="I901" s="8">
        <f>CHOOSE( CONTROL!$C$32, 27.4183, 27.416) * CHOOSE(CONTROL!$C$15, $D$11, 100%, $F$11)</f>
        <v>27.418299999999999</v>
      </c>
      <c r="J901" s="4">
        <f>CHOOSE( CONTROL!$C$32, 27.2935, 27.2912) * CHOOSE(CONTROL!$C$15, $D$11, 100%, $F$11)</f>
        <v>27.293500000000002</v>
      </c>
      <c r="K901" s="4"/>
      <c r="L901" s="9">
        <v>29.7257</v>
      </c>
      <c r="M901" s="9">
        <v>11.6745</v>
      </c>
      <c r="N901" s="9">
        <v>4.7850000000000001</v>
      </c>
      <c r="O901" s="9">
        <v>0.36199999999999999</v>
      </c>
      <c r="P901" s="9">
        <v>1.1791</v>
      </c>
      <c r="Q901" s="9">
        <v>19.053000000000001</v>
      </c>
      <c r="R901" s="9"/>
      <c r="S901" s="11"/>
    </row>
    <row r="902" spans="1:19" ht="15.75">
      <c r="A902" s="13">
        <v>68972</v>
      </c>
      <c r="B902" s="8">
        <f>29.7032 * CHOOSE(CONTROL!$C$15, $D$11, 100%, $F$11)</f>
        <v>29.703199999999999</v>
      </c>
      <c r="C902" s="8">
        <f>29.7139 * CHOOSE(CONTROL!$C$15, $D$11, 100%, $F$11)</f>
        <v>29.713899999999999</v>
      </c>
      <c r="D902" s="8">
        <f>29.7515 * CHOOSE( CONTROL!$C$15, $D$11, 100%, $F$11)</f>
        <v>29.7515</v>
      </c>
      <c r="E902" s="12">
        <f>29.7379 * CHOOSE( CONTROL!$C$15, $D$11, 100%, $F$11)</f>
        <v>29.7379</v>
      </c>
      <c r="F902" s="4">
        <f>30.4424 * CHOOSE(CONTROL!$C$15, $D$11, 100%, $F$11)</f>
        <v>30.442399999999999</v>
      </c>
      <c r="G902" s="8">
        <f>29.0328 * CHOOSE( CONTROL!$C$15, $D$11, 100%, $F$11)</f>
        <v>29.032800000000002</v>
      </c>
      <c r="H902" s="4">
        <f>29.9977 * CHOOSE(CONTROL!$C$15, $D$11, 100%, $F$11)</f>
        <v>29.997699999999998</v>
      </c>
      <c r="I902" s="8">
        <f>28.6297 * CHOOSE(CONTROL!$C$15, $D$11, 100%, $F$11)</f>
        <v>28.6297</v>
      </c>
      <c r="J902" s="4">
        <f>28.5036 * CHOOSE(CONTROL!$C$15, $D$11, 100%, $F$11)</f>
        <v>28.503599999999999</v>
      </c>
      <c r="K902" s="4"/>
      <c r="L902" s="9">
        <v>31.095300000000002</v>
      </c>
      <c r="M902" s="9">
        <v>12.063700000000001</v>
      </c>
      <c r="N902" s="9">
        <v>4.9444999999999997</v>
      </c>
      <c r="O902" s="9">
        <v>0.37409999999999999</v>
      </c>
      <c r="P902" s="9">
        <v>1.2183999999999999</v>
      </c>
      <c r="Q902" s="9">
        <v>19.688099999999999</v>
      </c>
      <c r="R902" s="9"/>
      <c r="S902" s="11"/>
    </row>
    <row r="903" spans="1:19" ht="15.75">
      <c r="A903" s="13">
        <v>69002</v>
      </c>
      <c r="B903" s="8">
        <f>32.034 * CHOOSE(CONTROL!$C$15, $D$11, 100%, $F$11)</f>
        <v>32.033999999999999</v>
      </c>
      <c r="C903" s="8">
        <f>32.0448 * CHOOSE(CONTROL!$C$15, $D$11, 100%, $F$11)</f>
        <v>32.044800000000002</v>
      </c>
      <c r="D903" s="8">
        <f>32.0275 * CHOOSE( CONTROL!$C$15, $D$11, 100%, $F$11)</f>
        <v>32.027500000000003</v>
      </c>
      <c r="E903" s="12">
        <f>32.0327 * CHOOSE( CONTROL!$C$15, $D$11, 100%, $F$11)</f>
        <v>32.032699999999998</v>
      </c>
      <c r="F903" s="4">
        <f>32.6925 * CHOOSE(CONTROL!$C$15, $D$11, 100%, $F$11)</f>
        <v>32.692500000000003</v>
      </c>
      <c r="G903" s="8">
        <f>31.3183 * CHOOSE( CONTROL!$C$15, $D$11, 100%, $F$11)</f>
        <v>31.318300000000001</v>
      </c>
      <c r="H903" s="4">
        <f>32.1976 * CHOOSE(CONTROL!$C$15, $D$11, 100%, $F$11)</f>
        <v>32.197600000000001</v>
      </c>
      <c r="I903" s="8">
        <f>30.9058 * CHOOSE(CONTROL!$C$15, $D$11, 100%, $F$11)</f>
        <v>30.905799999999999</v>
      </c>
      <c r="J903" s="4">
        <f>30.7414 * CHOOSE(CONTROL!$C$15, $D$11, 100%, $F$11)</f>
        <v>30.741399999999999</v>
      </c>
      <c r="K903" s="4"/>
      <c r="L903" s="9">
        <v>28.360600000000002</v>
      </c>
      <c r="M903" s="9">
        <v>11.6745</v>
      </c>
      <c r="N903" s="9">
        <v>4.7850000000000001</v>
      </c>
      <c r="O903" s="9">
        <v>0.36199999999999999</v>
      </c>
      <c r="P903" s="9">
        <v>1.2509999999999999</v>
      </c>
      <c r="Q903" s="9">
        <v>19.053000000000001</v>
      </c>
      <c r="R903" s="9"/>
      <c r="S903" s="11"/>
    </row>
    <row r="904" spans="1:19" ht="15.75">
      <c r="A904" s="13">
        <v>69033</v>
      </c>
      <c r="B904" s="8">
        <f>31.9758 * CHOOSE(CONTROL!$C$15, $D$11, 100%, $F$11)</f>
        <v>31.9758</v>
      </c>
      <c r="C904" s="8">
        <f>31.9865 * CHOOSE(CONTROL!$C$15, $D$11, 100%, $F$11)</f>
        <v>31.986499999999999</v>
      </c>
      <c r="D904" s="8">
        <f>31.971 * CHOOSE( CONTROL!$C$15, $D$11, 100%, $F$11)</f>
        <v>31.971</v>
      </c>
      <c r="E904" s="12">
        <f>31.9755 * CHOOSE( CONTROL!$C$15, $D$11, 100%, $F$11)</f>
        <v>31.9755</v>
      </c>
      <c r="F904" s="4">
        <f>32.6343 * CHOOSE(CONTROL!$C$15, $D$11, 100%, $F$11)</f>
        <v>32.634300000000003</v>
      </c>
      <c r="G904" s="8">
        <f>31.2626 * CHOOSE( CONTROL!$C$15, $D$11, 100%, $F$11)</f>
        <v>31.262599999999999</v>
      </c>
      <c r="H904" s="4">
        <f>32.1406 * CHOOSE(CONTROL!$C$15, $D$11, 100%, $F$11)</f>
        <v>32.140599999999999</v>
      </c>
      <c r="I904" s="8">
        <f>30.855 * CHOOSE(CONTROL!$C$15, $D$11, 100%, $F$11)</f>
        <v>30.855</v>
      </c>
      <c r="J904" s="4">
        <f>30.6855 * CHOOSE(CONTROL!$C$15, $D$11, 100%, $F$11)</f>
        <v>30.685500000000001</v>
      </c>
      <c r="K904" s="4"/>
      <c r="L904" s="9">
        <v>29.306000000000001</v>
      </c>
      <c r="M904" s="9">
        <v>12.063700000000001</v>
      </c>
      <c r="N904" s="9">
        <v>4.9444999999999997</v>
      </c>
      <c r="O904" s="9">
        <v>0.37409999999999999</v>
      </c>
      <c r="P904" s="9">
        <v>1.2927</v>
      </c>
      <c r="Q904" s="9">
        <v>19.688099999999999</v>
      </c>
      <c r="R904" s="9"/>
      <c r="S904" s="11"/>
    </row>
    <row r="905" spans="1:19" ht="15.75">
      <c r="A905" s="13">
        <v>69064</v>
      </c>
      <c r="B905" s="8">
        <f>32.9185 * CHOOSE(CONTROL!$C$15, $D$11, 100%, $F$11)</f>
        <v>32.918500000000002</v>
      </c>
      <c r="C905" s="8">
        <f>32.9293 * CHOOSE(CONTROL!$C$15, $D$11, 100%, $F$11)</f>
        <v>32.929299999999998</v>
      </c>
      <c r="D905" s="8">
        <f>32.9107 * CHOOSE( CONTROL!$C$15, $D$11, 100%, $F$11)</f>
        <v>32.910699999999999</v>
      </c>
      <c r="E905" s="12">
        <f>32.9164 * CHOOSE( CONTROL!$C$15, $D$11, 100%, $F$11)</f>
        <v>32.916400000000003</v>
      </c>
      <c r="F905" s="4">
        <f>33.577 * CHOOSE(CONTROL!$C$15, $D$11, 100%, $F$11)</f>
        <v>33.576999999999998</v>
      </c>
      <c r="G905" s="8">
        <f>32.1768 * CHOOSE( CONTROL!$C$15, $D$11, 100%, $F$11)</f>
        <v>32.1768</v>
      </c>
      <c r="H905" s="4">
        <f>33.0623 * CHOOSE(CONTROL!$C$15, $D$11, 100%, $F$11)</f>
        <v>33.0623</v>
      </c>
      <c r="I905" s="8">
        <f>31.7255 * CHOOSE(CONTROL!$C$15, $D$11, 100%, $F$11)</f>
        <v>31.7255</v>
      </c>
      <c r="J905" s="4">
        <f>31.5906 * CHOOSE(CONTROL!$C$15, $D$11, 100%, $F$11)</f>
        <v>31.590599999999998</v>
      </c>
      <c r="K905" s="4"/>
      <c r="L905" s="9">
        <v>29.306000000000001</v>
      </c>
      <c r="M905" s="9">
        <v>12.063700000000001</v>
      </c>
      <c r="N905" s="9">
        <v>4.9444999999999997</v>
      </c>
      <c r="O905" s="9">
        <v>0.37409999999999999</v>
      </c>
      <c r="P905" s="9">
        <v>1.2927</v>
      </c>
      <c r="Q905" s="9">
        <v>19.688099999999999</v>
      </c>
      <c r="R905" s="9"/>
      <c r="S905" s="11"/>
    </row>
    <row r="906" spans="1:19" ht="15.75">
      <c r="A906" s="13">
        <v>69092</v>
      </c>
      <c r="B906" s="8">
        <f>30.7914 * CHOOSE(CONTROL!$C$15, $D$11, 100%, $F$11)</f>
        <v>30.791399999999999</v>
      </c>
      <c r="C906" s="8">
        <f>30.8021 * CHOOSE(CONTROL!$C$15, $D$11, 100%, $F$11)</f>
        <v>30.802099999999999</v>
      </c>
      <c r="D906" s="8">
        <f>30.7834 * CHOOSE( CONTROL!$C$15, $D$11, 100%, $F$11)</f>
        <v>30.7834</v>
      </c>
      <c r="E906" s="12">
        <f>30.7891 * CHOOSE( CONTROL!$C$15, $D$11, 100%, $F$11)</f>
        <v>30.789100000000001</v>
      </c>
      <c r="F906" s="4">
        <f>31.4499 * CHOOSE(CONTROL!$C$15, $D$11, 100%, $F$11)</f>
        <v>31.4499</v>
      </c>
      <c r="G906" s="8">
        <f>30.097 * CHOOSE( CONTROL!$C$15, $D$11, 100%, $F$11)</f>
        <v>30.097000000000001</v>
      </c>
      <c r="H906" s="4">
        <f>30.9826 * CHOOSE(CONTROL!$C$15, $D$11, 100%, $F$11)</f>
        <v>30.982600000000001</v>
      </c>
      <c r="I906" s="8">
        <f>29.6819 * CHOOSE(CONTROL!$C$15, $D$11, 100%, $F$11)</f>
        <v>29.681899999999999</v>
      </c>
      <c r="J906" s="4">
        <f>29.5483 * CHOOSE(CONTROL!$C$15, $D$11, 100%, $F$11)</f>
        <v>29.548300000000001</v>
      </c>
      <c r="K906" s="4"/>
      <c r="L906" s="9">
        <v>26.469899999999999</v>
      </c>
      <c r="M906" s="9">
        <v>10.8962</v>
      </c>
      <c r="N906" s="9">
        <v>4.4660000000000002</v>
      </c>
      <c r="O906" s="9">
        <v>0.33789999999999998</v>
      </c>
      <c r="P906" s="9">
        <v>1.1676</v>
      </c>
      <c r="Q906" s="9">
        <v>17.782800000000002</v>
      </c>
      <c r="R906" s="9"/>
      <c r="S906" s="11"/>
    </row>
    <row r="907" spans="1:19" ht="15.75">
      <c r="A907" s="13">
        <v>69123</v>
      </c>
      <c r="B907" s="8">
        <f>30.1362 * CHOOSE(CONTROL!$C$15, $D$11, 100%, $F$11)</f>
        <v>30.136199999999999</v>
      </c>
      <c r="C907" s="8">
        <f>30.147 * CHOOSE(CONTROL!$C$15, $D$11, 100%, $F$11)</f>
        <v>30.146999999999998</v>
      </c>
      <c r="D907" s="8">
        <f>30.1278 * CHOOSE( CONTROL!$C$15, $D$11, 100%, $F$11)</f>
        <v>30.127800000000001</v>
      </c>
      <c r="E907" s="12">
        <f>30.1337 * CHOOSE( CONTROL!$C$15, $D$11, 100%, $F$11)</f>
        <v>30.133700000000001</v>
      </c>
      <c r="F907" s="4">
        <f>30.7947 * CHOOSE(CONTROL!$C$15, $D$11, 100%, $F$11)</f>
        <v>30.794699999999999</v>
      </c>
      <c r="G907" s="8">
        <f>29.4561 * CHOOSE( CONTROL!$C$15, $D$11, 100%, $F$11)</f>
        <v>29.456099999999999</v>
      </c>
      <c r="H907" s="4">
        <f>30.3421 * CHOOSE(CONTROL!$C$15, $D$11, 100%, $F$11)</f>
        <v>30.342099999999999</v>
      </c>
      <c r="I907" s="8">
        <f>29.0511 * CHOOSE(CONTROL!$C$15, $D$11, 100%, $F$11)</f>
        <v>29.051100000000002</v>
      </c>
      <c r="J907" s="4">
        <f>28.9193 * CHOOSE(CONTROL!$C$15, $D$11, 100%, $F$11)</f>
        <v>28.9193</v>
      </c>
      <c r="K907" s="4"/>
      <c r="L907" s="9">
        <v>29.306000000000001</v>
      </c>
      <c r="M907" s="9">
        <v>12.063700000000001</v>
      </c>
      <c r="N907" s="9">
        <v>4.9444999999999997</v>
      </c>
      <c r="O907" s="9">
        <v>0.37409999999999999</v>
      </c>
      <c r="P907" s="9">
        <v>1.2927</v>
      </c>
      <c r="Q907" s="9">
        <v>19.688099999999999</v>
      </c>
      <c r="R907" s="9"/>
      <c r="S907" s="11"/>
    </row>
    <row r="908" spans="1:19" ht="15.75">
      <c r="A908" s="13">
        <v>69153</v>
      </c>
      <c r="B908" s="8">
        <f>30.594 * CHOOSE(CONTROL!$C$15, $D$11, 100%, $F$11)</f>
        <v>30.594000000000001</v>
      </c>
      <c r="C908" s="8">
        <f>30.6048 * CHOOSE(CONTROL!$C$15, $D$11, 100%, $F$11)</f>
        <v>30.604800000000001</v>
      </c>
      <c r="D908" s="8">
        <f>30.6417 * CHOOSE( CONTROL!$C$15, $D$11, 100%, $F$11)</f>
        <v>30.6417</v>
      </c>
      <c r="E908" s="12">
        <f>30.6283 * CHOOSE( CONTROL!$C$15, $D$11, 100%, $F$11)</f>
        <v>30.628299999999999</v>
      </c>
      <c r="F908" s="4">
        <f>31.3332 * CHOOSE(CONTROL!$C$15, $D$11, 100%, $F$11)</f>
        <v>31.333200000000001</v>
      </c>
      <c r="G908" s="8">
        <f>29.9029 * CHOOSE( CONTROL!$C$15, $D$11, 100%, $F$11)</f>
        <v>29.902899999999999</v>
      </c>
      <c r="H908" s="4">
        <f>30.8686 * CHOOSE(CONTROL!$C$15, $D$11, 100%, $F$11)</f>
        <v>30.868600000000001</v>
      </c>
      <c r="I908" s="8">
        <f>29.4827 * CHOOSE(CONTROL!$C$15, $D$11, 100%, $F$11)</f>
        <v>29.482700000000001</v>
      </c>
      <c r="J908" s="4">
        <f>29.3589 * CHOOSE(CONTROL!$C$15, $D$11, 100%, $F$11)</f>
        <v>29.358899999999998</v>
      </c>
      <c r="K908" s="4"/>
      <c r="L908" s="9">
        <v>30.092199999999998</v>
      </c>
      <c r="M908" s="9">
        <v>11.6745</v>
      </c>
      <c r="N908" s="9">
        <v>4.7850000000000001</v>
      </c>
      <c r="O908" s="9">
        <v>0.36199999999999999</v>
      </c>
      <c r="P908" s="9">
        <v>1.1791</v>
      </c>
      <c r="Q908" s="9">
        <v>19.053000000000001</v>
      </c>
      <c r="R908" s="9"/>
      <c r="S908" s="11"/>
    </row>
    <row r="909" spans="1:19" ht="15.75">
      <c r="A909" s="13">
        <v>69184</v>
      </c>
      <c r="B909" s="8">
        <f>CHOOSE( CONTROL!$C$32, 31.4111, 31.4087) * CHOOSE(CONTROL!$C$15, $D$11, 100%, $F$11)</f>
        <v>31.411100000000001</v>
      </c>
      <c r="C909" s="8">
        <f>CHOOSE( CONTROL!$C$32, 31.4216, 31.4192) * CHOOSE(CONTROL!$C$15, $D$11, 100%, $F$11)</f>
        <v>31.421600000000002</v>
      </c>
      <c r="D909" s="8">
        <f>CHOOSE( CONTROL!$C$32, 31.4575, 31.4551) * CHOOSE( CONTROL!$C$15, $D$11, 100%, $F$11)</f>
        <v>31.4575</v>
      </c>
      <c r="E909" s="12">
        <f>CHOOSE( CONTROL!$C$32, 31.4429, 31.4405) * CHOOSE( CONTROL!$C$15, $D$11, 100%, $F$11)</f>
        <v>31.442900000000002</v>
      </c>
      <c r="F909" s="4">
        <f>CHOOSE( CONTROL!$C$32, 32.1504, 32.148) * CHOOSE(CONTROL!$C$15, $D$11, 100%, $F$11)</f>
        <v>32.150399999999998</v>
      </c>
      <c r="G909" s="8">
        <f>CHOOSE( CONTROL!$C$32, 30.7024, 30.7) * CHOOSE( CONTROL!$C$15, $D$11, 100%, $F$11)</f>
        <v>30.702400000000001</v>
      </c>
      <c r="H909" s="4">
        <f>CHOOSE( CONTROL!$C$32, 31.6676, 31.6652) * CHOOSE(CONTROL!$C$15, $D$11, 100%, $F$11)</f>
        <v>31.6676</v>
      </c>
      <c r="I909" s="8">
        <f>CHOOSE( CONTROL!$C$32, 30.2678, 30.2655) * CHOOSE(CONTROL!$C$15, $D$11, 100%, $F$11)</f>
        <v>30.267800000000001</v>
      </c>
      <c r="J909" s="4">
        <f>CHOOSE( CONTROL!$C$32, 30.1434, 30.1411) * CHOOSE(CONTROL!$C$15, $D$11, 100%, $F$11)</f>
        <v>30.1434</v>
      </c>
      <c r="K909" s="4"/>
      <c r="L909" s="9">
        <v>30.7165</v>
      </c>
      <c r="M909" s="9">
        <v>12.063700000000001</v>
      </c>
      <c r="N909" s="9">
        <v>4.9444999999999997</v>
      </c>
      <c r="O909" s="9">
        <v>0.37409999999999999</v>
      </c>
      <c r="P909" s="9">
        <v>1.2183999999999999</v>
      </c>
      <c r="Q909" s="9">
        <v>19.688099999999999</v>
      </c>
      <c r="R909" s="9"/>
      <c r="S909" s="11"/>
    </row>
    <row r="910" spans="1:19" ht="15.75">
      <c r="A910" s="13">
        <v>69214</v>
      </c>
      <c r="B910" s="8">
        <f>CHOOSE( CONTROL!$C$32, 30.9063, 30.9039) * CHOOSE(CONTROL!$C$15, $D$11, 100%, $F$11)</f>
        <v>30.906300000000002</v>
      </c>
      <c r="C910" s="8">
        <f>CHOOSE( CONTROL!$C$32, 30.9169, 30.9145) * CHOOSE(CONTROL!$C$15, $D$11, 100%, $F$11)</f>
        <v>30.916899999999998</v>
      </c>
      <c r="D910" s="8">
        <f>CHOOSE( CONTROL!$C$32, 30.9529, 30.9505) * CHOOSE( CONTROL!$C$15, $D$11, 100%, $F$11)</f>
        <v>30.9529</v>
      </c>
      <c r="E910" s="12">
        <f>CHOOSE( CONTROL!$C$32, 30.9382, 30.9358) * CHOOSE( CONTROL!$C$15, $D$11, 100%, $F$11)</f>
        <v>30.938199999999998</v>
      </c>
      <c r="F910" s="4">
        <f>CHOOSE( CONTROL!$C$32, 31.6457, 31.6433) * CHOOSE(CONTROL!$C$15, $D$11, 100%, $F$11)</f>
        <v>31.645700000000001</v>
      </c>
      <c r="G910" s="8">
        <f>CHOOSE( CONTROL!$C$32, 30.2092, 30.2068) * CHOOSE( CONTROL!$C$15, $D$11, 100%, $F$11)</f>
        <v>30.209199999999999</v>
      </c>
      <c r="H910" s="4">
        <f>CHOOSE( CONTROL!$C$32, 31.1741, 31.1717) * CHOOSE(CONTROL!$C$15, $D$11, 100%, $F$11)</f>
        <v>31.174099999999999</v>
      </c>
      <c r="I910" s="8">
        <f>CHOOSE( CONTROL!$C$32, 29.7838, 29.7815) * CHOOSE(CONTROL!$C$15, $D$11, 100%, $F$11)</f>
        <v>29.783799999999999</v>
      </c>
      <c r="J910" s="4">
        <f>CHOOSE( CONTROL!$C$32, 29.6588, 29.6565) * CHOOSE(CONTROL!$C$15, $D$11, 100%, $F$11)</f>
        <v>29.658799999999999</v>
      </c>
      <c r="K910" s="4"/>
      <c r="L910" s="9">
        <v>29.7257</v>
      </c>
      <c r="M910" s="9">
        <v>11.6745</v>
      </c>
      <c r="N910" s="9">
        <v>4.7850000000000001</v>
      </c>
      <c r="O910" s="9">
        <v>0.36199999999999999</v>
      </c>
      <c r="P910" s="9">
        <v>1.1791</v>
      </c>
      <c r="Q910" s="9">
        <v>19.053000000000001</v>
      </c>
      <c r="R910" s="9"/>
      <c r="S910" s="11"/>
    </row>
    <row r="911" spans="1:19" ht="15.75">
      <c r="A911" s="13">
        <v>69245</v>
      </c>
      <c r="B911" s="8">
        <f>CHOOSE( CONTROL!$C$32, 32.2355, 32.2331) * CHOOSE(CONTROL!$C$15, $D$11, 100%, $F$11)</f>
        <v>32.235500000000002</v>
      </c>
      <c r="C911" s="8">
        <f>CHOOSE( CONTROL!$C$32, 32.2461, 32.2437) * CHOOSE(CONTROL!$C$15, $D$11, 100%, $F$11)</f>
        <v>32.246099999999998</v>
      </c>
      <c r="D911" s="8">
        <f>CHOOSE( CONTROL!$C$32, 32.2823, 32.2799) * CHOOSE( CONTROL!$C$15, $D$11, 100%, $F$11)</f>
        <v>32.282299999999999</v>
      </c>
      <c r="E911" s="12">
        <f>CHOOSE( CONTROL!$C$32, 32.2676, 32.2652) * CHOOSE( CONTROL!$C$15, $D$11, 100%, $F$11)</f>
        <v>32.267600000000002</v>
      </c>
      <c r="F911" s="4">
        <f>CHOOSE( CONTROL!$C$32, 32.9749, 32.9725) * CHOOSE(CONTROL!$C$15, $D$11, 100%, $F$11)</f>
        <v>32.974899999999998</v>
      </c>
      <c r="G911" s="8">
        <f>CHOOSE( CONTROL!$C$32, 31.509, 31.5067) * CHOOSE( CONTROL!$C$15, $D$11, 100%, $F$11)</f>
        <v>31.509</v>
      </c>
      <c r="H911" s="4">
        <f>CHOOSE( CONTROL!$C$32, 32.4736, 32.4713) * CHOOSE(CONTROL!$C$15, $D$11, 100%, $F$11)</f>
        <v>32.473599999999998</v>
      </c>
      <c r="I911" s="8">
        <f>CHOOSE( CONTROL!$C$32, 31.0616, 31.0593) * CHOOSE(CONTROL!$C$15, $D$11, 100%, $F$11)</f>
        <v>31.061599999999999</v>
      </c>
      <c r="J911" s="4">
        <f>CHOOSE( CONTROL!$C$32, 30.935, 30.9327) * CHOOSE(CONTROL!$C$15, $D$11, 100%, $F$11)</f>
        <v>30.934999999999999</v>
      </c>
      <c r="K911" s="4"/>
      <c r="L911" s="9">
        <v>30.7165</v>
      </c>
      <c r="M911" s="9">
        <v>12.063700000000001</v>
      </c>
      <c r="N911" s="9">
        <v>4.9444999999999997</v>
      </c>
      <c r="O911" s="9">
        <v>0.37409999999999999</v>
      </c>
      <c r="P911" s="9">
        <v>1.2183999999999999</v>
      </c>
      <c r="Q911" s="9">
        <v>19.688099999999999</v>
      </c>
      <c r="R911" s="9"/>
      <c r="S911" s="11"/>
    </row>
    <row r="912" spans="1:19" ht="15.75">
      <c r="A912" s="13">
        <v>69276</v>
      </c>
      <c r="B912" s="8">
        <f>CHOOSE( CONTROL!$C$32, 29.7485, 29.7461) * CHOOSE(CONTROL!$C$15, $D$11, 100%, $F$11)</f>
        <v>29.7485</v>
      </c>
      <c r="C912" s="8">
        <f>CHOOSE( CONTROL!$C$32, 29.7591, 29.7567) * CHOOSE(CONTROL!$C$15, $D$11, 100%, $F$11)</f>
        <v>29.7591</v>
      </c>
      <c r="D912" s="8">
        <f>CHOOSE( CONTROL!$C$32, 29.7953, 29.793) * CHOOSE( CONTROL!$C$15, $D$11, 100%, $F$11)</f>
        <v>29.795300000000001</v>
      </c>
      <c r="E912" s="12">
        <f>CHOOSE( CONTROL!$C$32, 29.7806, 29.7782) * CHOOSE( CONTROL!$C$15, $D$11, 100%, $F$11)</f>
        <v>29.7806</v>
      </c>
      <c r="F912" s="4">
        <f>CHOOSE( CONTROL!$C$32, 30.4878, 30.4855) * CHOOSE(CONTROL!$C$15, $D$11, 100%, $F$11)</f>
        <v>30.4878</v>
      </c>
      <c r="G912" s="8">
        <f>CHOOSE( CONTROL!$C$32, 29.0776, 29.0752) * CHOOSE( CONTROL!$C$15, $D$11, 100%, $F$11)</f>
        <v>29.0776</v>
      </c>
      <c r="H912" s="4">
        <f>CHOOSE( CONTROL!$C$32, 30.0421, 30.0397) * CHOOSE(CONTROL!$C$15, $D$11, 100%, $F$11)</f>
        <v>30.042100000000001</v>
      </c>
      <c r="I912" s="8">
        <f>CHOOSE( CONTROL!$C$32, 28.6729, 28.6706) * CHOOSE(CONTROL!$C$15, $D$11, 100%, $F$11)</f>
        <v>28.672899999999998</v>
      </c>
      <c r="J912" s="4">
        <f>CHOOSE( CONTROL!$C$32, 28.5472, 28.5449) * CHOOSE(CONTROL!$C$15, $D$11, 100%, $F$11)</f>
        <v>28.5472</v>
      </c>
      <c r="K912" s="4"/>
      <c r="L912" s="9">
        <v>30.7165</v>
      </c>
      <c r="M912" s="9">
        <v>12.063700000000001</v>
      </c>
      <c r="N912" s="9">
        <v>4.9444999999999997</v>
      </c>
      <c r="O912" s="9">
        <v>0.37409999999999999</v>
      </c>
      <c r="P912" s="9">
        <v>1.2183999999999999</v>
      </c>
      <c r="Q912" s="9">
        <v>19.688099999999999</v>
      </c>
      <c r="R912" s="9"/>
      <c r="S912" s="11"/>
    </row>
    <row r="913" spans="1:19" ht="15.75">
      <c r="A913" s="13">
        <v>69306</v>
      </c>
      <c r="B913" s="8">
        <f>CHOOSE( CONTROL!$C$32, 29.1257, 29.1233) * CHOOSE(CONTROL!$C$15, $D$11, 100%, $F$11)</f>
        <v>29.125699999999998</v>
      </c>
      <c r="C913" s="8">
        <f>CHOOSE( CONTROL!$C$32, 29.1363, 29.1339) * CHOOSE(CONTROL!$C$15, $D$11, 100%, $F$11)</f>
        <v>29.136299999999999</v>
      </c>
      <c r="D913" s="8">
        <f>CHOOSE( CONTROL!$C$32, 29.1725, 29.1701) * CHOOSE( CONTROL!$C$15, $D$11, 100%, $F$11)</f>
        <v>29.172499999999999</v>
      </c>
      <c r="E913" s="12">
        <f>CHOOSE( CONTROL!$C$32, 29.1578, 29.1554) * CHOOSE( CONTROL!$C$15, $D$11, 100%, $F$11)</f>
        <v>29.157800000000002</v>
      </c>
      <c r="F913" s="4">
        <f>CHOOSE( CONTROL!$C$32, 29.8651, 29.8627) * CHOOSE(CONTROL!$C$15, $D$11, 100%, $F$11)</f>
        <v>29.865100000000002</v>
      </c>
      <c r="G913" s="8">
        <f>CHOOSE( CONTROL!$C$32, 28.4686, 28.4662) * CHOOSE( CONTROL!$C$15, $D$11, 100%, $F$11)</f>
        <v>28.468599999999999</v>
      </c>
      <c r="H913" s="4">
        <f>CHOOSE( CONTROL!$C$32, 29.4332, 29.4308) * CHOOSE(CONTROL!$C$15, $D$11, 100%, $F$11)</f>
        <v>29.433199999999999</v>
      </c>
      <c r="I913" s="8">
        <f>CHOOSE( CONTROL!$C$32, 28.0744, 28.0721) * CHOOSE(CONTROL!$C$15, $D$11, 100%, $F$11)</f>
        <v>28.074400000000001</v>
      </c>
      <c r="J913" s="4">
        <f>CHOOSE( CONTROL!$C$32, 27.9493, 27.947) * CHOOSE(CONTROL!$C$15, $D$11, 100%, $F$11)</f>
        <v>27.949300000000001</v>
      </c>
      <c r="K913" s="4"/>
      <c r="L913" s="9">
        <v>29.7257</v>
      </c>
      <c r="M913" s="9">
        <v>11.6745</v>
      </c>
      <c r="N913" s="9">
        <v>4.7850000000000001</v>
      </c>
      <c r="O913" s="9">
        <v>0.36199999999999999</v>
      </c>
      <c r="P913" s="9">
        <v>1.1791</v>
      </c>
      <c r="Q913" s="9">
        <v>19.053000000000001</v>
      </c>
      <c r="R913" s="9"/>
      <c r="S913" s="11"/>
    </row>
    <row r="914" spans="1:19" ht="15.75">
      <c r="A914" s="13">
        <v>69337</v>
      </c>
      <c r="B914" s="8">
        <f>30.4165 * CHOOSE(CONTROL!$C$15, $D$11, 100%, $F$11)</f>
        <v>30.416499999999999</v>
      </c>
      <c r="C914" s="8">
        <f>30.4273 * CHOOSE(CONTROL!$C$15, $D$11, 100%, $F$11)</f>
        <v>30.427299999999999</v>
      </c>
      <c r="D914" s="8">
        <f>30.4648 * CHOOSE( CONTROL!$C$15, $D$11, 100%, $F$11)</f>
        <v>30.4648</v>
      </c>
      <c r="E914" s="12">
        <f>30.4513 * CHOOSE( CONTROL!$C$15, $D$11, 100%, $F$11)</f>
        <v>30.4513</v>
      </c>
      <c r="F914" s="4">
        <f>31.1558 * CHOOSE(CONTROL!$C$15, $D$11, 100%, $F$11)</f>
        <v>31.155799999999999</v>
      </c>
      <c r="G914" s="8">
        <f>29.7303 * CHOOSE( CONTROL!$C$15, $D$11, 100%, $F$11)</f>
        <v>29.7303</v>
      </c>
      <c r="H914" s="4">
        <f>30.6951 * CHOOSE(CONTROL!$C$15, $D$11, 100%, $F$11)</f>
        <v>30.6951</v>
      </c>
      <c r="I914" s="8">
        <f>29.3149 * CHOOSE(CONTROL!$C$15, $D$11, 100%, $F$11)</f>
        <v>29.314900000000002</v>
      </c>
      <c r="J914" s="4">
        <f>29.1885 * CHOOSE(CONTROL!$C$15, $D$11, 100%, $F$11)</f>
        <v>29.188500000000001</v>
      </c>
      <c r="K914" s="4"/>
      <c r="L914" s="9">
        <v>31.095300000000002</v>
      </c>
      <c r="M914" s="9">
        <v>12.063700000000001</v>
      </c>
      <c r="N914" s="9">
        <v>4.9444999999999997</v>
      </c>
      <c r="O914" s="9">
        <v>0.37409999999999999</v>
      </c>
      <c r="P914" s="9">
        <v>1.2183999999999999</v>
      </c>
      <c r="Q914" s="9">
        <v>19.688099999999999</v>
      </c>
      <c r="R914" s="9"/>
      <c r="S914" s="11"/>
    </row>
    <row r="915" spans="1:19" ht="15.75">
      <c r="A915" s="13">
        <v>69367</v>
      </c>
      <c r="B915" s="8">
        <f>32.8033 * CHOOSE(CONTROL!$C$15, $D$11, 100%, $F$11)</f>
        <v>32.8033</v>
      </c>
      <c r="C915" s="8">
        <f>32.8141 * CHOOSE(CONTROL!$C$15, $D$11, 100%, $F$11)</f>
        <v>32.814100000000003</v>
      </c>
      <c r="D915" s="8">
        <f>32.7969 * CHOOSE( CONTROL!$C$15, $D$11, 100%, $F$11)</f>
        <v>32.796900000000001</v>
      </c>
      <c r="E915" s="12">
        <f>32.802 * CHOOSE( CONTROL!$C$15, $D$11, 100%, $F$11)</f>
        <v>32.802</v>
      </c>
      <c r="F915" s="4">
        <f>33.4618 * CHOOSE(CONTROL!$C$15, $D$11, 100%, $F$11)</f>
        <v>33.461799999999997</v>
      </c>
      <c r="G915" s="8">
        <f>32.0705 * CHOOSE( CONTROL!$C$15, $D$11, 100%, $F$11)</f>
        <v>32.070500000000003</v>
      </c>
      <c r="H915" s="4">
        <f>32.9497 * CHOOSE(CONTROL!$C$15, $D$11, 100%, $F$11)</f>
        <v>32.9497</v>
      </c>
      <c r="I915" s="8">
        <f>31.6448 * CHOOSE(CONTROL!$C$15, $D$11, 100%, $F$11)</f>
        <v>31.6448</v>
      </c>
      <c r="J915" s="4">
        <f>31.48 * CHOOSE(CONTROL!$C$15, $D$11, 100%, $F$11)</f>
        <v>31.48</v>
      </c>
      <c r="K915" s="4"/>
      <c r="L915" s="9">
        <v>28.360600000000002</v>
      </c>
      <c r="M915" s="9">
        <v>11.6745</v>
      </c>
      <c r="N915" s="9">
        <v>4.7850000000000001</v>
      </c>
      <c r="O915" s="9">
        <v>0.36199999999999999</v>
      </c>
      <c r="P915" s="9">
        <v>1.2509999999999999</v>
      </c>
      <c r="Q915" s="9">
        <v>19.053000000000001</v>
      </c>
      <c r="R915" s="9"/>
      <c r="S915" s="11"/>
    </row>
    <row r="916" spans="1:19" ht="15.75">
      <c r="A916" s="13">
        <v>69398</v>
      </c>
      <c r="B916" s="8">
        <f>32.7437 * CHOOSE(CONTROL!$C$15, $D$11, 100%, $F$11)</f>
        <v>32.743699999999997</v>
      </c>
      <c r="C916" s="8">
        <f>32.7545 * CHOOSE(CONTROL!$C$15, $D$11, 100%, $F$11)</f>
        <v>32.7545</v>
      </c>
      <c r="D916" s="8">
        <f>32.7389 * CHOOSE( CONTROL!$C$15, $D$11, 100%, $F$11)</f>
        <v>32.738900000000001</v>
      </c>
      <c r="E916" s="12">
        <f>32.7435 * CHOOSE( CONTROL!$C$15, $D$11, 100%, $F$11)</f>
        <v>32.743499999999997</v>
      </c>
      <c r="F916" s="4">
        <f>33.4022 * CHOOSE(CONTROL!$C$15, $D$11, 100%, $F$11)</f>
        <v>33.402200000000001</v>
      </c>
      <c r="G916" s="8">
        <f>32.0134 * CHOOSE( CONTROL!$C$15, $D$11, 100%, $F$11)</f>
        <v>32.013399999999997</v>
      </c>
      <c r="H916" s="4">
        <f>32.8914 * CHOOSE(CONTROL!$C$15, $D$11, 100%, $F$11)</f>
        <v>32.891399999999997</v>
      </c>
      <c r="I916" s="8">
        <f>31.5927 * CHOOSE(CONTROL!$C$15, $D$11, 100%, $F$11)</f>
        <v>31.592700000000001</v>
      </c>
      <c r="J916" s="4">
        <f>31.4228 * CHOOSE(CONTROL!$C$15, $D$11, 100%, $F$11)</f>
        <v>31.422799999999999</v>
      </c>
      <c r="K916" s="4"/>
      <c r="L916" s="9">
        <v>29.306000000000001</v>
      </c>
      <c r="M916" s="9">
        <v>12.063700000000001</v>
      </c>
      <c r="N916" s="9">
        <v>4.9444999999999997</v>
      </c>
      <c r="O916" s="9">
        <v>0.37409999999999999</v>
      </c>
      <c r="P916" s="9">
        <v>1.2927</v>
      </c>
      <c r="Q916" s="9">
        <v>19.688099999999999</v>
      </c>
      <c r="R916" s="9"/>
      <c r="S916" s="11"/>
    </row>
    <row r="917" spans="1:19" ht="15.75">
      <c r="A917" s="13">
        <v>69429</v>
      </c>
      <c r="B917" s="8">
        <f>33.7091 * CHOOSE(CONTROL!$C$15, $D$11, 100%, $F$11)</f>
        <v>33.709099999999999</v>
      </c>
      <c r="C917" s="8">
        <f>33.7199 * CHOOSE(CONTROL!$C$15, $D$11, 100%, $F$11)</f>
        <v>33.719900000000003</v>
      </c>
      <c r="D917" s="8">
        <f>33.7013 * CHOOSE( CONTROL!$C$15, $D$11, 100%, $F$11)</f>
        <v>33.701300000000003</v>
      </c>
      <c r="E917" s="12">
        <f>33.707 * CHOOSE( CONTROL!$C$15, $D$11, 100%, $F$11)</f>
        <v>33.707000000000001</v>
      </c>
      <c r="F917" s="4">
        <f>34.3676 * CHOOSE(CONTROL!$C$15, $D$11, 100%, $F$11)</f>
        <v>34.367600000000003</v>
      </c>
      <c r="G917" s="8">
        <f>32.9497 * CHOOSE( CONTROL!$C$15, $D$11, 100%, $F$11)</f>
        <v>32.9497</v>
      </c>
      <c r="H917" s="4">
        <f>33.8353 * CHOOSE(CONTROL!$C$15, $D$11, 100%, $F$11)</f>
        <v>33.835299999999997</v>
      </c>
      <c r="I917" s="8">
        <f>32.4849 * CHOOSE(CONTROL!$C$15, $D$11, 100%, $F$11)</f>
        <v>32.484900000000003</v>
      </c>
      <c r="J917" s="4">
        <f>32.3496 * CHOOSE(CONTROL!$C$15, $D$11, 100%, $F$11)</f>
        <v>32.349600000000002</v>
      </c>
      <c r="K917" s="4"/>
      <c r="L917" s="9">
        <v>29.306000000000001</v>
      </c>
      <c r="M917" s="9">
        <v>12.063700000000001</v>
      </c>
      <c r="N917" s="9">
        <v>4.9444999999999997</v>
      </c>
      <c r="O917" s="9">
        <v>0.37409999999999999</v>
      </c>
      <c r="P917" s="9">
        <v>1.2927</v>
      </c>
      <c r="Q917" s="9">
        <v>19.688099999999999</v>
      </c>
      <c r="R917" s="9"/>
      <c r="S917" s="11"/>
    </row>
    <row r="918" spans="1:19" ht="15.75">
      <c r="A918" s="13">
        <v>69457</v>
      </c>
      <c r="B918" s="8">
        <f>31.5308 * CHOOSE(CONTROL!$C$15, $D$11, 100%, $F$11)</f>
        <v>31.530799999999999</v>
      </c>
      <c r="C918" s="8">
        <f>31.5416 * CHOOSE(CONTROL!$C$15, $D$11, 100%, $F$11)</f>
        <v>31.541599999999999</v>
      </c>
      <c r="D918" s="8">
        <f>31.5229 * CHOOSE( CONTROL!$C$15, $D$11, 100%, $F$11)</f>
        <v>31.5229</v>
      </c>
      <c r="E918" s="12">
        <f>31.5286 * CHOOSE( CONTROL!$C$15, $D$11, 100%, $F$11)</f>
        <v>31.528600000000001</v>
      </c>
      <c r="F918" s="4">
        <f>32.1893 * CHOOSE(CONTROL!$C$15, $D$11, 100%, $F$11)</f>
        <v>32.189300000000003</v>
      </c>
      <c r="G918" s="8">
        <f>30.82 * CHOOSE( CONTROL!$C$15, $D$11, 100%, $F$11)</f>
        <v>30.82</v>
      </c>
      <c r="H918" s="4">
        <f>31.7056 * CHOOSE(CONTROL!$C$15, $D$11, 100%, $F$11)</f>
        <v>31.7056</v>
      </c>
      <c r="I918" s="8">
        <f>30.3922 * CHOOSE(CONTROL!$C$15, $D$11, 100%, $F$11)</f>
        <v>30.392199999999999</v>
      </c>
      <c r="J918" s="4">
        <f>30.2583 * CHOOSE(CONTROL!$C$15, $D$11, 100%, $F$11)</f>
        <v>30.258299999999998</v>
      </c>
      <c r="K918" s="4"/>
      <c r="L918" s="9">
        <v>26.469899999999999</v>
      </c>
      <c r="M918" s="9">
        <v>10.8962</v>
      </c>
      <c r="N918" s="9">
        <v>4.4660000000000002</v>
      </c>
      <c r="O918" s="9">
        <v>0.33789999999999998</v>
      </c>
      <c r="P918" s="9">
        <v>1.1676</v>
      </c>
      <c r="Q918" s="9">
        <v>17.782800000000002</v>
      </c>
      <c r="R918" s="9"/>
      <c r="S918" s="11"/>
    </row>
    <row r="919" spans="1:19" ht="15.75">
      <c r="A919" s="13">
        <v>69488</v>
      </c>
      <c r="B919" s="8">
        <f>30.8599 * CHOOSE(CONTROL!$C$15, $D$11, 100%, $F$11)</f>
        <v>30.8599</v>
      </c>
      <c r="C919" s="8">
        <f>30.8707 * CHOOSE(CONTROL!$C$15, $D$11, 100%, $F$11)</f>
        <v>30.870699999999999</v>
      </c>
      <c r="D919" s="8">
        <f>30.8515 * CHOOSE( CONTROL!$C$15, $D$11, 100%, $F$11)</f>
        <v>30.851500000000001</v>
      </c>
      <c r="E919" s="12">
        <f>30.8574 * CHOOSE( CONTROL!$C$15, $D$11, 100%, $F$11)</f>
        <v>30.857399999999998</v>
      </c>
      <c r="F919" s="4">
        <f>31.5184 * CHOOSE(CONTROL!$C$15, $D$11, 100%, $F$11)</f>
        <v>31.5184</v>
      </c>
      <c r="G919" s="8">
        <f>30.1637 * CHOOSE( CONTROL!$C$15, $D$11, 100%, $F$11)</f>
        <v>30.163699999999999</v>
      </c>
      <c r="H919" s="4">
        <f>31.0497 * CHOOSE(CONTROL!$C$15, $D$11, 100%, $F$11)</f>
        <v>31.049700000000001</v>
      </c>
      <c r="I919" s="8">
        <f>29.7463 * CHOOSE(CONTROL!$C$15, $D$11, 100%, $F$11)</f>
        <v>29.746300000000002</v>
      </c>
      <c r="J919" s="4">
        <f>29.6142 * CHOOSE(CONTROL!$C$15, $D$11, 100%, $F$11)</f>
        <v>29.6142</v>
      </c>
      <c r="K919" s="4"/>
      <c r="L919" s="9">
        <v>29.306000000000001</v>
      </c>
      <c r="M919" s="9">
        <v>12.063700000000001</v>
      </c>
      <c r="N919" s="9">
        <v>4.9444999999999997</v>
      </c>
      <c r="O919" s="9">
        <v>0.37409999999999999</v>
      </c>
      <c r="P919" s="9">
        <v>1.2927</v>
      </c>
      <c r="Q919" s="9">
        <v>19.688099999999999</v>
      </c>
      <c r="R919" s="9"/>
      <c r="S919" s="11"/>
    </row>
    <row r="920" spans="1:19" ht="15.75">
      <c r="A920" s="13">
        <v>69518</v>
      </c>
      <c r="B920" s="8">
        <f>31.3287 * CHOOSE(CONTROL!$C$15, $D$11, 100%, $F$11)</f>
        <v>31.328700000000001</v>
      </c>
      <c r="C920" s="8">
        <f>31.3395 * CHOOSE(CONTROL!$C$15, $D$11, 100%, $F$11)</f>
        <v>31.339500000000001</v>
      </c>
      <c r="D920" s="8">
        <f>31.3764 * CHOOSE( CONTROL!$C$15, $D$11, 100%, $F$11)</f>
        <v>31.3764</v>
      </c>
      <c r="E920" s="12">
        <f>31.363 * CHOOSE( CONTROL!$C$15, $D$11, 100%, $F$11)</f>
        <v>31.363</v>
      </c>
      <c r="F920" s="4">
        <f>32.068 * CHOOSE(CONTROL!$C$15, $D$11, 100%, $F$11)</f>
        <v>32.067999999999998</v>
      </c>
      <c r="G920" s="8">
        <f>30.6212 * CHOOSE( CONTROL!$C$15, $D$11, 100%, $F$11)</f>
        <v>30.621200000000002</v>
      </c>
      <c r="H920" s="4">
        <f>31.5869 * CHOOSE(CONTROL!$C$15, $D$11, 100%, $F$11)</f>
        <v>31.5869</v>
      </c>
      <c r="I920" s="8">
        <f>30.1885 * CHOOSE(CONTROL!$C$15, $D$11, 100%, $F$11)</f>
        <v>30.188500000000001</v>
      </c>
      <c r="J920" s="4">
        <f>30.0643 * CHOOSE(CONTROL!$C$15, $D$11, 100%, $F$11)</f>
        <v>30.064299999999999</v>
      </c>
      <c r="K920" s="4"/>
      <c r="L920" s="9">
        <v>30.092199999999998</v>
      </c>
      <c r="M920" s="9">
        <v>11.6745</v>
      </c>
      <c r="N920" s="9">
        <v>4.7850000000000001</v>
      </c>
      <c r="O920" s="9">
        <v>0.36199999999999999</v>
      </c>
      <c r="P920" s="9">
        <v>1.1791</v>
      </c>
      <c r="Q920" s="9">
        <v>19.053000000000001</v>
      </c>
      <c r="R920" s="9"/>
      <c r="S920" s="11"/>
    </row>
    <row r="921" spans="1:19" ht="15.75">
      <c r="A921" s="13">
        <v>69549</v>
      </c>
      <c r="B921" s="8">
        <f>CHOOSE( CONTROL!$C$32, 32.1654, 32.163) * CHOOSE(CONTROL!$C$15, $D$11, 100%, $F$11)</f>
        <v>32.165399999999998</v>
      </c>
      <c r="C921" s="8">
        <f>CHOOSE( CONTROL!$C$32, 32.1759, 32.1736) * CHOOSE(CONTROL!$C$15, $D$11, 100%, $F$11)</f>
        <v>32.175899999999999</v>
      </c>
      <c r="D921" s="8">
        <f>CHOOSE( CONTROL!$C$32, 32.2118, 32.2094) * CHOOSE( CONTROL!$C$15, $D$11, 100%, $F$11)</f>
        <v>32.211799999999997</v>
      </c>
      <c r="E921" s="12">
        <f>CHOOSE( CONTROL!$C$32, 32.1972, 32.1948) * CHOOSE( CONTROL!$C$15, $D$11, 100%, $F$11)</f>
        <v>32.197200000000002</v>
      </c>
      <c r="F921" s="4">
        <f>CHOOSE( CONTROL!$C$32, 32.9047, 32.9023) * CHOOSE(CONTROL!$C$15, $D$11, 100%, $F$11)</f>
        <v>32.904699999999998</v>
      </c>
      <c r="G921" s="8">
        <f>CHOOSE( CONTROL!$C$32, 31.4399, 31.4375) * CHOOSE( CONTROL!$C$15, $D$11, 100%, $F$11)</f>
        <v>31.439900000000002</v>
      </c>
      <c r="H921" s="4">
        <f>CHOOSE( CONTROL!$C$32, 32.4051, 32.4027) * CHOOSE(CONTROL!$C$15, $D$11, 100%, $F$11)</f>
        <v>32.405099999999997</v>
      </c>
      <c r="I921" s="8">
        <f>CHOOSE( CONTROL!$C$32, 30.9923, 30.99) * CHOOSE(CONTROL!$C$15, $D$11, 100%, $F$11)</f>
        <v>30.9923</v>
      </c>
      <c r="J921" s="4">
        <f>CHOOSE( CONTROL!$C$32, 30.8676, 30.8654) * CHOOSE(CONTROL!$C$15, $D$11, 100%, $F$11)</f>
        <v>30.867599999999999</v>
      </c>
      <c r="K921" s="4"/>
      <c r="L921" s="9">
        <v>30.7165</v>
      </c>
      <c r="M921" s="9">
        <v>12.063700000000001</v>
      </c>
      <c r="N921" s="9">
        <v>4.9444999999999997</v>
      </c>
      <c r="O921" s="9">
        <v>0.37409999999999999</v>
      </c>
      <c r="P921" s="9">
        <v>1.2183999999999999</v>
      </c>
      <c r="Q921" s="9">
        <v>19.688099999999999</v>
      </c>
      <c r="R921" s="9"/>
      <c r="S921" s="11"/>
    </row>
    <row r="922" spans="1:19" ht="15.75">
      <c r="A922" s="13">
        <v>69579</v>
      </c>
      <c r="B922" s="8">
        <f>CHOOSE( CONTROL!$C$32, 31.6485, 31.6461) * CHOOSE(CONTROL!$C$15, $D$11, 100%, $F$11)</f>
        <v>31.648499999999999</v>
      </c>
      <c r="C922" s="8">
        <f>CHOOSE( CONTROL!$C$32, 31.6591, 31.6567) * CHOOSE(CONTROL!$C$15, $D$11, 100%, $F$11)</f>
        <v>31.659099999999999</v>
      </c>
      <c r="D922" s="8">
        <f>CHOOSE( CONTROL!$C$32, 31.6951, 31.6927) * CHOOSE( CONTROL!$C$15, $D$11, 100%, $F$11)</f>
        <v>31.6951</v>
      </c>
      <c r="E922" s="12">
        <f>CHOOSE( CONTROL!$C$32, 31.6804, 31.678) * CHOOSE( CONTROL!$C$15, $D$11, 100%, $F$11)</f>
        <v>31.680399999999999</v>
      </c>
      <c r="F922" s="4">
        <f>CHOOSE( CONTROL!$C$32, 32.3879, 32.3855) * CHOOSE(CONTROL!$C$15, $D$11, 100%, $F$11)</f>
        <v>32.387900000000002</v>
      </c>
      <c r="G922" s="8">
        <f>CHOOSE( CONTROL!$C$32, 30.9348, 30.9325) * CHOOSE( CONTROL!$C$15, $D$11, 100%, $F$11)</f>
        <v>30.934799999999999</v>
      </c>
      <c r="H922" s="4">
        <f>CHOOSE( CONTROL!$C$32, 31.8997, 31.8974) * CHOOSE(CONTROL!$C$15, $D$11, 100%, $F$11)</f>
        <v>31.899699999999999</v>
      </c>
      <c r="I922" s="8">
        <f>CHOOSE( CONTROL!$C$32, 30.4968, 30.4945) * CHOOSE(CONTROL!$C$15, $D$11, 100%, $F$11)</f>
        <v>30.4968</v>
      </c>
      <c r="J922" s="4">
        <f>CHOOSE( CONTROL!$C$32, 30.3714, 30.3691) * CHOOSE(CONTROL!$C$15, $D$11, 100%, $F$11)</f>
        <v>30.371400000000001</v>
      </c>
      <c r="K922" s="4"/>
      <c r="L922" s="9">
        <v>29.7257</v>
      </c>
      <c r="M922" s="9">
        <v>11.6745</v>
      </c>
      <c r="N922" s="9">
        <v>4.7850000000000001</v>
      </c>
      <c r="O922" s="9">
        <v>0.36199999999999999</v>
      </c>
      <c r="P922" s="9">
        <v>1.1791</v>
      </c>
      <c r="Q922" s="9">
        <v>19.053000000000001</v>
      </c>
      <c r="R922" s="9"/>
      <c r="S922" s="11"/>
    </row>
    <row r="923" spans="1:19" ht="15.75">
      <c r="A923" s="13">
        <v>69610</v>
      </c>
      <c r="B923" s="8">
        <f>CHOOSE( CONTROL!$C$32, 33.0096, 33.0072) * CHOOSE(CONTROL!$C$15, $D$11, 100%, $F$11)</f>
        <v>33.009599999999999</v>
      </c>
      <c r="C923" s="8">
        <f>CHOOSE( CONTROL!$C$32, 33.0202, 33.0178) * CHOOSE(CONTROL!$C$15, $D$11, 100%, $F$11)</f>
        <v>33.020200000000003</v>
      </c>
      <c r="D923" s="8">
        <f>CHOOSE( CONTROL!$C$32, 33.0564, 33.054) * CHOOSE( CONTROL!$C$15, $D$11, 100%, $F$11)</f>
        <v>33.056399999999996</v>
      </c>
      <c r="E923" s="12">
        <f>CHOOSE( CONTROL!$C$32, 33.0417, 33.0393) * CHOOSE( CONTROL!$C$15, $D$11, 100%, $F$11)</f>
        <v>33.041699999999999</v>
      </c>
      <c r="F923" s="4">
        <f>CHOOSE( CONTROL!$C$32, 33.749, 33.7466) * CHOOSE(CONTROL!$C$15, $D$11, 100%, $F$11)</f>
        <v>33.749000000000002</v>
      </c>
      <c r="G923" s="8">
        <f>CHOOSE( CONTROL!$C$32, 32.2659, 32.2636) * CHOOSE( CONTROL!$C$15, $D$11, 100%, $F$11)</f>
        <v>32.265900000000002</v>
      </c>
      <c r="H923" s="4">
        <f>CHOOSE( CONTROL!$C$32, 33.2305, 33.2281) * CHOOSE(CONTROL!$C$15, $D$11, 100%, $F$11)</f>
        <v>33.230499999999999</v>
      </c>
      <c r="I923" s="8">
        <f>CHOOSE( CONTROL!$C$32, 31.8052, 31.8029) * CHOOSE(CONTROL!$C$15, $D$11, 100%, $F$11)</f>
        <v>31.805199999999999</v>
      </c>
      <c r="J923" s="4">
        <f>CHOOSE( CONTROL!$C$32, 31.6782, 31.6759) * CHOOSE(CONTROL!$C$15, $D$11, 100%, $F$11)</f>
        <v>31.6782</v>
      </c>
      <c r="K923" s="4"/>
      <c r="L923" s="9">
        <v>30.7165</v>
      </c>
      <c r="M923" s="9">
        <v>12.063700000000001</v>
      </c>
      <c r="N923" s="9">
        <v>4.9444999999999997</v>
      </c>
      <c r="O923" s="9">
        <v>0.37409999999999999</v>
      </c>
      <c r="P923" s="9">
        <v>1.2183999999999999</v>
      </c>
      <c r="Q923" s="9">
        <v>19.688099999999999</v>
      </c>
      <c r="R923" s="9"/>
      <c r="S923" s="11"/>
    </row>
    <row r="924" spans="1:19" ht="15.75">
      <c r="A924" s="13">
        <v>69641</v>
      </c>
      <c r="B924" s="8">
        <f>CHOOSE( CONTROL!$C$32, 30.4628, 30.4605) * CHOOSE(CONTROL!$C$15, $D$11, 100%, $F$11)</f>
        <v>30.462800000000001</v>
      </c>
      <c r="C924" s="8">
        <f>CHOOSE( CONTROL!$C$32, 30.4734, 30.471) * CHOOSE(CONTROL!$C$15, $D$11, 100%, $F$11)</f>
        <v>30.473400000000002</v>
      </c>
      <c r="D924" s="8">
        <f>CHOOSE( CONTROL!$C$32, 30.5097, 30.5073) * CHOOSE( CONTROL!$C$15, $D$11, 100%, $F$11)</f>
        <v>30.509699999999999</v>
      </c>
      <c r="E924" s="12">
        <f>CHOOSE( CONTROL!$C$32, 30.4949, 30.4925) * CHOOSE( CONTROL!$C$15, $D$11, 100%, $F$11)</f>
        <v>30.494900000000001</v>
      </c>
      <c r="F924" s="4">
        <f>CHOOSE( CONTROL!$C$32, 31.2022, 31.1998) * CHOOSE(CONTROL!$C$15, $D$11, 100%, $F$11)</f>
        <v>31.202200000000001</v>
      </c>
      <c r="G924" s="8">
        <f>CHOOSE( CONTROL!$C$32, 29.776, 29.7737) * CHOOSE( CONTROL!$C$15, $D$11, 100%, $F$11)</f>
        <v>29.776</v>
      </c>
      <c r="H924" s="4">
        <f>CHOOSE( CONTROL!$C$32, 30.7405, 30.7382) * CHOOSE(CONTROL!$C$15, $D$11, 100%, $F$11)</f>
        <v>30.740500000000001</v>
      </c>
      <c r="I924" s="8">
        <f>CHOOSE( CONTROL!$C$32, 29.3591, 29.3568) * CHOOSE(CONTROL!$C$15, $D$11, 100%, $F$11)</f>
        <v>29.359100000000002</v>
      </c>
      <c r="J924" s="4">
        <f>CHOOSE( CONTROL!$C$32, 29.2331, 29.2308) * CHOOSE(CONTROL!$C$15, $D$11, 100%, $F$11)</f>
        <v>29.2331</v>
      </c>
      <c r="K924" s="4"/>
      <c r="L924" s="9">
        <v>30.7165</v>
      </c>
      <c r="M924" s="9">
        <v>12.063700000000001</v>
      </c>
      <c r="N924" s="9">
        <v>4.9444999999999997</v>
      </c>
      <c r="O924" s="9">
        <v>0.37409999999999999</v>
      </c>
      <c r="P924" s="9">
        <v>1.2183999999999999</v>
      </c>
      <c r="Q924" s="9">
        <v>19.688099999999999</v>
      </c>
      <c r="R924" s="9"/>
      <c r="S924" s="11"/>
    </row>
    <row r="925" spans="1:19" ht="15.75">
      <c r="A925" s="13">
        <v>69671</v>
      </c>
      <c r="B925" s="8">
        <f>CHOOSE( CONTROL!$C$32, 29.8251, 29.8227) * CHOOSE(CONTROL!$C$15, $D$11, 100%, $F$11)</f>
        <v>29.825099999999999</v>
      </c>
      <c r="C925" s="8">
        <f>CHOOSE( CONTROL!$C$32, 29.8357, 29.8333) * CHOOSE(CONTROL!$C$15, $D$11, 100%, $F$11)</f>
        <v>29.835699999999999</v>
      </c>
      <c r="D925" s="8">
        <f>CHOOSE( CONTROL!$C$32, 29.8719, 29.8695) * CHOOSE( CONTROL!$C$15, $D$11, 100%, $F$11)</f>
        <v>29.8719</v>
      </c>
      <c r="E925" s="12">
        <f>CHOOSE( CONTROL!$C$32, 29.8572, 29.8548) * CHOOSE( CONTROL!$C$15, $D$11, 100%, $F$11)</f>
        <v>29.857199999999999</v>
      </c>
      <c r="F925" s="4">
        <f>CHOOSE( CONTROL!$C$32, 30.5645, 30.5621) * CHOOSE(CONTROL!$C$15, $D$11, 100%, $F$11)</f>
        <v>30.564499999999999</v>
      </c>
      <c r="G925" s="8">
        <f>CHOOSE( CONTROL!$C$32, 29.1524, 29.15) * CHOOSE( CONTROL!$C$15, $D$11, 100%, $F$11)</f>
        <v>29.1524</v>
      </c>
      <c r="H925" s="4">
        <f>CHOOSE( CONTROL!$C$32, 30.117, 30.1146) * CHOOSE(CONTROL!$C$15, $D$11, 100%, $F$11)</f>
        <v>30.117000000000001</v>
      </c>
      <c r="I925" s="8">
        <f>CHOOSE( CONTROL!$C$32, 28.7462, 28.7439) * CHOOSE(CONTROL!$C$15, $D$11, 100%, $F$11)</f>
        <v>28.746200000000002</v>
      </c>
      <c r="J925" s="4">
        <f>CHOOSE( CONTROL!$C$32, 28.6208, 28.6185) * CHOOSE(CONTROL!$C$15, $D$11, 100%, $F$11)</f>
        <v>28.620799999999999</v>
      </c>
      <c r="K925" s="4"/>
      <c r="L925" s="9">
        <v>29.7257</v>
      </c>
      <c r="M925" s="9">
        <v>11.6745</v>
      </c>
      <c r="N925" s="9">
        <v>4.7850000000000001</v>
      </c>
      <c r="O925" s="9">
        <v>0.36199999999999999</v>
      </c>
      <c r="P925" s="9">
        <v>1.1791</v>
      </c>
      <c r="Q925" s="9">
        <v>19.053000000000001</v>
      </c>
      <c r="R925" s="9"/>
      <c r="S925" s="11"/>
    </row>
    <row r="926" spans="1:19" ht="15.75">
      <c r="A926" s="13">
        <v>69702</v>
      </c>
      <c r="B926" s="8">
        <f>31.147 * CHOOSE(CONTROL!$C$15, $D$11, 100%, $F$11)</f>
        <v>31.146999999999998</v>
      </c>
      <c r="C926" s="8">
        <f>31.1577 * CHOOSE(CONTROL!$C$15, $D$11, 100%, $F$11)</f>
        <v>31.157699999999998</v>
      </c>
      <c r="D926" s="8">
        <f>31.1953 * CHOOSE( CONTROL!$C$15, $D$11, 100%, $F$11)</f>
        <v>31.1953</v>
      </c>
      <c r="E926" s="12">
        <f>31.1817 * CHOOSE( CONTROL!$C$15, $D$11, 100%, $F$11)</f>
        <v>31.181699999999999</v>
      </c>
      <c r="F926" s="4">
        <f>31.8862 * CHOOSE(CONTROL!$C$15, $D$11, 100%, $F$11)</f>
        <v>31.886199999999999</v>
      </c>
      <c r="G926" s="8">
        <f>30.4444 * CHOOSE( CONTROL!$C$15, $D$11, 100%, $F$11)</f>
        <v>30.444400000000002</v>
      </c>
      <c r="H926" s="4">
        <f>31.4093 * CHOOSE(CONTROL!$C$15, $D$11, 100%, $F$11)</f>
        <v>31.409300000000002</v>
      </c>
      <c r="I926" s="8">
        <f>30.0166 * CHOOSE(CONTROL!$C$15, $D$11, 100%, $F$11)</f>
        <v>30.0166</v>
      </c>
      <c r="J926" s="4">
        <f>29.8898 * CHOOSE(CONTROL!$C$15, $D$11, 100%, $F$11)</f>
        <v>29.889800000000001</v>
      </c>
      <c r="K926" s="4"/>
      <c r="L926" s="9">
        <v>31.095300000000002</v>
      </c>
      <c r="M926" s="9">
        <v>12.063700000000001</v>
      </c>
      <c r="N926" s="9">
        <v>4.9444999999999997</v>
      </c>
      <c r="O926" s="9">
        <v>0.37409999999999999</v>
      </c>
      <c r="P926" s="9">
        <v>1.2183999999999999</v>
      </c>
      <c r="Q926" s="9">
        <v>19.688099999999999</v>
      </c>
      <c r="R926" s="9"/>
      <c r="S926" s="11"/>
    </row>
    <row r="927" spans="1:19" ht="15.75">
      <c r="A927" s="13">
        <v>69732</v>
      </c>
      <c r="B927" s="8">
        <f>33.5912 * CHOOSE(CONTROL!$C$15, $D$11, 100%, $F$11)</f>
        <v>33.591200000000001</v>
      </c>
      <c r="C927" s="8">
        <f>33.6019 * CHOOSE(CONTROL!$C$15, $D$11, 100%, $F$11)</f>
        <v>33.601900000000001</v>
      </c>
      <c r="D927" s="8">
        <f>33.5847 * CHOOSE( CONTROL!$C$15, $D$11, 100%, $F$11)</f>
        <v>33.584699999999998</v>
      </c>
      <c r="E927" s="12">
        <f>33.5898 * CHOOSE( CONTROL!$C$15, $D$11, 100%, $F$11)</f>
        <v>33.589799999999997</v>
      </c>
      <c r="F927" s="4">
        <f>34.2497 * CHOOSE(CONTROL!$C$15, $D$11, 100%, $F$11)</f>
        <v>34.249699999999997</v>
      </c>
      <c r="G927" s="8">
        <f>32.8407 * CHOOSE( CONTROL!$C$15, $D$11, 100%, $F$11)</f>
        <v>32.840699999999998</v>
      </c>
      <c r="H927" s="4">
        <f>33.72 * CHOOSE(CONTROL!$C$15, $D$11, 100%, $F$11)</f>
        <v>33.72</v>
      </c>
      <c r="I927" s="8">
        <f>32.4016 * CHOOSE(CONTROL!$C$15, $D$11, 100%, $F$11)</f>
        <v>32.401600000000002</v>
      </c>
      <c r="J927" s="4">
        <f>32.2364 * CHOOSE(CONTROL!$C$15, $D$11, 100%, $F$11)</f>
        <v>32.236400000000003</v>
      </c>
      <c r="K927" s="4"/>
      <c r="L927" s="9">
        <v>28.360600000000002</v>
      </c>
      <c r="M927" s="9">
        <v>11.6745</v>
      </c>
      <c r="N927" s="9">
        <v>4.7850000000000001</v>
      </c>
      <c r="O927" s="9">
        <v>0.36199999999999999</v>
      </c>
      <c r="P927" s="9">
        <v>1.2509999999999999</v>
      </c>
      <c r="Q927" s="9">
        <v>19.053000000000001</v>
      </c>
      <c r="R927" s="9"/>
      <c r="S927" s="11"/>
    </row>
    <row r="928" spans="1:19" ht="15.75">
      <c r="A928" s="13">
        <v>69763</v>
      </c>
      <c r="B928" s="8">
        <f>33.5301 * CHOOSE(CONTROL!$C$15, $D$11, 100%, $F$11)</f>
        <v>33.530099999999997</v>
      </c>
      <c r="C928" s="8">
        <f>33.5409 * CHOOSE(CONTROL!$C$15, $D$11, 100%, $F$11)</f>
        <v>33.540900000000001</v>
      </c>
      <c r="D928" s="8">
        <f>33.5253 * CHOOSE( CONTROL!$C$15, $D$11, 100%, $F$11)</f>
        <v>33.525300000000001</v>
      </c>
      <c r="E928" s="12">
        <f>33.5299 * CHOOSE( CONTROL!$C$15, $D$11, 100%, $F$11)</f>
        <v>33.529899999999998</v>
      </c>
      <c r="F928" s="4">
        <f>34.1886 * CHOOSE(CONTROL!$C$15, $D$11, 100%, $F$11)</f>
        <v>34.188600000000001</v>
      </c>
      <c r="G928" s="8">
        <f>32.7822 * CHOOSE( CONTROL!$C$15, $D$11, 100%, $F$11)</f>
        <v>32.782200000000003</v>
      </c>
      <c r="H928" s="4">
        <f>33.6603 * CHOOSE(CONTROL!$C$15, $D$11, 100%, $F$11)</f>
        <v>33.660299999999999</v>
      </c>
      <c r="I928" s="8">
        <f>32.3481 * CHOOSE(CONTROL!$C$15, $D$11, 100%, $F$11)</f>
        <v>32.348100000000002</v>
      </c>
      <c r="J928" s="4">
        <f>32.1778 * CHOOSE(CONTROL!$C$15, $D$11, 100%, $F$11)</f>
        <v>32.177799999999998</v>
      </c>
      <c r="K928" s="4"/>
      <c r="L928" s="9">
        <v>29.306000000000001</v>
      </c>
      <c r="M928" s="9">
        <v>12.063700000000001</v>
      </c>
      <c r="N928" s="9">
        <v>4.9444999999999997</v>
      </c>
      <c r="O928" s="9">
        <v>0.37409999999999999</v>
      </c>
      <c r="P928" s="9">
        <v>1.2927</v>
      </c>
      <c r="Q928" s="9">
        <v>19.688099999999999</v>
      </c>
      <c r="R928" s="9"/>
      <c r="S928" s="11"/>
    </row>
    <row r="929" spans="1:19" ht="15.75">
      <c r="A929" s="13">
        <v>69794</v>
      </c>
      <c r="B929" s="8">
        <f>34.5187 * CHOOSE(CONTROL!$C$15, $D$11, 100%, $F$11)</f>
        <v>34.518700000000003</v>
      </c>
      <c r="C929" s="8">
        <f>34.5294 * CHOOSE(CONTROL!$C$15, $D$11, 100%, $F$11)</f>
        <v>34.529400000000003</v>
      </c>
      <c r="D929" s="8">
        <f>34.5108 * CHOOSE( CONTROL!$C$15, $D$11, 100%, $F$11)</f>
        <v>34.510800000000003</v>
      </c>
      <c r="E929" s="12">
        <f>34.5165 * CHOOSE( CONTROL!$C$15, $D$11, 100%, $F$11)</f>
        <v>34.516500000000001</v>
      </c>
      <c r="F929" s="4">
        <f>35.1772 * CHOOSE(CONTROL!$C$15, $D$11, 100%, $F$11)</f>
        <v>35.177199999999999</v>
      </c>
      <c r="G929" s="8">
        <f>33.7412 * CHOOSE( CONTROL!$C$15, $D$11, 100%, $F$11)</f>
        <v>33.741199999999999</v>
      </c>
      <c r="H929" s="4">
        <f>34.6268 * CHOOSE(CONTROL!$C$15, $D$11, 100%, $F$11)</f>
        <v>34.626800000000003</v>
      </c>
      <c r="I929" s="8">
        <f>33.2626 * CHOOSE(CONTROL!$C$15, $D$11, 100%, $F$11)</f>
        <v>33.262599999999999</v>
      </c>
      <c r="J929" s="4">
        <f>33.1269 * CHOOSE(CONTROL!$C$15, $D$11, 100%, $F$11)</f>
        <v>33.126899999999999</v>
      </c>
      <c r="K929" s="4"/>
      <c r="L929" s="9">
        <v>29.306000000000001</v>
      </c>
      <c r="M929" s="9">
        <v>12.063700000000001</v>
      </c>
      <c r="N929" s="9">
        <v>4.9444999999999997</v>
      </c>
      <c r="O929" s="9">
        <v>0.37409999999999999</v>
      </c>
      <c r="P929" s="9">
        <v>1.2927</v>
      </c>
      <c r="Q929" s="9">
        <v>19.688099999999999</v>
      </c>
      <c r="R929" s="9"/>
      <c r="S929" s="11"/>
    </row>
    <row r="930" spans="1:19" ht="15.75">
      <c r="A930" s="13">
        <v>69822</v>
      </c>
      <c r="B930" s="8">
        <f>32.2881 * CHOOSE(CONTROL!$C$15, $D$11, 100%, $F$11)</f>
        <v>32.2881</v>
      </c>
      <c r="C930" s="8">
        <f>32.2988 * CHOOSE(CONTROL!$C$15, $D$11, 100%, $F$11)</f>
        <v>32.2988</v>
      </c>
      <c r="D930" s="8">
        <f>32.2801 * CHOOSE( CONTROL!$C$15, $D$11, 100%, $F$11)</f>
        <v>32.280099999999997</v>
      </c>
      <c r="E930" s="12">
        <f>32.2858 * CHOOSE( CONTROL!$C$15, $D$11, 100%, $F$11)</f>
        <v>32.285800000000002</v>
      </c>
      <c r="F930" s="4">
        <f>32.9466 * CHOOSE(CONTROL!$C$15, $D$11, 100%, $F$11)</f>
        <v>32.946599999999997</v>
      </c>
      <c r="G930" s="8">
        <f>31.5603 * CHOOSE( CONTROL!$C$15, $D$11, 100%, $F$11)</f>
        <v>31.560300000000002</v>
      </c>
      <c r="H930" s="4">
        <f>32.446 * CHOOSE(CONTROL!$C$15, $D$11, 100%, $F$11)</f>
        <v>32.445999999999998</v>
      </c>
      <c r="I930" s="8">
        <f>31.1196 * CHOOSE(CONTROL!$C$15, $D$11, 100%, $F$11)</f>
        <v>31.119599999999998</v>
      </c>
      <c r="J930" s="4">
        <f>30.9853 * CHOOSE(CONTROL!$C$15, $D$11, 100%, $F$11)</f>
        <v>30.985299999999999</v>
      </c>
      <c r="K930" s="4"/>
      <c r="L930" s="9">
        <v>26.469899999999999</v>
      </c>
      <c r="M930" s="9">
        <v>10.8962</v>
      </c>
      <c r="N930" s="9">
        <v>4.4660000000000002</v>
      </c>
      <c r="O930" s="9">
        <v>0.33789999999999998</v>
      </c>
      <c r="P930" s="9">
        <v>1.1676</v>
      </c>
      <c r="Q930" s="9">
        <v>17.782800000000002</v>
      </c>
      <c r="R930" s="9"/>
      <c r="S930" s="11"/>
    </row>
    <row r="931" spans="1:19" ht="15.75">
      <c r="A931" s="13">
        <v>69853</v>
      </c>
      <c r="B931" s="8">
        <f>31.6011 * CHOOSE(CONTROL!$C$15, $D$11, 100%, $F$11)</f>
        <v>31.601099999999999</v>
      </c>
      <c r="C931" s="8">
        <f>31.6118 * CHOOSE(CONTROL!$C$15, $D$11, 100%, $F$11)</f>
        <v>31.611799999999999</v>
      </c>
      <c r="D931" s="8">
        <f>31.5926 * CHOOSE( CONTROL!$C$15, $D$11, 100%, $F$11)</f>
        <v>31.592600000000001</v>
      </c>
      <c r="E931" s="12">
        <f>31.5985 * CHOOSE( CONTROL!$C$15, $D$11, 100%, $F$11)</f>
        <v>31.598500000000001</v>
      </c>
      <c r="F931" s="4">
        <f>32.2596 * CHOOSE(CONTROL!$C$15, $D$11, 100%, $F$11)</f>
        <v>32.259599999999999</v>
      </c>
      <c r="G931" s="8">
        <f>30.8883 * CHOOSE( CONTROL!$C$15, $D$11, 100%, $F$11)</f>
        <v>30.888300000000001</v>
      </c>
      <c r="H931" s="4">
        <f>31.7743 * CHOOSE(CONTROL!$C$15, $D$11, 100%, $F$11)</f>
        <v>31.7743</v>
      </c>
      <c r="I931" s="8">
        <f>30.4582 * CHOOSE(CONTROL!$C$15, $D$11, 100%, $F$11)</f>
        <v>30.458200000000001</v>
      </c>
      <c r="J931" s="4">
        <f>30.3257 * CHOOSE(CONTROL!$C$15, $D$11, 100%, $F$11)</f>
        <v>30.325700000000001</v>
      </c>
      <c r="K931" s="4"/>
      <c r="L931" s="9">
        <v>29.306000000000001</v>
      </c>
      <c r="M931" s="9">
        <v>12.063700000000001</v>
      </c>
      <c r="N931" s="9">
        <v>4.9444999999999997</v>
      </c>
      <c r="O931" s="9">
        <v>0.37409999999999999</v>
      </c>
      <c r="P931" s="9">
        <v>1.2927</v>
      </c>
      <c r="Q931" s="9">
        <v>19.688099999999999</v>
      </c>
      <c r="R931" s="9"/>
      <c r="S931" s="11"/>
    </row>
    <row r="932" spans="1:19" ht="15.75">
      <c r="A932" s="13">
        <v>69883</v>
      </c>
      <c r="B932" s="8">
        <f>32.0811 * CHOOSE(CONTROL!$C$15, $D$11, 100%, $F$11)</f>
        <v>32.081099999999999</v>
      </c>
      <c r="C932" s="8">
        <f>32.0919 * CHOOSE(CONTROL!$C$15, $D$11, 100%, $F$11)</f>
        <v>32.091900000000003</v>
      </c>
      <c r="D932" s="8">
        <f>32.1288 * CHOOSE( CONTROL!$C$15, $D$11, 100%, $F$11)</f>
        <v>32.128799999999998</v>
      </c>
      <c r="E932" s="12">
        <f>32.1154 * CHOOSE( CONTROL!$C$15, $D$11, 100%, $F$11)</f>
        <v>32.115400000000001</v>
      </c>
      <c r="F932" s="4">
        <f>32.8204 * CHOOSE(CONTROL!$C$15, $D$11, 100%, $F$11)</f>
        <v>32.820399999999999</v>
      </c>
      <c r="G932" s="8">
        <f>31.3569 * CHOOSE( CONTROL!$C$15, $D$11, 100%, $F$11)</f>
        <v>31.3569</v>
      </c>
      <c r="H932" s="4">
        <f>32.3226 * CHOOSE(CONTROL!$C$15, $D$11, 100%, $F$11)</f>
        <v>32.322600000000001</v>
      </c>
      <c r="I932" s="8">
        <f>30.9112 * CHOOSE(CONTROL!$C$15, $D$11, 100%, $F$11)</f>
        <v>30.911200000000001</v>
      </c>
      <c r="J932" s="4">
        <f>30.7866 * CHOOSE(CONTROL!$C$15, $D$11, 100%, $F$11)</f>
        <v>30.7866</v>
      </c>
      <c r="K932" s="4"/>
      <c r="L932" s="9">
        <v>30.092199999999998</v>
      </c>
      <c r="M932" s="9">
        <v>11.6745</v>
      </c>
      <c r="N932" s="9">
        <v>4.7850000000000001</v>
      </c>
      <c r="O932" s="9">
        <v>0.36199999999999999</v>
      </c>
      <c r="P932" s="9">
        <v>1.1791</v>
      </c>
      <c r="Q932" s="9">
        <v>19.053000000000001</v>
      </c>
      <c r="R932" s="9"/>
      <c r="S932" s="11"/>
    </row>
    <row r="933" spans="1:19" ht="15.75">
      <c r="A933" s="13">
        <v>69914</v>
      </c>
      <c r="B933" s="8">
        <f>CHOOSE( CONTROL!$C$32, 32.9378, 32.9354) * CHOOSE(CONTROL!$C$15, $D$11, 100%, $F$11)</f>
        <v>32.937800000000003</v>
      </c>
      <c r="C933" s="8">
        <f>CHOOSE( CONTROL!$C$32, 32.9484, 32.946) * CHOOSE(CONTROL!$C$15, $D$11, 100%, $F$11)</f>
        <v>32.948399999999999</v>
      </c>
      <c r="D933" s="8">
        <f>CHOOSE( CONTROL!$C$32, 32.9842, 32.9818) * CHOOSE( CONTROL!$C$15, $D$11, 100%, $F$11)</f>
        <v>32.984200000000001</v>
      </c>
      <c r="E933" s="12">
        <f>CHOOSE( CONTROL!$C$32, 32.9696, 32.9672) * CHOOSE( CONTROL!$C$15, $D$11, 100%, $F$11)</f>
        <v>32.9696</v>
      </c>
      <c r="F933" s="4">
        <f>CHOOSE( CONTROL!$C$32, 33.6772, 33.6748) * CHOOSE(CONTROL!$C$15, $D$11, 100%, $F$11)</f>
        <v>33.677199999999999</v>
      </c>
      <c r="G933" s="8">
        <f>CHOOSE( CONTROL!$C$32, 32.1951, 32.1927) * CHOOSE( CONTROL!$C$15, $D$11, 100%, $F$11)</f>
        <v>32.195099999999996</v>
      </c>
      <c r="H933" s="4">
        <f>CHOOSE( CONTROL!$C$32, 33.1603, 33.1579) * CHOOSE(CONTROL!$C$15, $D$11, 100%, $F$11)</f>
        <v>33.160299999999999</v>
      </c>
      <c r="I933" s="8">
        <f>CHOOSE( CONTROL!$C$32, 31.7343, 31.732) * CHOOSE(CONTROL!$C$15, $D$11, 100%, $F$11)</f>
        <v>31.734300000000001</v>
      </c>
      <c r="J933" s="4">
        <f>CHOOSE( CONTROL!$C$32, 31.6093, 31.607) * CHOOSE(CONTROL!$C$15, $D$11, 100%, $F$11)</f>
        <v>31.609300000000001</v>
      </c>
      <c r="K933" s="4"/>
      <c r="L933" s="9">
        <v>30.7165</v>
      </c>
      <c r="M933" s="9">
        <v>12.063700000000001</v>
      </c>
      <c r="N933" s="9">
        <v>4.9444999999999997</v>
      </c>
      <c r="O933" s="9">
        <v>0.37409999999999999</v>
      </c>
      <c r="P933" s="9">
        <v>1.2183999999999999</v>
      </c>
      <c r="Q933" s="9">
        <v>19.688099999999999</v>
      </c>
      <c r="R933" s="9"/>
      <c r="S933" s="11"/>
    </row>
    <row r="934" spans="1:19" ht="15.75">
      <c r="A934" s="13">
        <v>69944</v>
      </c>
      <c r="B934" s="8">
        <f>CHOOSE( CONTROL!$C$32, 32.4085, 32.4061) * CHOOSE(CONTROL!$C$15, $D$11, 100%, $F$11)</f>
        <v>32.408499999999997</v>
      </c>
      <c r="C934" s="8">
        <f>CHOOSE( CONTROL!$C$32, 32.4191, 32.4167) * CHOOSE(CONTROL!$C$15, $D$11, 100%, $F$11)</f>
        <v>32.4191</v>
      </c>
      <c r="D934" s="8">
        <f>CHOOSE( CONTROL!$C$32, 32.4551, 32.4527) * CHOOSE( CONTROL!$C$15, $D$11, 100%, $F$11)</f>
        <v>32.455100000000002</v>
      </c>
      <c r="E934" s="12">
        <f>CHOOSE( CONTROL!$C$32, 32.4404, 32.438) * CHOOSE( CONTROL!$C$15, $D$11, 100%, $F$11)</f>
        <v>32.440399999999997</v>
      </c>
      <c r="F934" s="4">
        <f>CHOOSE( CONTROL!$C$32, 33.1479, 33.1455) * CHOOSE(CONTROL!$C$15, $D$11, 100%, $F$11)</f>
        <v>33.1479</v>
      </c>
      <c r="G934" s="8">
        <f>CHOOSE( CONTROL!$C$32, 31.6779, 31.6755) * CHOOSE( CONTROL!$C$15, $D$11, 100%, $F$11)</f>
        <v>31.677900000000001</v>
      </c>
      <c r="H934" s="4">
        <f>CHOOSE( CONTROL!$C$32, 32.6428, 32.6404) * CHOOSE(CONTROL!$C$15, $D$11, 100%, $F$11)</f>
        <v>32.642800000000001</v>
      </c>
      <c r="I934" s="8">
        <f>CHOOSE( CONTROL!$C$32, 31.2268, 31.2245) * CHOOSE(CONTROL!$C$15, $D$11, 100%, $F$11)</f>
        <v>31.226800000000001</v>
      </c>
      <c r="J934" s="4">
        <f>CHOOSE( CONTROL!$C$32, 31.1011, 31.0988) * CHOOSE(CONTROL!$C$15, $D$11, 100%, $F$11)</f>
        <v>31.101099999999999</v>
      </c>
      <c r="K934" s="4"/>
      <c r="L934" s="9">
        <v>29.7257</v>
      </c>
      <c r="M934" s="9">
        <v>11.6745</v>
      </c>
      <c r="N934" s="9">
        <v>4.7850000000000001</v>
      </c>
      <c r="O934" s="9">
        <v>0.36199999999999999</v>
      </c>
      <c r="P934" s="9">
        <v>1.1791</v>
      </c>
      <c r="Q934" s="9">
        <v>19.053000000000001</v>
      </c>
      <c r="R934" s="9"/>
      <c r="S934" s="11"/>
    </row>
    <row r="935" spans="1:19" ht="15.75">
      <c r="A935" s="13">
        <v>69975</v>
      </c>
      <c r="B935" s="8">
        <f>CHOOSE( CONTROL!$C$32, 33.8023, 33.7999) * CHOOSE(CONTROL!$C$15, $D$11, 100%, $F$11)</f>
        <v>33.802300000000002</v>
      </c>
      <c r="C935" s="8">
        <f>CHOOSE( CONTROL!$C$32, 33.8129, 33.8105) * CHOOSE(CONTROL!$C$15, $D$11, 100%, $F$11)</f>
        <v>33.812899999999999</v>
      </c>
      <c r="D935" s="8">
        <f>CHOOSE( CONTROL!$C$32, 33.8491, 33.8468) * CHOOSE( CONTROL!$C$15, $D$11, 100%, $F$11)</f>
        <v>33.8491</v>
      </c>
      <c r="E935" s="12">
        <f>CHOOSE( CONTROL!$C$32, 33.8344, 33.832) * CHOOSE( CONTROL!$C$15, $D$11, 100%, $F$11)</f>
        <v>33.834400000000002</v>
      </c>
      <c r="F935" s="4">
        <f>CHOOSE( CONTROL!$C$32, 34.5417, 34.5393) * CHOOSE(CONTROL!$C$15, $D$11, 100%, $F$11)</f>
        <v>34.541699999999999</v>
      </c>
      <c r="G935" s="8">
        <f>CHOOSE( CONTROL!$C$32, 33.0409, 33.0386) * CHOOSE( CONTROL!$C$15, $D$11, 100%, $F$11)</f>
        <v>33.040900000000001</v>
      </c>
      <c r="H935" s="4">
        <f>CHOOSE( CONTROL!$C$32, 34.0055, 34.0032) * CHOOSE(CONTROL!$C$15, $D$11, 100%, $F$11)</f>
        <v>34.005499999999998</v>
      </c>
      <c r="I935" s="8">
        <f>CHOOSE( CONTROL!$C$32, 32.5667, 32.5644) * CHOOSE(CONTROL!$C$15, $D$11, 100%, $F$11)</f>
        <v>32.566699999999997</v>
      </c>
      <c r="J935" s="4">
        <f>CHOOSE( CONTROL!$C$32, 32.4393, 32.437) * CHOOSE(CONTROL!$C$15, $D$11, 100%, $F$11)</f>
        <v>32.439300000000003</v>
      </c>
      <c r="K935" s="4"/>
      <c r="L935" s="9">
        <v>30.7165</v>
      </c>
      <c r="M935" s="9">
        <v>12.063700000000001</v>
      </c>
      <c r="N935" s="9">
        <v>4.9444999999999997</v>
      </c>
      <c r="O935" s="9">
        <v>0.37409999999999999</v>
      </c>
      <c r="P935" s="9">
        <v>1.2183999999999999</v>
      </c>
      <c r="Q935" s="9">
        <v>19.688099999999999</v>
      </c>
      <c r="R935" s="9"/>
      <c r="S935" s="11"/>
    </row>
    <row r="936" spans="1:19" ht="15.75">
      <c r="A936" s="13">
        <v>70006</v>
      </c>
      <c r="B936" s="8">
        <f>CHOOSE( CONTROL!$C$32, 31.1944, 31.192) * CHOOSE(CONTROL!$C$15, $D$11, 100%, $F$11)</f>
        <v>31.194400000000002</v>
      </c>
      <c r="C936" s="8">
        <f>CHOOSE( CONTROL!$C$32, 31.2049, 31.2026) * CHOOSE(CONTROL!$C$15, $D$11, 100%, $F$11)</f>
        <v>31.204899999999999</v>
      </c>
      <c r="D936" s="8">
        <f>CHOOSE( CONTROL!$C$32, 31.2412, 31.2388) * CHOOSE( CONTROL!$C$15, $D$11, 100%, $F$11)</f>
        <v>31.241199999999999</v>
      </c>
      <c r="E936" s="12">
        <f>CHOOSE( CONTROL!$C$32, 31.2264, 31.2241) * CHOOSE( CONTROL!$C$15, $D$11, 100%, $F$11)</f>
        <v>31.226400000000002</v>
      </c>
      <c r="F936" s="4">
        <f>CHOOSE( CONTROL!$C$32, 31.9337, 31.9313) * CHOOSE(CONTROL!$C$15, $D$11, 100%, $F$11)</f>
        <v>31.933700000000002</v>
      </c>
      <c r="G936" s="8">
        <f>CHOOSE( CONTROL!$C$32, 30.4912, 30.4889) * CHOOSE( CONTROL!$C$15, $D$11, 100%, $F$11)</f>
        <v>30.491199999999999</v>
      </c>
      <c r="H936" s="4">
        <f>CHOOSE( CONTROL!$C$32, 31.4557, 31.4534) * CHOOSE(CONTROL!$C$15, $D$11, 100%, $F$11)</f>
        <v>31.4557</v>
      </c>
      <c r="I936" s="8">
        <f>CHOOSE( CONTROL!$C$32, 30.0618, 30.0595) * CHOOSE(CONTROL!$C$15, $D$11, 100%, $F$11)</f>
        <v>30.061800000000002</v>
      </c>
      <c r="J936" s="4">
        <f>CHOOSE( CONTROL!$C$32, 29.9354, 29.9331) * CHOOSE(CONTROL!$C$15, $D$11, 100%, $F$11)</f>
        <v>29.935400000000001</v>
      </c>
      <c r="K936" s="4"/>
      <c r="L936" s="9">
        <v>30.7165</v>
      </c>
      <c r="M936" s="9">
        <v>12.063700000000001</v>
      </c>
      <c r="N936" s="9">
        <v>4.9444999999999997</v>
      </c>
      <c r="O936" s="9">
        <v>0.37409999999999999</v>
      </c>
      <c r="P936" s="9">
        <v>1.2183999999999999</v>
      </c>
      <c r="Q936" s="9">
        <v>19.688099999999999</v>
      </c>
      <c r="R936" s="9"/>
      <c r="S936" s="11"/>
    </row>
    <row r="937" spans="1:19" ht="15.75">
      <c r="A937" s="13">
        <v>70036</v>
      </c>
      <c r="B937" s="8">
        <f>CHOOSE( CONTROL!$C$32, 30.5413, 30.5389) * CHOOSE(CONTROL!$C$15, $D$11, 100%, $F$11)</f>
        <v>30.5413</v>
      </c>
      <c r="C937" s="8">
        <f>CHOOSE( CONTROL!$C$32, 30.5519, 30.5495) * CHOOSE(CONTROL!$C$15, $D$11, 100%, $F$11)</f>
        <v>30.5519</v>
      </c>
      <c r="D937" s="8">
        <f>CHOOSE( CONTROL!$C$32, 30.5881, 30.5857) * CHOOSE( CONTROL!$C$15, $D$11, 100%, $F$11)</f>
        <v>30.588100000000001</v>
      </c>
      <c r="E937" s="12">
        <f>CHOOSE( CONTROL!$C$32, 30.5734, 30.571) * CHOOSE( CONTROL!$C$15, $D$11, 100%, $F$11)</f>
        <v>30.573399999999999</v>
      </c>
      <c r="F937" s="4">
        <f>CHOOSE( CONTROL!$C$32, 31.2807, 31.2783) * CHOOSE(CONTROL!$C$15, $D$11, 100%, $F$11)</f>
        <v>31.2807</v>
      </c>
      <c r="G937" s="8">
        <f>CHOOSE( CONTROL!$C$32, 29.8526, 29.8503) * CHOOSE( CONTROL!$C$15, $D$11, 100%, $F$11)</f>
        <v>29.852599999999999</v>
      </c>
      <c r="H937" s="4">
        <f>CHOOSE( CONTROL!$C$32, 30.8172, 30.8149) * CHOOSE(CONTROL!$C$15, $D$11, 100%, $F$11)</f>
        <v>30.8172</v>
      </c>
      <c r="I937" s="8">
        <f>CHOOSE( CONTROL!$C$32, 29.4342, 29.4319) * CHOOSE(CONTROL!$C$15, $D$11, 100%, $F$11)</f>
        <v>29.434200000000001</v>
      </c>
      <c r="J937" s="4">
        <f>CHOOSE( CONTROL!$C$32, 29.3084, 29.3061) * CHOOSE(CONTROL!$C$15, $D$11, 100%, $F$11)</f>
        <v>29.308399999999999</v>
      </c>
      <c r="K937" s="4"/>
      <c r="L937" s="9">
        <v>29.7257</v>
      </c>
      <c r="M937" s="9">
        <v>11.6745</v>
      </c>
      <c r="N937" s="9">
        <v>4.7850000000000001</v>
      </c>
      <c r="O937" s="9">
        <v>0.36199999999999999</v>
      </c>
      <c r="P937" s="9">
        <v>1.1791</v>
      </c>
      <c r="Q937" s="9">
        <v>19.053000000000001</v>
      </c>
      <c r="R937" s="9"/>
      <c r="S937" s="11"/>
    </row>
    <row r="938" spans="1:19" ht="15.75">
      <c r="A938" s="13">
        <v>70067</v>
      </c>
      <c r="B938" s="8">
        <f>31.895 * CHOOSE(CONTROL!$C$15, $D$11, 100%, $F$11)</f>
        <v>31.895</v>
      </c>
      <c r="C938" s="8">
        <f>31.9058 * CHOOSE(CONTROL!$C$15, $D$11, 100%, $F$11)</f>
        <v>31.905799999999999</v>
      </c>
      <c r="D938" s="8">
        <f>31.9433 * CHOOSE( CONTROL!$C$15, $D$11, 100%, $F$11)</f>
        <v>31.943300000000001</v>
      </c>
      <c r="E938" s="12">
        <f>31.9298 * CHOOSE( CONTROL!$C$15, $D$11, 100%, $F$11)</f>
        <v>31.9298</v>
      </c>
      <c r="F938" s="4">
        <f>32.6343 * CHOOSE(CONTROL!$C$15, $D$11, 100%, $F$11)</f>
        <v>32.634300000000003</v>
      </c>
      <c r="G938" s="8">
        <f>31.1758 * CHOOSE( CONTROL!$C$15, $D$11, 100%, $F$11)</f>
        <v>31.175799999999999</v>
      </c>
      <c r="H938" s="4">
        <f>32.1406 * CHOOSE(CONTROL!$C$15, $D$11, 100%, $F$11)</f>
        <v>32.140599999999999</v>
      </c>
      <c r="I938" s="8">
        <f>30.7351 * CHOOSE(CONTROL!$C$15, $D$11, 100%, $F$11)</f>
        <v>30.735099999999999</v>
      </c>
      <c r="J938" s="4">
        <f>30.608 * CHOOSE(CONTROL!$C$15, $D$11, 100%, $F$11)</f>
        <v>30.608000000000001</v>
      </c>
      <c r="K938" s="4"/>
      <c r="L938" s="9">
        <v>31.095300000000002</v>
      </c>
      <c r="M938" s="9">
        <v>12.063700000000001</v>
      </c>
      <c r="N938" s="9">
        <v>4.9444999999999997</v>
      </c>
      <c r="O938" s="9">
        <v>0.37409999999999999</v>
      </c>
      <c r="P938" s="9">
        <v>1.2183999999999999</v>
      </c>
      <c r="Q938" s="9">
        <v>19.688099999999999</v>
      </c>
      <c r="R938" s="9"/>
      <c r="S938" s="11"/>
    </row>
    <row r="939" spans="1:19" ht="15.75">
      <c r="A939" s="13">
        <v>70097</v>
      </c>
      <c r="B939" s="8">
        <f>34.3979 * CHOOSE(CONTROL!$C$15, $D$11, 100%, $F$11)</f>
        <v>34.3979</v>
      </c>
      <c r="C939" s="8">
        <f>34.4087 * CHOOSE(CONTROL!$C$15, $D$11, 100%, $F$11)</f>
        <v>34.408700000000003</v>
      </c>
      <c r="D939" s="8">
        <f>34.3914 * CHOOSE( CONTROL!$C$15, $D$11, 100%, $F$11)</f>
        <v>34.391399999999997</v>
      </c>
      <c r="E939" s="12">
        <f>34.3966 * CHOOSE( CONTROL!$C$15, $D$11, 100%, $F$11)</f>
        <v>34.396599999999999</v>
      </c>
      <c r="F939" s="4">
        <f>35.0564 * CHOOSE(CONTROL!$C$15, $D$11, 100%, $F$11)</f>
        <v>35.056399999999996</v>
      </c>
      <c r="G939" s="8">
        <f>33.6295 * CHOOSE( CONTROL!$C$15, $D$11, 100%, $F$11)</f>
        <v>33.6295</v>
      </c>
      <c r="H939" s="4">
        <f>34.5087 * CHOOSE(CONTROL!$C$15, $D$11, 100%, $F$11)</f>
        <v>34.508699999999997</v>
      </c>
      <c r="I939" s="8">
        <f>33.1765 * CHOOSE(CONTROL!$C$15, $D$11, 100%, $F$11)</f>
        <v>33.176499999999997</v>
      </c>
      <c r="J939" s="4">
        <f>33.011 * CHOOSE(CONTROL!$C$15, $D$11, 100%, $F$11)</f>
        <v>33.011000000000003</v>
      </c>
      <c r="K939" s="4"/>
      <c r="L939" s="9">
        <v>28.360600000000002</v>
      </c>
      <c r="M939" s="9">
        <v>11.6745</v>
      </c>
      <c r="N939" s="9">
        <v>4.7850000000000001</v>
      </c>
      <c r="O939" s="9">
        <v>0.36199999999999999</v>
      </c>
      <c r="P939" s="9">
        <v>1.2509999999999999</v>
      </c>
      <c r="Q939" s="9">
        <v>19.053000000000001</v>
      </c>
      <c r="R939" s="9"/>
      <c r="S939" s="11"/>
    </row>
    <row r="940" spans="1:19" ht="15.75">
      <c r="A940" s="13">
        <v>70128</v>
      </c>
      <c r="B940" s="8">
        <f>34.3354 * CHOOSE(CONTROL!$C$15, $D$11, 100%, $F$11)</f>
        <v>34.3354</v>
      </c>
      <c r="C940" s="8">
        <f>34.3461 * CHOOSE(CONTROL!$C$15, $D$11, 100%, $F$11)</f>
        <v>34.3461</v>
      </c>
      <c r="D940" s="8">
        <f>34.3306 * CHOOSE( CONTROL!$C$15, $D$11, 100%, $F$11)</f>
        <v>34.330599999999997</v>
      </c>
      <c r="E940" s="12">
        <f>34.3351 * CHOOSE( CONTROL!$C$15, $D$11, 100%, $F$11)</f>
        <v>34.335099999999997</v>
      </c>
      <c r="F940" s="4">
        <f>34.9939 * CHOOSE(CONTROL!$C$15, $D$11, 100%, $F$11)</f>
        <v>34.993899999999996</v>
      </c>
      <c r="G940" s="8">
        <f>33.5696 * CHOOSE( CONTROL!$C$15, $D$11, 100%, $F$11)</f>
        <v>33.569600000000001</v>
      </c>
      <c r="H940" s="4">
        <f>34.4476 * CHOOSE(CONTROL!$C$15, $D$11, 100%, $F$11)</f>
        <v>34.447600000000001</v>
      </c>
      <c r="I940" s="8">
        <f>33.1216 * CHOOSE(CONTROL!$C$15, $D$11, 100%, $F$11)</f>
        <v>33.121600000000001</v>
      </c>
      <c r="J940" s="4">
        <f>32.9509 * CHOOSE(CONTROL!$C$15, $D$11, 100%, $F$11)</f>
        <v>32.950899999999997</v>
      </c>
      <c r="K940" s="4"/>
      <c r="L940" s="9">
        <v>29.306000000000001</v>
      </c>
      <c r="M940" s="9">
        <v>12.063700000000001</v>
      </c>
      <c r="N940" s="9">
        <v>4.9444999999999997</v>
      </c>
      <c r="O940" s="9">
        <v>0.37409999999999999</v>
      </c>
      <c r="P940" s="9">
        <v>1.2927</v>
      </c>
      <c r="Q940" s="9">
        <v>19.688099999999999</v>
      </c>
      <c r="R940" s="9"/>
      <c r="S940" s="11"/>
    </row>
    <row r="941" spans="1:19" ht="15.75">
      <c r="A941" s="13">
        <v>70159</v>
      </c>
      <c r="B941" s="8">
        <f>35.3477 * CHOOSE(CONTROL!$C$15, $D$11, 100%, $F$11)</f>
        <v>35.347700000000003</v>
      </c>
      <c r="C941" s="8">
        <f>35.3585 * CHOOSE(CONTROL!$C$15, $D$11, 100%, $F$11)</f>
        <v>35.358499999999999</v>
      </c>
      <c r="D941" s="8">
        <f>35.3399 * CHOOSE( CONTROL!$C$15, $D$11, 100%, $F$11)</f>
        <v>35.3399</v>
      </c>
      <c r="E941" s="12">
        <f>35.3456 * CHOOSE( CONTROL!$C$15, $D$11, 100%, $F$11)</f>
        <v>35.345599999999997</v>
      </c>
      <c r="F941" s="4">
        <f>36.0062 * CHOOSE(CONTROL!$C$15, $D$11, 100%, $F$11)</f>
        <v>36.0062</v>
      </c>
      <c r="G941" s="8">
        <f>34.5518 * CHOOSE( CONTROL!$C$15, $D$11, 100%, $F$11)</f>
        <v>34.5518</v>
      </c>
      <c r="H941" s="4">
        <f>35.4374 * CHOOSE(CONTROL!$C$15, $D$11, 100%, $F$11)</f>
        <v>35.437399999999997</v>
      </c>
      <c r="I941" s="8">
        <f>34.0589 * CHOOSE(CONTROL!$C$15, $D$11, 100%, $F$11)</f>
        <v>34.058900000000001</v>
      </c>
      <c r="J941" s="4">
        <f>33.9229 * CHOOSE(CONTROL!$C$15, $D$11, 100%, $F$11)</f>
        <v>33.922899999999998</v>
      </c>
      <c r="K941" s="4"/>
      <c r="L941" s="9">
        <v>29.306000000000001</v>
      </c>
      <c r="M941" s="9">
        <v>12.063700000000001</v>
      </c>
      <c r="N941" s="9">
        <v>4.9444999999999997</v>
      </c>
      <c r="O941" s="9">
        <v>0.37409999999999999</v>
      </c>
      <c r="P941" s="9">
        <v>1.2927</v>
      </c>
      <c r="Q941" s="9">
        <v>19.688099999999999</v>
      </c>
      <c r="R941" s="9"/>
      <c r="S941" s="11"/>
    </row>
    <row r="942" spans="1:19" ht="15.75">
      <c r="A942" s="13">
        <v>70188</v>
      </c>
      <c r="B942" s="8">
        <f>33.0635 * CHOOSE(CONTROL!$C$15, $D$11, 100%, $F$11)</f>
        <v>33.063499999999998</v>
      </c>
      <c r="C942" s="8">
        <f>33.0743 * CHOOSE(CONTROL!$C$15, $D$11, 100%, $F$11)</f>
        <v>33.074300000000001</v>
      </c>
      <c r="D942" s="8">
        <f>33.0556 * CHOOSE( CONTROL!$C$15, $D$11, 100%, $F$11)</f>
        <v>33.055599999999998</v>
      </c>
      <c r="E942" s="12">
        <f>33.0613 * CHOOSE( CONTROL!$C$15, $D$11, 100%, $F$11)</f>
        <v>33.061300000000003</v>
      </c>
      <c r="F942" s="4">
        <f>33.722 * CHOOSE(CONTROL!$C$15, $D$11, 100%, $F$11)</f>
        <v>33.722000000000001</v>
      </c>
      <c r="G942" s="8">
        <f>32.3185 * CHOOSE( CONTROL!$C$15, $D$11, 100%, $F$11)</f>
        <v>32.3185</v>
      </c>
      <c r="H942" s="4">
        <f>33.2041 * CHOOSE(CONTROL!$C$15, $D$11, 100%, $F$11)</f>
        <v>33.204099999999997</v>
      </c>
      <c r="I942" s="8">
        <f>31.8645 * CHOOSE(CONTROL!$C$15, $D$11, 100%, $F$11)</f>
        <v>31.8645</v>
      </c>
      <c r="J942" s="4">
        <f>31.7298 * CHOOSE(CONTROL!$C$15, $D$11, 100%, $F$11)</f>
        <v>31.729800000000001</v>
      </c>
      <c r="K942" s="4"/>
      <c r="L942" s="9">
        <v>27.415299999999998</v>
      </c>
      <c r="M942" s="9">
        <v>11.285299999999999</v>
      </c>
      <c r="N942" s="9">
        <v>4.6254999999999997</v>
      </c>
      <c r="O942" s="9">
        <v>0.34989999999999999</v>
      </c>
      <c r="P942" s="9">
        <v>1.2093</v>
      </c>
      <c r="Q942" s="9">
        <v>18.417899999999999</v>
      </c>
      <c r="R942" s="9"/>
      <c r="S942" s="11"/>
    </row>
    <row r="943" spans="1:19" ht="15.75">
      <c r="A943" s="13">
        <v>70219</v>
      </c>
      <c r="B943" s="8">
        <f>32.36 * CHOOSE(CONTROL!$C$15, $D$11, 100%, $F$11)</f>
        <v>32.36</v>
      </c>
      <c r="C943" s="8">
        <f>32.3708 * CHOOSE(CONTROL!$C$15, $D$11, 100%, $F$11)</f>
        <v>32.370800000000003</v>
      </c>
      <c r="D943" s="8">
        <f>32.3516 * CHOOSE( CONTROL!$C$15, $D$11, 100%, $F$11)</f>
        <v>32.351599999999998</v>
      </c>
      <c r="E943" s="12">
        <f>32.3575 * CHOOSE( CONTROL!$C$15, $D$11, 100%, $F$11)</f>
        <v>32.357500000000002</v>
      </c>
      <c r="F943" s="4">
        <f>33.0185 * CHOOSE(CONTROL!$C$15, $D$11, 100%, $F$11)</f>
        <v>33.018500000000003</v>
      </c>
      <c r="G943" s="8">
        <f>31.6303 * CHOOSE( CONTROL!$C$15, $D$11, 100%, $F$11)</f>
        <v>31.630299999999998</v>
      </c>
      <c r="H943" s="4">
        <f>32.5163 * CHOOSE(CONTROL!$C$15, $D$11, 100%, $F$11)</f>
        <v>32.516300000000001</v>
      </c>
      <c r="I943" s="8">
        <f>31.1872 * CHOOSE(CONTROL!$C$15, $D$11, 100%, $F$11)</f>
        <v>31.187200000000001</v>
      </c>
      <c r="J943" s="4">
        <f>31.0544 * CHOOSE(CONTROL!$C$15, $D$11, 100%, $F$11)</f>
        <v>31.054400000000001</v>
      </c>
      <c r="K943" s="4"/>
      <c r="L943" s="9">
        <v>29.306000000000001</v>
      </c>
      <c r="M943" s="9">
        <v>12.063700000000001</v>
      </c>
      <c r="N943" s="9">
        <v>4.9444999999999997</v>
      </c>
      <c r="O943" s="9">
        <v>0.37409999999999999</v>
      </c>
      <c r="P943" s="9">
        <v>1.2927</v>
      </c>
      <c r="Q943" s="9">
        <v>19.688099999999999</v>
      </c>
      <c r="R943" s="9"/>
      <c r="S943" s="11"/>
    </row>
    <row r="944" spans="1:19" ht="15.75">
      <c r="A944" s="13">
        <v>70249</v>
      </c>
      <c r="B944" s="8">
        <f>32.8516 * CHOOSE(CONTROL!$C$15, $D$11, 100%, $F$11)</f>
        <v>32.851599999999998</v>
      </c>
      <c r="C944" s="8">
        <f>32.8624 * CHOOSE(CONTROL!$C$15, $D$11, 100%, $F$11)</f>
        <v>32.862400000000001</v>
      </c>
      <c r="D944" s="8">
        <f>32.8993 * CHOOSE( CONTROL!$C$15, $D$11, 100%, $F$11)</f>
        <v>32.899299999999997</v>
      </c>
      <c r="E944" s="12">
        <f>32.8859 * CHOOSE( CONTROL!$C$15, $D$11, 100%, $F$11)</f>
        <v>32.885899999999999</v>
      </c>
      <c r="F944" s="4">
        <f>33.5908 * CHOOSE(CONTROL!$C$15, $D$11, 100%, $F$11)</f>
        <v>33.590800000000002</v>
      </c>
      <c r="G944" s="8">
        <f>32.1101 * CHOOSE( CONTROL!$C$15, $D$11, 100%, $F$11)</f>
        <v>32.110100000000003</v>
      </c>
      <c r="H944" s="4">
        <f>33.0758 * CHOOSE(CONTROL!$C$15, $D$11, 100%, $F$11)</f>
        <v>33.075800000000001</v>
      </c>
      <c r="I944" s="8">
        <f>31.6513 * CHOOSE(CONTROL!$C$15, $D$11, 100%, $F$11)</f>
        <v>31.651299999999999</v>
      </c>
      <c r="J944" s="4">
        <f>31.5264 * CHOOSE(CONTROL!$C$15, $D$11, 100%, $F$11)</f>
        <v>31.526399999999999</v>
      </c>
      <c r="K944" s="4"/>
      <c r="L944" s="9">
        <v>30.092199999999998</v>
      </c>
      <c r="M944" s="9">
        <v>11.6745</v>
      </c>
      <c r="N944" s="9">
        <v>4.7850000000000001</v>
      </c>
      <c r="O944" s="9">
        <v>0.36199999999999999</v>
      </c>
      <c r="P944" s="9">
        <v>1.1791</v>
      </c>
      <c r="Q944" s="9">
        <v>19.053000000000001</v>
      </c>
      <c r="R944" s="9"/>
      <c r="S944" s="11"/>
    </row>
    <row r="945" spans="1:19" ht="15.75">
      <c r="A945" s="13">
        <v>70280</v>
      </c>
      <c r="B945" s="8">
        <f>CHOOSE( CONTROL!$C$32, 33.7288, 33.7264) * CHOOSE(CONTROL!$C$15, $D$11, 100%, $F$11)</f>
        <v>33.7288</v>
      </c>
      <c r="C945" s="8">
        <f>CHOOSE( CONTROL!$C$32, 33.7394, 33.737) * CHOOSE(CONTROL!$C$15, $D$11, 100%, $F$11)</f>
        <v>33.739400000000003</v>
      </c>
      <c r="D945" s="8">
        <f>CHOOSE( CONTROL!$C$32, 33.7752, 33.7728) * CHOOSE( CONTROL!$C$15, $D$11, 100%, $F$11)</f>
        <v>33.775199999999998</v>
      </c>
      <c r="E945" s="12">
        <f>CHOOSE( CONTROL!$C$32, 33.7606, 33.7582) * CHOOSE( CONTROL!$C$15, $D$11, 100%, $F$11)</f>
        <v>33.760599999999997</v>
      </c>
      <c r="F945" s="4">
        <f>CHOOSE( CONTROL!$C$32, 34.4682, 34.4658) * CHOOSE(CONTROL!$C$15, $D$11, 100%, $F$11)</f>
        <v>34.468200000000003</v>
      </c>
      <c r="G945" s="8">
        <f>CHOOSE( CONTROL!$C$32, 32.9684, 32.9661) * CHOOSE( CONTROL!$C$15, $D$11, 100%, $F$11)</f>
        <v>32.968400000000003</v>
      </c>
      <c r="H945" s="4">
        <f>CHOOSE( CONTROL!$C$32, 33.9336, 33.9313) * CHOOSE(CONTROL!$C$15, $D$11, 100%, $F$11)</f>
        <v>33.933599999999998</v>
      </c>
      <c r="I945" s="8">
        <f>CHOOSE( CONTROL!$C$32, 32.4941, 32.4918) * CHOOSE(CONTROL!$C$15, $D$11, 100%, $F$11)</f>
        <v>32.494100000000003</v>
      </c>
      <c r="J945" s="4">
        <f>CHOOSE( CONTROL!$C$32, 32.3687, 32.3664) * CHOOSE(CONTROL!$C$15, $D$11, 100%, $F$11)</f>
        <v>32.368699999999997</v>
      </c>
      <c r="K945" s="4"/>
      <c r="L945" s="9">
        <v>30.7165</v>
      </c>
      <c r="M945" s="9">
        <v>12.063700000000001</v>
      </c>
      <c r="N945" s="9">
        <v>4.9444999999999997</v>
      </c>
      <c r="O945" s="9">
        <v>0.37409999999999999</v>
      </c>
      <c r="P945" s="9">
        <v>1.2183999999999999</v>
      </c>
      <c r="Q945" s="9">
        <v>19.688099999999999</v>
      </c>
      <c r="R945" s="9"/>
      <c r="S945" s="11"/>
    </row>
    <row r="946" spans="1:19" ht="15.75">
      <c r="A946" s="13">
        <v>70310</v>
      </c>
      <c r="B946" s="8">
        <f>CHOOSE( CONTROL!$C$32, 33.1868, 33.1844) * CHOOSE(CONTROL!$C$15, $D$11, 100%, $F$11)</f>
        <v>33.186799999999998</v>
      </c>
      <c r="C946" s="8">
        <f>CHOOSE( CONTROL!$C$32, 33.1974, 33.195) * CHOOSE(CONTROL!$C$15, $D$11, 100%, $F$11)</f>
        <v>33.197400000000002</v>
      </c>
      <c r="D946" s="8">
        <f>CHOOSE( CONTROL!$C$32, 33.2334, 33.231) * CHOOSE( CONTROL!$C$15, $D$11, 100%, $F$11)</f>
        <v>33.233400000000003</v>
      </c>
      <c r="E946" s="12">
        <f>CHOOSE( CONTROL!$C$32, 33.2187, 33.2163) * CHOOSE( CONTROL!$C$15, $D$11, 100%, $F$11)</f>
        <v>33.218699999999998</v>
      </c>
      <c r="F946" s="4">
        <f>CHOOSE( CONTROL!$C$32, 33.9262, 33.9238) * CHOOSE(CONTROL!$C$15, $D$11, 100%, $F$11)</f>
        <v>33.926200000000001</v>
      </c>
      <c r="G946" s="8">
        <f>CHOOSE( CONTROL!$C$32, 32.4388, 32.4365) * CHOOSE( CONTROL!$C$15, $D$11, 100%, $F$11)</f>
        <v>32.438800000000001</v>
      </c>
      <c r="H946" s="4">
        <f>CHOOSE( CONTROL!$C$32, 33.4037, 33.4014) * CHOOSE(CONTROL!$C$15, $D$11, 100%, $F$11)</f>
        <v>33.403700000000001</v>
      </c>
      <c r="I946" s="8">
        <f>CHOOSE( CONTROL!$C$32, 31.9744, 31.9721) * CHOOSE(CONTROL!$C$15, $D$11, 100%, $F$11)</f>
        <v>31.974399999999999</v>
      </c>
      <c r="J946" s="4">
        <f>CHOOSE( CONTROL!$C$32, 31.8483, 31.846) * CHOOSE(CONTROL!$C$15, $D$11, 100%, $F$11)</f>
        <v>31.848299999999998</v>
      </c>
      <c r="K946" s="4"/>
      <c r="L946" s="9">
        <v>29.7257</v>
      </c>
      <c r="M946" s="9">
        <v>11.6745</v>
      </c>
      <c r="N946" s="9">
        <v>4.7850000000000001</v>
      </c>
      <c r="O946" s="9">
        <v>0.36199999999999999</v>
      </c>
      <c r="P946" s="9">
        <v>1.1791</v>
      </c>
      <c r="Q946" s="9">
        <v>19.053000000000001</v>
      </c>
      <c r="R946" s="9"/>
      <c r="S946" s="11"/>
    </row>
    <row r="947" spans="1:19" ht="15.75">
      <c r="A947" s="13">
        <v>70341</v>
      </c>
      <c r="B947" s="8">
        <f>CHOOSE( CONTROL!$C$32, 34.6141, 34.6117) * CHOOSE(CONTROL!$C$15, $D$11, 100%, $F$11)</f>
        <v>34.614100000000001</v>
      </c>
      <c r="C947" s="8">
        <f>CHOOSE( CONTROL!$C$32, 34.6247, 34.6223) * CHOOSE(CONTROL!$C$15, $D$11, 100%, $F$11)</f>
        <v>34.624699999999997</v>
      </c>
      <c r="D947" s="8">
        <f>CHOOSE( CONTROL!$C$32, 34.6609, 34.6585) * CHOOSE( CONTROL!$C$15, $D$11, 100%, $F$11)</f>
        <v>34.660899999999998</v>
      </c>
      <c r="E947" s="12">
        <f>CHOOSE( CONTROL!$C$32, 34.6462, 34.6438) * CHOOSE( CONTROL!$C$15, $D$11, 100%, $F$11)</f>
        <v>34.6462</v>
      </c>
      <c r="F947" s="4">
        <f>CHOOSE( CONTROL!$C$32, 35.3535, 35.3511) * CHOOSE(CONTROL!$C$15, $D$11, 100%, $F$11)</f>
        <v>35.353499999999997</v>
      </c>
      <c r="G947" s="8">
        <f>CHOOSE( CONTROL!$C$32, 33.8346, 33.8323) * CHOOSE( CONTROL!$C$15, $D$11, 100%, $F$11)</f>
        <v>33.834600000000002</v>
      </c>
      <c r="H947" s="4">
        <f>CHOOSE( CONTROL!$C$32, 34.7992, 34.7968) * CHOOSE(CONTROL!$C$15, $D$11, 100%, $F$11)</f>
        <v>34.799199999999999</v>
      </c>
      <c r="I947" s="8">
        <f>CHOOSE( CONTROL!$C$32, 33.3465, 33.3442) * CHOOSE(CONTROL!$C$15, $D$11, 100%, $F$11)</f>
        <v>33.346499999999999</v>
      </c>
      <c r="J947" s="4">
        <f>CHOOSE( CONTROL!$C$32, 33.2187, 33.2164) * CHOOSE(CONTROL!$C$15, $D$11, 100%, $F$11)</f>
        <v>33.218699999999998</v>
      </c>
      <c r="K947" s="4"/>
      <c r="L947" s="9">
        <v>30.7165</v>
      </c>
      <c r="M947" s="9">
        <v>12.063700000000001</v>
      </c>
      <c r="N947" s="9">
        <v>4.9444999999999997</v>
      </c>
      <c r="O947" s="9">
        <v>0.37409999999999999</v>
      </c>
      <c r="P947" s="9">
        <v>1.2183999999999999</v>
      </c>
      <c r="Q947" s="9">
        <v>19.688099999999999</v>
      </c>
      <c r="R947" s="9"/>
      <c r="S947" s="11"/>
    </row>
    <row r="948" spans="1:19" ht="15.75">
      <c r="A948" s="13">
        <v>70372</v>
      </c>
      <c r="B948" s="8">
        <f>CHOOSE( CONTROL!$C$32, 31.9435, 31.9411) * CHOOSE(CONTROL!$C$15, $D$11, 100%, $F$11)</f>
        <v>31.9435</v>
      </c>
      <c r="C948" s="8">
        <f>CHOOSE( CONTROL!$C$32, 31.9541, 31.9517) * CHOOSE(CONTROL!$C$15, $D$11, 100%, $F$11)</f>
        <v>31.9541</v>
      </c>
      <c r="D948" s="8">
        <f>CHOOSE( CONTROL!$C$32, 31.9903, 31.988) * CHOOSE( CONTROL!$C$15, $D$11, 100%, $F$11)</f>
        <v>31.990300000000001</v>
      </c>
      <c r="E948" s="12">
        <f>CHOOSE( CONTROL!$C$32, 31.9756, 31.9732) * CHOOSE( CONTROL!$C$15, $D$11, 100%, $F$11)</f>
        <v>31.9756</v>
      </c>
      <c r="F948" s="4">
        <f>CHOOSE( CONTROL!$C$32, 32.6828, 32.6805) * CHOOSE(CONTROL!$C$15, $D$11, 100%, $F$11)</f>
        <v>32.6828</v>
      </c>
      <c r="G948" s="8">
        <f>CHOOSE( CONTROL!$C$32, 31.2236, 31.2213) * CHOOSE( CONTROL!$C$15, $D$11, 100%, $F$11)</f>
        <v>31.223600000000001</v>
      </c>
      <c r="H948" s="4">
        <f>CHOOSE( CONTROL!$C$32, 32.1881, 32.1858) * CHOOSE(CONTROL!$C$15, $D$11, 100%, $F$11)</f>
        <v>32.188099999999999</v>
      </c>
      <c r="I948" s="8">
        <f>CHOOSE( CONTROL!$C$32, 30.7813, 30.7791) * CHOOSE(CONTROL!$C$15, $D$11, 100%, $F$11)</f>
        <v>30.781300000000002</v>
      </c>
      <c r="J948" s="4">
        <f>CHOOSE( CONTROL!$C$32, 30.6546, 30.6523) * CHOOSE(CONTROL!$C$15, $D$11, 100%, $F$11)</f>
        <v>30.654599999999999</v>
      </c>
      <c r="K948" s="4"/>
      <c r="L948" s="9">
        <v>30.7165</v>
      </c>
      <c r="M948" s="9">
        <v>12.063700000000001</v>
      </c>
      <c r="N948" s="9">
        <v>4.9444999999999997</v>
      </c>
      <c r="O948" s="9">
        <v>0.37409999999999999</v>
      </c>
      <c r="P948" s="9">
        <v>1.2183999999999999</v>
      </c>
      <c r="Q948" s="9">
        <v>19.688099999999999</v>
      </c>
      <c r="R948" s="9"/>
      <c r="S948" s="11"/>
    </row>
    <row r="949" spans="1:19" ht="15.75">
      <c r="A949" s="13">
        <v>70402</v>
      </c>
      <c r="B949" s="8">
        <f>CHOOSE( CONTROL!$C$32, 31.2747, 31.2723) * CHOOSE(CONTROL!$C$15, $D$11, 100%, $F$11)</f>
        <v>31.274699999999999</v>
      </c>
      <c r="C949" s="8">
        <f>CHOOSE( CONTROL!$C$32, 31.2853, 31.2829) * CHOOSE(CONTROL!$C$15, $D$11, 100%, $F$11)</f>
        <v>31.285299999999999</v>
      </c>
      <c r="D949" s="8">
        <f>CHOOSE( CONTROL!$C$32, 31.3215, 31.3191) * CHOOSE( CONTROL!$C$15, $D$11, 100%, $F$11)</f>
        <v>31.3215</v>
      </c>
      <c r="E949" s="12">
        <f>CHOOSE( CONTROL!$C$32, 31.3068, 31.3044) * CHOOSE( CONTROL!$C$15, $D$11, 100%, $F$11)</f>
        <v>31.306799999999999</v>
      </c>
      <c r="F949" s="4">
        <f>CHOOSE( CONTROL!$C$32, 32.0141, 32.0117) * CHOOSE(CONTROL!$C$15, $D$11, 100%, $F$11)</f>
        <v>32.014099999999999</v>
      </c>
      <c r="G949" s="8">
        <f>CHOOSE( CONTROL!$C$32, 30.5697, 30.5673) * CHOOSE( CONTROL!$C$15, $D$11, 100%, $F$11)</f>
        <v>30.569700000000001</v>
      </c>
      <c r="H949" s="4">
        <f>CHOOSE( CONTROL!$C$32, 31.5343, 31.5319) * CHOOSE(CONTROL!$C$15, $D$11, 100%, $F$11)</f>
        <v>31.534300000000002</v>
      </c>
      <c r="I949" s="8">
        <f>CHOOSE( CONTROL!$C$32, 30.1387, 30.1364) * CHOOSE(CONTROL!$C$15, $D$11, 100%, $F$11)</f>
        <v>30.1387</v>
      </c>
      <c r="J949" s="4">
        <f>CHOOSE( CONTROL!$C$32, 30.0125, 30.0102) * CHOOSE(CONTROL!$C$15, $D$11, 100%, $F$11)</f>
        <v>30.012499999999999</v>
      </c>
      <c r="K949" s="4"/>
      <c r="L949" s="9">
        <v>29.7257</v>
      </c>
      <c r="M949" s="9">
        <v>11.6745</v>
      </c>
      <c r="N949" s="9">
        <v>4.7850000000000001</v>
      </c>
      <c r="O949" s="9">
        <v>0.36199999999999999</v>
      </c>
      <c r="P949" s="9">
        <v>1.1791</v>
      </c>
      <c r="Q949" s="9">
        <v>19.053000000000001</v>
      </c>
      <c r="R949" s="9"/>
      <c r="S949" s="11"/>
    </row>
    <row r="950" spans="1:19" ht="15.75">
      <c r="A950" s="13">
        <v>70433</v>
      </c>
      <c r="B950" s="8">
        <f>32.661 * CHOOSE(CONTROL!$C$15, $D$11, 100%, $F$11)</f>
        <v>32.661000000000001</v>
      </c>
      <c r="C950" s="8">
        <f>32.6718 * CHOOSE(CONTROL!$C$15, $D$11, 100%, $F$11)</f>
        <v>32.671799999999998</v>
      </c>
      <c r="D950" s="8">
        <f>32.7093 * CHOOSE( CONTROL!$C$15, $D$11, 100%, $F$11)</f>
        <v>32.709299999999999</v>
      </c>
      <c r="E950" s="12">
        <f>32.6958 * CHOOSE( CONTROL!$C$15, $D$11, 100%, $F$11)</f>
        <v>32.695799999999998</v>
      </c>
      <c r="F950" s="4">
        <f>33.4003 * CHOOSE(CONTROL!$C$15, $D$11, 100%, $F$11)</f>
        <v>33.400300000000001</v>
      </c>
      <c r="G950" s="8">
        <f>31.9247 * CHOOSE( CONTROL!$C$15, $D$11, 100%, $F$11)</f>
        <v>31.924700000000001</v>
      </c>
      <c r="H950" s="4">
        <f>32.8895 * CHOOSE(CONTROL!$C$15, $D$11, 100%, $F$11)</f>
        <v>32.889499999999998</v>
      </c>
      <c r="I950" s="8">
        <f>31.4709 * CHOOSE(CONTROL!$C$15, $D$11, 100%, $F$11)</f>
        <v>31.4709</v>
      </c>
      <c r="J950" s="4">
        <f>31.3434 * CHOOSE(CONTROL!$C$15, $D$11, 100%, $F$11)</f>
        <v>31.343399999999999</v>
      </c>
      <c r="K950" s="4"/>
      <c r="L950" s="9">
        <v>31.095300000000002</v>
      </c>
      <c r="M950" s="9">
        <v>12.063700000000001</v>
      </c>
      <c r="N950" s="9">
        <v>4.9444999999999997</v>
      </c>
      <c r="O950" s="9">
        <v>0.37409999999999999</v>
      </c>
      <c r="P950" s="9">
        <v>1.2183999999999999</v>
      </c>
      <c r="Q950" s="9">
        <v>19.688099999999999</v>
      </c>
      <c r="R950" s="9"/>
      <c r="S950" s="11"/>
    </row>
    <row r="951" spans="1:19" ht="15.75">
      <c r="A951" s="13">
        <v>70463</v>
      </c>
      <c r="B951" s="8">
        <f>35.224 * CHOOSE(CONTROL!$C$15, $D$11, 100%, $F$11)</f>
        <v>35.223999999999997</v>
      </c>
      <c r="C951" s="8">
        <f>35.2348 * CHOOSE(CONTROL!$C$15, $D$11, 100%, $F$11)</f>
        <v>35.2348</v>
      </c>
      <c r="D951" s="8">
        <f>35.2176 * CHOOSE( CONTROL!$C$15, $D$11, 100%, $F$11)</f>
        <v>35.217599999999997</v>
      </c>
      <c r="E951" s="12">
        <f>35.2227 * CHOOSE( CONTROL!$C$15, $D$11, 100%, $F$11)</f>
        <v>35.222700000000003</v>
      </c>
      <c r="F951" s="4">
        <f>35.8825 * CHOOSE(CONTROL!$C$15, $D$11, 100%, $F$11)</f>
        <v>35.8825</v>
      </c>
      <c r="G951" s="8">
        <f>34.4372 * CHOOSE( CONTROL!$C$15, $D$11, 100%, $F$11)</f>
        <v>34.437199999999997</v>
      </c>
      <c r="H951" s="4">
        <f>35.3165 * CHOOSE(CONTROL!$C$15, $D$11, 100%, $F$11)</f>
        <v>35.316499999999998</v>
      </c>
      <c r="I951" s="8">
        <f>33.9701 * CHOOSE(CONTROL!$C$15, $D$11, 100%, $F$11)</f>
        <v>33.970100000000002</v>
      </c>
      <c r="J951" s="4">
        <f>33.8041 * CHOOSE(CONTROL!$C$15, $D$11, 100%, $F$11)</f>
        <v>33.804099999999998</v>
      </c>
      <c r="K951" s="4"/>
      <c r="L951" s="9">
        <v>28.360600000000002</v>
      </c>
      <c r="M951" s="9">
        <v>11.6745</v>
      </c>
      <c r="N951" s="9">
        <v>4.7850000000000001</v>
      </c>
      <c r="O951" s="9">
        <v>0.36199999999999999</v>
      </c>
      <c r="P951" s="9">
        <v>1.2509999999999999</v>
      </c>
      <c r="Q951" s="9">
        <v>19.053000000000001</v>
      </c>
      <c r="R951" s="9"/>
      <c r="S951" s="11"/>
    </row>
    <row r="952" spans="1:19" ht="15.75">
      <c r="A952" s="13">
        <v>70494</v>
      </c>
      <c r="B952" s="8">
        <f>35.16 * CHOOSE(CONTROL!$C$15, $D$11, 100%, $F$11)</f>
        <v>35.159999999999997</v>
      </c>
      <c r="C952" s="8">
        <f>35.1708 * CHOOSE(CONTROL!$C$15, $D$11, 100%, $F$11)</f>
        <v>35.1708</v>
      </c>
      <c r="D952" s="8">
        <f>35.1552 * CHOOSE( CONTROL!$C$15, $D$11, 100%, $F$11)</f>
        <v>35.155200000000001</v>
      </c>
      <c r="E952" s="12">
        <f>35.1598 * CHOOSE( CONTROL!$C$15, $D$11, 100%, $F$11)</f>
        <v>35.159799999999997</v>
      </c>
      <c r="F952" s="4">
        <f>35.8185 * CHOOSE(CONTROL!$C$15, $D$11, 100%, $F$11)</f>
        <v>35.8185</v>
      </c>
      <c r="G952" s="8">
        <f>34.3758 * CHOOSE( CONTROL!$C$15, $D$11, 100%, $F$11)</f>
        <v>34.375799999999998</v>
      </c>
      <c r="H952" s="4">
        <f>35.2538 * CHOOSE(CONTROL!$C$15, $D$11, 100%, $F$11)</f>
        <v>35.253799999999998</v>
      </c>
      <c r="I952" s="8">
        <f>33.9138 * CHOOSE(CONTROL!$C$15, $D$11, 100%, $F$11)</f>
        <v>33.913800000000002</v>
      </c>
      <c r="J952" s="4">
        <f>33.7427 * CHOOSE(CONTROL!$C$15, $D$11, 100%, $F$11)</f>
        <v>33.742699999999999</v>
      </c>
      <c r="K952" s="4"/>
      <c r="L952" s="9">
        <v>29.306000000000001</v>
      </c>
      <c r="M952" s="9">
        <v>12.063700000000001</v>
      </c>
      <c r="N952" s="9">
        <v>4.9444999999999997</v>
      </c>
      <c r="O952" s="9">
        <v>0.37409999999999999</v>
      </c>
      <c r="P952" s="9">
        <v>1.2927</v>
      </c>
      <c r="Q952" s="9">
        <v>19.688099999999999</v>
      </c>
      <c r="R952" s="9"/>
      <c r="S952" s="11"/>
    </row>
    <row r="953" spans="1:19" ht="15.75">
      <c r="A953" s="13">
        <v>70525</v>
      </c>
      <c r="B953" s="8">
        <f>36.1967 * CHOOSE(CONTROL!$C$15, $D$11, 100%, $F$11)</f>
        <v>36.1967</v>
      </c>
      <c r="C953" s="8">
        <f>36.2074 * CHOOSE(CONTROL!$C$15, $D$11, 100%, $F$11)</f>
        <v>36.2074</v>
      </c>
      <c r="D953" s="8">
        <f>36.1888 * CHOOSE( CONTROL!$C$15, $D$11, 100%, $F$11)</f>
        <v>36.188800000000001</v>
      </c>
      <c r="E953" s="12">
        <f>36.1945 * CHOOSE( CONTROL!$C$15, $D$11, 100%, $F$11)</f>
        <v>36.194499999999998</v>
      </c>
      <c r="F953" s="4">
        <f>36.8552 * CHOOSE(CONTROL!$C$15, $D$11, 100%, $F$11)</f>
        <v>36.855200000000004</v>
      </c>
      <c r="G953" s="8">
        <f>35.3818 * CHOOSE( CONTROL!$C$15, $D$11, 100%, $F$11)</f>
        <v>35.381799999999998</v>
      </c>
      <c r="H953" s="4">
        <f>36.2674 * CHOOSE(CONTROL!$C$15, $D$11, 100%, $F$11)</f>
        <v>36.267400000000002</v>
      </c>
      <c r="I953" s="8">
        <f>34.8744 * CHOOSE(CONTROL!$C$15, $D$11, 100%, $F$11)</f>
        <v>34.874400000000001</v>
      </c>
      <c r="J953" s="4">
        <f>34.738 * CHOOSE(CONTROL!$C$15, $D$11, 100%, $F$11)</f>
        <v>34.738</v>
      </c>
      <c r="K953" s="4"/>
      <c r="L953" s="9">
        <v>29.306000000000001</v>
      </c>
      <c r="M953" s="9">
        <v>12.063700000000001</v>
      </c>
      <c r="N953" s="9">
        <v>4.9444999999999997</v>
      </c>
      <c r="O953" s="9">
        <v>0.37409999999999999</v>
      </c>
      <c r="P953" s="9">
        <v>1.2927</v>
      </c>
      <c r="Q953" s="9">
        <v>19.688099999999999</v>
      </c>
      <c r="R953" s="9"/>
      <c r="S953" s="11"/>
    </row>
    <row r="954" spans="1:19" ht="15.75">
      <c r="A954" s="13">
        <v>70553</v>
      </c>
      <c r="B954" s="8">
        <f>33.8576 * CHOOSE(CONTROL!$C$15, $D$11, 100%, $F$11)</f>
        <v>33.857599999999998</v>
      </c>
      <c r="C954" s="8">
        <f>33.8684 * CHOOSE(CONTROL!$C$15, $D$11, 100%, $F$11)</f>
        <v>33.868400000000001</v>
      </c>
      <c r="D954" s="8">
        <f>33.8496 * CHOOSE( CONTROL!$C$15, $D$11, 100%, $F$11)</f>
        <v>33.849600000000002</v>
      </c>
      <c r="E954" s="12">
        <f>33.8553 * CHOOSE( CONTROL!$C$15, $D$11, 100%, $F$11)</f>
        <v>33.8553</v>
      </c>
      <c r="F954" s="4">
        <f>34.5161 * CHOOSE(CONTROL!$C$15, $D$11, 100%, $F$11)</f>
        <v>34.516100000000002</v>
      </c>
      <c r="G954" s="8">
        <f>33.0948 * CHOOSE( CONTROL!$C$15, $D$11, 100%, $F$11)</f>
        <v>33.094799999999999</v>
      </c>
      <c r="H954" s="4">
        <f>33.9805 * CHOOSE(CONTROL!$C$15, $D$11, 100%, $F$11)</f>
        <v>33.980499999999999</v>
      </c>
      <c r="I954" s="8">
        <f>32.6273 * CHOOSE(CONTROL!$C$15, $D$11, 100%, $F$11)</f>
        <v>32.627299999999998</v>
      </c>
      <c r="J954" s="4">
        <f>32.4922 * CHOOSE(CONTROL!$C$15, $D$11, 100%, $F$11)</f>
        <v>32.492199999999997</v>
      </c>
      <c r="K954" s="4"/>
      <c r="L954" s="9">
        <v>26.469899999999999</v>
      </c>
      <c r="M954" s="9">
        <v>10.8962</v>
      </c>
      <c r="N954" s="9">
        <v>4.4660000000000002</v>
      </c>
      <c r="O954" s="9">
        <v>0.33789999999999998</v>
      </c>
      <c r="P954" s="9">
        <v>1.1676</v>
      </c>
      <c r="Q954" s="9">
        <v>17.782800000000002</v>
      </c>
      <c r="R954" s="9"/>
      <c r="S954" s="11"/>
    </row>
    <row r="955" spans="1:19" ht="15.75">
      <c r="A955" s="13">
        <v>70584</v>
      </c>
      <c r="B955" s="8">
        <f>33.1372 * CHOOSE(CONTROL!$C$15, $D$11, 100%, $F$11)</f>
        <v>33.1372</v>
      </c>
      <c r="C955" s="8">
        <f>33.1479 * CHOOSE(CONTROL!$C$15, $D$11, 100%, $F$11)</f>
        <v>33.1479</v>
      </c>
      <c r="D955" s="8">
        <f>33.1287 * CHOOSE( CONTROL!$C$15, $D$11, 100%, $F$11)</f>
        <v>33.128700000000002</v>
      </c>
      <c r="E955" s="12">
        <f>33.1346 * CHOOSE( CONTROL!$C$15, $D$11, 100%, $F$11)</f>
        <v>33.134599999999999</v>
      </c>
      <c r="F955" s="4">
        <f>33.7957 * CHOOSE(CONTROL!$C$15, $D$11, 100%, $F$11)</f>
        <v>33.795699999999997</v>
      </c>
      <c r="G955" s="8">
        <f>32.3901 * CHOOSE( CONTROL!$C$15, $D$11, 100%, $F$11)</f>
        <v>32.390099999999997</v>
      </c>
      <c r="H955" s="4">
        <f>33.2761 * CHOOSE(CONTROL!$C$15, $D$11, 100%, $F$11)</f>
        <v>33.2761</v>
      </c>
      <c r="I955" s="8">
        <f>31.9337 * CHOOSE(CONTROL!$C$15, $D$11, 100%, $F$11)</f>
        <v>31.933700000000002</v>
      </c>
      <c r="J955" s="4">
        <f>31.8005 * CHOOSE(CONTROL!$C$15, $D$11, 100%, $F$11)</f>
        <v>31.8005</v>
      </c>
      <c r="K955" s="4"/>
      <c r="L955" s="9">
        <v>29.306000000000001</v>
      </c>
      <c r="M955" s="9">
        <v>12.063700000000001</v>
      </c>
      <c r="N955" s="9">
        <v>4.9444999999999997</v>
      </c>
      <c r="O955" s="9">
        <v>0.37409999999999999</v>
      </c>
      <c r="P955" s="9">
        <v>1.2927</v>
      </c>
      <c r="Q955" s="9">
        <v>19.688099999999999</v>
      </c>
      <c r="R955" s="9"/>
      <c r="S955" s="11"/>
    </row>
    <row r="956" spans="1:19" ht="15.75">
      <c r="A956" s="13">
        <v>70614</v>
      </c>
      <c r="B956" s="8">
        <f>33.6405 * CHOOSE(CONTROL!$C$15, $D$11, 100%, $F$11)</f>
        <v>33.640500000000003</v>
      </c>
      <c r="C956" s="8">
        <f>33.6513 * CHOOSE(CONTROL!$C$15, $D$11, 100%, $F$11)</f>
        <v>33.651299999999999</v>
      </c>
      <c r="D956" s="8">
        <f>33.6883 * CHOOSE( CONTROL!$C$15, $D$11, 100%, $F$11)</f>
        <v>33.688299999999998</v>
      </c>
      <c r="E956" s="12">
        <f>33.6748 * CHOOSE( CONTROL!$C$15, $D$11, 100%, $F$11)</f>
        <v>33.674799999999998</v>
      </c>
      <c r="F956" s="4">
        <f>34.3798 * CHOOSE(CONTROL!$C$15, $D$11, 100%, $F$11)</f>
        <v>34.379800000000003</v>
      </c>
      <c r="G956" s="8">
        <f>32.8815 * CHOOSE( CONTROL!$C$15, $D$11, 100%, $F$11)</f>
        <v>32.881500000000003</v>
      </c>
      <c r="H956" s="4">
        <f>33.8472 * CHOOSE(CONTROL!$C$15, $D$11, 100%, $F$11)</f>
        <v>33.847200000000001</v>
      </c>
      <c r="I956" s="8">
        <f>32.4092 * CHOOSE(CONTROL!$C$15, $D$11, 100%, $F$11)</f>
        <v>32.409199999999998</v>
      </c>
      <c r="J956" s="4">
        <f>32.2839 * CHOOSE(CONTROL!$C$15, $D$11, 100%, $F$11)</f>
        <v>32.283900000000003</v>
      </c>
      <c r="K956" s="4"/>
      <c r="L956" s="9">
        <v>30.092199999999998</v>
      </c>
      <c r="M956" s="9">
        <v>11.6745</v>
      </c>
      <c r="N956" s="9">
        <v>4.7850000000000001</v>
      </c>
      <c r="O956" s="9">
        <v>0.36199999999999999</v>
      </c>
      <c r="P956" s="9">
        <v>1.1791</v>
      </c>
      <c r="Q956" s="9">
        <v>19.053000000000001</v>
      </c>
      <c r="R956" s="9"/>
      <c r="S956" s="11"/>
    </row>
    <row r="957" spans="1:19" ht="15.75">
      <c r="A957" s="13">
        <v>70645</v>
      </c>
      <c r="B957" s="8">
        <f>CHOOSE( CONTROL!$C$32, 34.5388, 34.5364) * CHOOSE(CONTROL!$C$15, $D$11, 100%, $F$11)</f>
        <v>34.538800000000002</v>
      </c>
      <c r="C957" s="8">
        <f>CHOOSE( CONTROL!$C$32, 34.5494, 34.547) * CHOOSE(CONTROL!$C$15, $D$11, 100%, $F$11)</f>
        <v>34.549399999999999</v>
      </c>
      <c r="D957" s="8">
        <f>CHOOSE( CONTROL!$C$32, 34.5852, 34.5828) * CHOOSE( CONTROL!$C$15, $D$11, 100%, $F$11)</f>
        <v>34.5852</v>
      </c>
      <c r="E957" s="12">
        <f>CHOOSE( CONTROL!$C$32, 34.5706, 34.5682) * CHOOSE( CONTROL!$C$15, $D$11, 100%, $F$11)</f>
        <v>34.570599999999999</v>
      </c>
      <c r="F957" s="4">
        <f>CHOOSE( CONTROL!$C$32, 35.2782, 35.2758) * CHOOSE(CONTROL!$C$15, $D$11, 100%, $F$11)</f>
        <v>35.278199999999998</v>
      </c>
      <c r="G957" s="8">
        <f>CHOOSE( CONTROL!$C$32, 33.7604, 33.758) * CHOOSE( CONTROL!$C$15, $D$11, 100%, $F$11)</f>
        <v>33.760399999999997</v>
      </c>
      <c r="H957" s="4">
        <f>CHOOSE( CONTROL!$C$32, 34.7256, 34.7232) * CHOOSE(CONTROL!$C$15, $D$11, 100%, $F$11)</f>
        <v>34.7256</v>
      </c>
      <c r="I957" s="8">
        <f>CHOOSE( CONTROL!$C$32, 33.2722, 33.2699) * CHOOSE(CONTROL!$C$15, $D$11, 100%, $F$11)</f>
        <v>33.272199999999998</v>
      </c>
      <c r="J957" s="4">
        <f>CHOOSE( CONTROL!$C$32, 33.1464, 33.1441) * CHOOSE(CONTROL!$C$15, $D$11, 100%, $F$11)</f>
        <v>33.1464</v>
      </c>
      <c r="K957" s="4"/>
      <c r="L957" s="9">
        <v>30.7165</v>
      </c>
      <c r="M957" s="9">
        <v>12.063700000000001</v>
      </c>
      <c r="N957" s="9">
        <v>4.9444999999999997</v>
      </c>
      <c r="O957" s="9">
        <v>0.37409999999999999</v>
      </c>
      <c r="P957" s="9">
        <v>1.2183999999999999</v>
      </c>
      <c r="Q957" s="9">
        <v>19.688099999999999</v>
      </c>
      <c r="R957" s="9"/>
      <c r="S957" s="11"/>
    </row>
    <row r="958" spans="1:19" ht="15.75">
      <c r="A958" s="13">
        <v>70675</v>
      </c>
      <c r="B958" s="8">
        <f>CHOOSE( CONTROL!$C$32, 33.9838, 33.9814) * CHOOSE(CONTROL!$C$15, $D$11, 100%, $F$11)</f>
        <v>33.983800000000002</v>
      </c>
      <c r="C958" s="8">
        <f>CHOOSE( CONTROL!$C$32, 33.9944, 33.992) * CHOOSE(CONTROL!$C$15, $D$11, 100%, $F$11)</f>
        <v>33.994399999999999</v>
      </c>
      <c r="D958" s="8">
        <f>CHOOSE( CONTROL!$C$32, 34.0304, 34.028) * CHOOSE( CONTROL!$C$15, $D$11, 100%, $F$11)</f>
        <v>34.0304</v>
      </c>
      <c r="E958" s="12">
        <f>CHOOSE( CONTROL!$C$32, 34.0157, 34.0133) * CHOOSE( CONTROL!$C$15, $D$11, 100%, $F$11)</f>
        <v>34.015700000000002</v>
      </c>
      <c r="F958" s="4">
        <f>CHOOSE( CONTROL!$C$32, 34.7231, 34.7208) * CHOOSE(CONTROL!$C$15, $D$11, 100%, $F$11)</f>
        <v>34.723100000000002</v>
      </c>
      <c r="G958" s="8">
        <f>CHOOSE( CONTROL!$C$32, 33.218, 33.2157) * CHOOSE( CONTROL!$C$15, $D$11, 100%, $F$11)</f>
        <v>33.218000000000004</v>
      </c>
      <c r="H958" s="4">
        <f>CHOOSE( CONTROL!$C$32, 34.1829, 34.1806) * CHOOSE(CONTROL!$C$15, $D$11, 100%, $F$11)</f>
        <v>34.182899999999997</v>
      </c>
      <c r="I958" s="8">
        <f>CHOOSE( CONTROL!$C$32, 32.74, 32.7377) * CHOOSE(CONTROL!$C$15, $D$11, 100%, $F$11)</f>
        <v>32.74</v>
      </c>
      <c r="J958" s="4">
        <f>CHOOSE( CONTROL!$C$32, 32.6135, 32.6112) * CHOOSE(CONTROL!$C$15, $D$11, 100%, $F$11)</f>
        <v>32.613500000000002</v>
      </c>
      <c r="K958" s="4"/>
      <c r="L958" s="9">
        <v>29.7257</v>
      </c>
      <c r="M958" s="9">
        <v>11.6745</v>
      </c>
      <c r="N958" s="9">
        <v>4.7850000000000001</v>
      </c>
      <c r="O958" s="9">
        <v>0.36199999999999999</v>
      </c>
      <c r="P958" s="9">
        <v>1.1791</v>
      </c>
      <c r="Q958" s="9">
        <v>19.053000000000001</v>
      </c>
      <c r="R958" s="9"/>
      <c r="S958" s="11"/>
    </row>
    <row r="959" spans="1:19" ht="15.75">
      <c r="A959" s="13">
        <v>70706</v>
      </c>
      <c r="B959" s="8">
        <f>CHOOSE( CONTROL!$C$32, 35.4454, 35.443) * CHOOSE(CONTROL!$C$15, $D$11, 100%, $F$11)</f>
        <v>35.445399999999999</v>
      </c>
      <c r="C959" s="8">
        <f>CHOOSE( CONTROL!$C$32, 35.4559, 35.4535) * CHOOSE(CONTROL!$C$15, $D$11, 100%, $F$11)</f>
        <v>35.4559</v>
      </c>
      <c r="D959" s="8">
        <f>CHOOSE( CONTROL!$C$32, 35.4922, 35.4898) * CHOOSE( CONTROL!$C$15, $D$11, 100%, $F$11)</f>
        <v>35.492199999999997</v>
      </c>
      <c r="E959" s="12">
        <f>CHOOSE( CONTROL!$C$32, 35.4774, 35.475) * CHOOSE( CONTROL!$C$15, $D$11, 100%, $F$11)</f>
        <v>35.477400000000003</v>
      </c>
      <c r="F959" s="4">
        <f>CHOOSE( CONTROL!$C$32, 36.1847, 36.1823) * CHOOSE(CONTROL!$C$15, $D$11, 100%, $F$11)</f>
        <v>36.184699999999999</v>
      </c>
      <c r="G959" s="8">
        <f>CHOOSE( CONTROL!$C$32, 34.6473, 34.645) * CHOOSE( CONTROL!$C$15, $D$11, 100%, $F$11)</f>
        <v>34.647300000000001</v>
      </c>
      <c r="H959" s="4">
        <f>CHOOSE( CONTROL!$C$32, 35.6119, 35.6096) * CHOOSE(CONTROL!$C$15, $D$11, 100%, $F$11)</f>
        <v>35.611899999999999</v>
      </c>
      <c r="I959" s="8">
        <f>CHOOSE( CONTROL!$C$32, 34.145, 34.1427) * CHOOSE(CONTROL!$C$15, $D$11, 100%, $F$11)</f>
        <v>34.145000000000003</v>
      </c>
      <c r="J959" s="4">
        <f>CHOOSE( CONTROL!$C$32, 34.0168, 34.0145) * CHOOSE(CONTROL!$C$15, $D$11, 100%, $F$11)</f>
        <v>34.016800000000003</v>
      </c>
      <c r="K959" s="4"/>
      <c r="L959" s="9">
        <v>30.7165</v>
      </c>
      <c r="M959" s="9">
        <v>12.063700000000001</v>
      </c>
      <c r="N959" s="9">
        <v>4.9444999999999997</v>
      </c>
      <c r="O959" s="9">
        <v>0.37409999999999999</v>
      </c>
      <c r="P959" s="9">
        <v>1.2183999999999999</v>
      </c>
      <c r="Q959" s="9">
        <v>19.688099999999999</v>
      </c>
      <c r="R959" s="9"/>
      <c r="S959" s="11"/>
    </row>
    <row r="960" spans="1:19" ht="15.75">
      <c r="A960" s="13">
        <v>70737</v>
      </c>
      <c r="B960" s="8">
        <f>CHOOSE( CONTROL!$C$32, 32.7106, 32.7082) * CHOOSE(CONTROL!$C$15, $D$11, 100%, $F$11)</f>
        <v>32.710599999999999</v>
      </c>
      <c r="C960" s="8">
        <f>CHOOSE( CONTROL!$C$32, 32.7212, 32.7188) * CHOOSE(CONTROL!$C$15, $D$11, 100%, $F$11)</f>
        <v>32.721200000000003</v>
      </c>
      <c r="D960" s="8">
        <f>CHOOSE( CONTROL!$C$32, 32.7575, 32.7551) * CHOOSE( CONTROL!$C$15, $D$11, 100%, $F$11)</f>
        <v>32.7575</v>
      </c>
      <c r="E960" s="12">
        <f>CHOOSE( CONTROL!$C$32, 32.7427, 32.7403) * CHOOSE( CONTROL!$C$15, $D$11, 100%, $F$11)</f>
        <v>32.742699999999999</v>
      </c>
      <c r="F960" s="4">
        <f>CHOOSE( CONTROL!$C$32, 33.4499, 33.4476) * CHOOSE(CONTROL!$C$15, $D$11, 100%, $F$11)</f>
        <v>33.4499</v>
      </c>
      <c r="G960" s="8">
        <f>CHOOSE( CONTROL!$C$32, 31.9736, 31.9713) * CHOOSE( CONTROL!$C$15, $D$11, 100%, $F$11)</f>
        <v>31.973600000000001</v>
      </c>
      <c r="H960" s="4">
        <f>CHOOSE( CONTROL!$C$32, 32.9381, 32.9358) * CHOOSE(CONTROL!$C$15, $D$11, 100%, $F$11)</f>
        <v>32.938099999999999</v>
      </c>
      <c r="I960" s="8">
        <f>CHOOSE( CONTROL!$C$32, 31.5182, 31.5159) * CHOOSE(CONTROL!$C$15, $D$11, 100%, $F$11)</f>
        <v>31.5182</v>
      </c>
      <c r="J960" s="4">
        <f>CHOOSE( CONTROL!$C$32, 31.3911, 31.3888) * CHOOSE(CONTROL!$C$15, $D$11, 100%, $F$11)</f>
        <v>31.391100000000002</v>
      </c>
      <c r="K960" s="4"/>
      <c r="L960" s="9">
        <v>30.7165</v>
      </c>
      <c r="M960" s="9">
        <v>12.063700000000001</v>
      </c>
      <c r="N960" s="9">
        <v>4.9444999999999997</v>
      </c>
      <c r="O960" s="9">
        <v>0.37409999999999999</v>
      </c>
      <c r="P960" s="9">
        <v>1.2183999999999999</v>
      </c>
      <c r="Q960" s="9">
        <v>19.688099999999999</v>
      </c>
      <c r="R960" s="9"/>
      <c r="S960" s="11"/>
    </row>
    <row r="961" spans="1:19" ht="15.75">
      <c r="A961" s="13">
        <v>70767</v>
      </c>
      <c r="B961" s="8">
        <f>CHOOSE( CONTROL!$C$32, 32.0258, 32.0234) * CHOOSE(CONTROL!$C$15, $D$11, 100%, $F$11)</f>
        <v>32.025799999999997</v>
      </c>
      <c r="C961" s="8">
        <f>CHOOSE( CONTROL!$C$32, 32.0363, 32.0339) * CHOOSE(CONTROL!$C$15, $D$11, 100%, $F$11)</f>
        <v>32.036299999999997</v>
      </c>
      <c r="D961" s="8">
        <f>CHOOSE( CONTROL!$C$32, 32.0726, 32.0702) * CHOOSE( CONTROL!$C$15, $D$11, 100%, $F$11)</f>
        <v>32.072600000000001</v>
      </c>
      <c r="E961" s="12">
        <f>CHOOSE( CONTROL!$C$32, 32.0578, 32.0554) * CHOOSE( CONTROL!$C$15, $D$11, 100%, $F$11)</f>
        <v>32.0578</v>
      </c>
      <c r="F961" s="4">
        <f>CHOOSE( CONTROL!$C$32, 32.7651, 32.7627) * CHOOSE(CONTROL!$C$15, $D$11, 100%, $F$11)</f>
        <v>32.765099999999997</v>
      </c>
      <c r="G961" s="8">
        <f>CHOOSE( CONTROL!$C$32, 31.304, 31.3016) * CHOOSE( CONTROL!$C$15, $D$11, 100%, $F$11)</f>
        <v>31.303999999999998</v>
      </c>
      <c r="H961" s="4">
        <f>CHOOSE( CONTROL!$C$32, 32.2686, 32.2662) * CHOOSE(CONTROL!$C$15, $D$11, 100%, $F$11)</f>
        <v>32.268599999999999</v>
      </c>
      <c r="I961" s="8">
        <f>CHOOSE( CONTROL!$C$32, 30.8601, 30.8578) * CHOOSE(CONTROL!$C$15, $D$11, 100%, $F$11)</f>
        <v>30.860099999999999</v>
      </c>
      <c r="J961" s="4">
        <f>CHOOSE( CONTROL!$C$32, 30.7336, 30.7313) * CHOOSE(CONTROL!$C$15, $D$11, 100%, $F$11)</f>
        <v>30.733599999999999</v>
      </c>
      <c r="K961" s="4"/>
      <c r="L961" s="9">
        <v>29.7257</v>
      </c>
      <c r="M961" s="9">
        <v>11.6745</v>
      </c>
      <c r="N961" s="9">
        <v>4.7850000000000001</v>
      </c>
      <c r="O961" s="9">
        <v>0.36199999999999999</v>
      </c>
      <c r="P961" s="9">
        <v>1.1791</v>
      </c>
      <c r="Q961" s="9">
        <v>19.053000000000001</v>
      </c>
      <c r="R961" s="9"/>
      <c r="S961" s="11"/>
    </row>
    <row r="962" spans="1:19" ht="15.75">
      <c r="A962" s="13">
        <v>70798</v>
      </c>
      <c r="B962" s="8">
        <f>33.4454 * CHOOSE(CONTROL!$C$15, $D$11, 100%, $F$11)</f>
        <v>33.445399999999999</v>
      </c>
      <c r="C962" s="8">
        <f>33.4562 * CHOOSE(CONTROL!$C$15, $D$11, 100%, $F$11)</f>
        <v>33.456200000000003</v>
      </c>
      <c r="D962" s="8">
        <f>33.4937 * CHOOSE( CONTROL!$C$15, $D$11, 100%, $F$11)</f>
        <v>33.493699999999997</v>
      </c>
      <c r="E962" s="12">
        <f>33.4802 * CHOOSE( CONTROL!$C$15, $D$11, 100%, $F$11)</f>
        <v>33.480200000000004</v>
      </c>
      <c r="F962" s="4">
        <f>34.1847 * CHOOSE(CONTROL!$C$15, $D$11, 100%, $F$11)</f>
        <v>34.184699999999999</v>
      </c>
      <c r="G962" s="8">
        <f>32.6916 * CHOOSE( CONTROL!$C$15, $D$11, 100%, $F$11)</f>
        <v>32.691600000000001</v>
      </c>
      <c r="H962" s="4">
        <f>33.6564 * CHOOSE(CONTROL!$C$15, $D$11, 100%, $F$11)</f>
        <v>33.656399999999998</v>
      </c>
      <c r="I962" s="8">
        <f>32.2244 * CHOOSE(CONTROL!$C$15, $D$11, 100%, $F$11)</f>
        <v>32.224400000000003</v>
      </c>
      <c r="J962" s="4">
        <f>32.0965 * CHOOSE(CONTROL!$C$15, $D$11, 100%, $F$11)</f>
        <v>32.096499999999999</v>
      </c>
      <c r="K962" s="4"/>
      <c r="L962" s="9">
        <v>31.095300000000002</v>
      </c>
      <c r="M962" s="9">
        <v>12.063700000000001</v>
      </c>
      <c r="N962" s="9">
        <v>4.9444999999999997</v>
      </c>
      <c r="O962" s="9">
        <v>0.37409999999999999</v>
      </c>
      <c r="P962" s="9">
        <v>1.2183999999999999</v>
      </c>
      <c r="Q962" s="9">
        <v>19.688099999999999</v>
      </c>
      <c r="R962" s="9"/>
      <c r="S962" s="11"/>
    </row>
    <row r="963" spans="1:19" ht="15.75">
      <c r="A963" s="13">
        <v>70828</v>
      </c>
      <c r="B963" s="8">
        <f>36.07 * CHOOSE(CONTROL!$C$15, $D$11, 100%, $F$11)</f>
        <v>36.07</v>
      </c>
      <c r="C963" s="8">
        <f>36.0808 * CHOOSE(CONTROL!$C$15, $D$11, 100%, $F$11)</f>
        <v>36.080800000000004</v>
      </c>
      <c r="D963" s="8">
        <f>36.0635 * CHOOSE( CONTROL!$C$15, $D$11, 100%, $F$11)</f>
        <v>36.063499999999998</v>
      </c>
      <c r="E963" s="12">
        <f>36.0687 * CHOOSE( CONTROL!$C$15, $D$11, 100%, $F$11)</f>
        <v>36.0687</v>
      </c>
      <c r="F963" s="4">
        <f>36.7285 * CHOOSE(CONTROL!$C$15, $D$11, 100%, $F$11)</f>
        <v>36.728499999999997</v>
      </c>
      <c r="G963" s="8">
        <f>35.2643 * CHOOSE( CONTROL!$C$15, $D$11, 100%, $F$11)</f>
        <v>35.264299999999999</v>
      </c>
      <c r="H963" s="4">
        <f>36.1436 * CHOOSE(CONTROL!$C$15, $D$11, 100%, $F$11)</f>
        <v>36.143599999999999</v>
      </c>
      <c r="I963" s="8">
        <f>34.7827 * CHOOSE(CONTROL!$C$15, $D$11, 100%, $F$11)</f>
        <v>34.782699999999998</v>
      </c>
      <c r="J963" s="4">
        <f>34.6164 * CHOOSE(CONTROL!$C$15, $D$11, 100%, $F$11)</f>
        <v>34.616399999999999</v>
      </c>
      <c r="K963" s="4"/>
      <c r="L963" s="9">
        <v>28.360600000000002</v>
      </c>
      <c r="M963" s="9">
        <v>11.6745</v>
      </c>
      <c r="N963" s="9">
        <v>4.7850000000000001</v>
      </c>
      <c r="O963" s="9">
        <v>0.36199999999999999</v>
      </c>
      <c r="P963" s="9">
        <v>1.2509999999999999</v>
      </c>
      <c r="Q963" s="9">
        <v>19.053000000000001</v>
      </c>
      <c r="R963" s="9"/>
      <c r="S963" s="11"/>
    </row>
    <row r="964" spans="1:19" ht="15.75">
      <c r="A964" s="13">
        <v>70859</v>
      </c>
      <c r="B964" s="8">
        <f>36.0045 * CHOOSE(CONTROL!$C$15, $D$11, 100%, $F$11)</f>
        <v>36.0045</v>
      </c>
      <c r="C964" s="8">
        <f>36.0152 * CHOOSE(CONTROL!$C$15, $D$11, 100%, $F$11)</f>
        <v>36.0152</v>
      </c>
      <c r="D964" s="8">
        <f>35.9996 * CHOOSE( CONTROL!$C$15, $D$11, 100%, $F$11)</f>
        <v>35.999600000000001</v>
      </c>
      <c r="E964" s="12">
        <f>36.0042 * CHOOSE( CONTROL!$C$15, $D$11, 100%, $F$11)</f>
        <v>36.004199999999997</v>
      </c>
      <c r="F964" s="4">
        <f>36.663 * CHOOSE(CONTROL!$C$15, $D$11, 100%, $F$11)</f>
        <v>36.662999999999997</v>
      </c>
      <c r="G964" s="8">
        <f>35.2014 * CHOOSE( CONTROL!$C$15, $D$11, 100%, $F$11)</f>
        <v>35.2014</v>
      </c>
      <c r="H964" s="4">
        <f>36.0795 * CHOOSE(CONTROL!$C$15, $D$11, 100%, $F$11)</f>
        <v>36.079500000000003</v>
      </c>
      <c r="I964" s="8">
        <f>34.7249 * CHOOSE(CONTROL!$C$15, $D$11, 100%, $F$11)</f>
        <v>34.724899999999998</v>
      </c>
      <c r="J964" s="4">
        <f>34.5534 * CHOOSE(CONTROL!$C$15, $D$11, 100%, $F$11)</f>
        <v>34.553400000000003</v>
      </c>
      <c r="K964" s="4"/>
      <c r="L964" s="9">
        <v>29.306000000000001</v>
      </c>
      <c r="M964" s="9">
        <v>12.063700000000001</v>
      </c>
      <c r="N964" s="9">
        <v>4.9444999999999997</v>
      </c>
      <c r="O964" s="9">
        <v>0.37409999999999999</v>
      </c>
      <c r="P964" s="9">
        <v>1.2927</v>
      </c>
      <c r="Q964" s="9">
        <v>19.688099999999999</v>
      </c>
      <c r="R964" s="9"/>
      <c r="S964" s="11"/>
    </row>
    <row r="965" spans="1:19" ht="15.75">
      <c r="A965" s="13">
        <v>70890</v>
      </c>
      <c r="B965" s="8">
        <f>37.066 * CHOOSE(CONTROL!$C$15, $D$11, 100%, $F$11)</f>
        <v>37.066000000000003</v>
      </c>
      <c r="C965" s="8">
        <f>37.0768 * CHOOSE(CONTROL!$C$15, $D$11, 100%, $F$11)</f>
        <v>37.076799999999999</v>
      </c>
      <c r="D965" s="8">
        <f>37.0582 * CHOOSE( CONTROL!$C$15, $D$11, 100%, $F$11)</f>
        <v>37.058199999999999</v>
      </c>
      <c r="E965" s="12">
        <f>37.0639 * CHOOSE( CONTROL!$C$15, $D$11, 100%, $F$11)</f>
        <v>37.063899999999997</v>
      </c>
      <c r="F965" s="4">
        <f>37.7245 * CHOOSE(CONTROL!$C$15, $D$11, 100%, $F$11)</f>
        <v>37.724499999999999</v>
      </c>
      <c r="G965" s="8">
        <f>36.2318 * CHOOSE( CONTROL!$C$15, $D$11, 100%, $F$11)</f>
        <v>36.2318</v>
      </c>
      <c r="H965" s="4">
        <f>37.1174 * CHOOSE(CONTROL!$C$15, $D$11, 100%, $F$11)</f>
        <v>37.117400000000004</v>
      </c>
      <c r="I965" s="8">
        <f>35.7095 * CHOOSE(CONTROL!$C$15, $D$11, 100%, $F$11)</f>
        <v>35.709499999999998</v>
      </c>
      <c r="J965" s="4">
        <f>35.5726 * CHOOSE(CONTROL!$C$15, $D$11, 100%, $F$11)</f>
        <v>35.572600000000001</v>
      </c>
      <c r="K965" s="4"/>
      <c r="L965" s="9">
        <v>29.306000000000001</v>
      </c>
      <c r="M965" s="9">
        <v>12.063700000000001</v>
      </c>
      <c r="N965" s="9">
        <v>4.9444999999999997</v>
      </c>
      <c r="O965" s="9">
        <v>0.37409999999999999</v>
      </c>
      <c r="P965" s="9">
        <v>1.2927</v>
      </c>
      <c r="Q965" s="9">
        <v>19.688099999999999</v>
      </c>
      <c r="R965" s="9"/>
      <c r="S965" s="11"/>
    </row>
    <row r="966" spans="1:19" ht="15.75">
      <c r="A966" s="13">
        <v>70918</v>
      </c>
      <c r="B966" s="8">
        <f>34.6707 * CHOOSE(CONTROL!$C$15, $D$11, 100%, $F$11)</f>
        <v>34.670699999999997</v>
      </c>
      <c r="C966" s="8">
        <f>34.6815 * CHOOSE(CONTROL!$C$15, $D$11, 100%, $F$11)</f>
        <v>34.6815</v>
      </c>
      <c r="D966" s="8">
        <f>34.6628 * CHOOSE( CONTROL!$C$15, $D$11, 100%, $F$11)</f>
        <v>34.662799999999997</v>
      </c>
      <c r="E966" s="12">
        <f>34.6685 * CHOOSE( CONTROL!$C$15, $D$11, 100%, $F$11)</f>
        <v>34.668500000000002</v>
      </c>
      <c r="F966" s="4">
        <f>35.3292 * CHOOSE(CONTROL!$C$15, $D$11, 100%, $F$11)</f>
        <v>35.3292</v>
      </c>
      <c r="G966" s="8">
        <f>33.8898 * CHOOSE( CONTROL!$C$15, $D$11, 100%, $F$11)</f>
        <v>33.889800000000001</v>
      </c>
      <c r="H966" s="4">
        <f>34.7755 * CHOOSE(CONTROL!$C$15, $D$11, 100%, $F$11)</f>
        <v>34.775500000000001</v>
      </c>
      <c r="I966" s="8">
        <f>33.4084 * CHOOSE(CONTROL!$C$15, $D$11, 100%, $F$11)</f>
        <v>33.4084</v>
      </c>
      <c r="J966" s="4">
        <f>33.2729 * CHOOSE(CONTROL!$C$15, $D$11, 100%, $F$11)</f>
        <v>33.2729</v>
      </c>
      <c r="K966" s="4"/>
      <c r="L966" s="9">
        <v>26.469899999999999</v>
      </c>
      <c r="M966" s="9">
        <v>10.8962</v>
      </c>
      <c r="N966" s="9">
        <v>4.4660000000000002</v>
      </c>
      <c r="O966" s="9">
        <v>0.33789999999999998</v>
      </c>
      <c r="P966" s="9">
        <v>1.1676</v>
      </c>
      <c r="Q966" s="9">
        <v>17.782800000000002</v>
      </c>
      <c r="R966" s="9"/>
      <c r="S966" s="11"/>
    </row>
    <row r="967" spans="1:19" ht="15.75">
      <c r="A967" s="13">
        <v>70949</v>
      </c>
      <c r="B967" s="8">
        <f>33.933 * CHOOSE(CONTROL!$C$15, $D$11, 100%, $F$11)</f>
        <v>33.933</v>
      </c>
      <c r="C967" s="8">
        <f>33.9438 * CHOOSE(CONTROL!$C$15, $D$11, 100%, $F$11)</f>
        <v>33.943800000000003</v>
      </c>
      <c r="D967" s="8">
        <f>33.9246 * CHOOSE( CONTROL!$C$15, $D$11, 100%, $F$11)</f>
        <v>33.924599999999998</v>
      </c>
      <c r="E967" s="12">
        <f>33.9305 * CHOOSE( CONTROL!$C$15, $D$11, 100%, $F$11)</f>
        <v>33.930500000000002</v>
      </c>
      <c r="F967" s="4">
        <f>34.5915 * CHOOSE(CONTROL!$C$15, $D$11, 100%, $F$11)</f>
        <v>34.591500000000003</v>
      </c>
      <c r="G967" s="8">
        <f>33.1682 * CHOOSE( CONTROL!$C$15, $D$11, 100%, $F$11)</f>
        <v>33.168199999999999</v>
      </c>
      <c r="H967" s="4">
        <f>34.0542 * CHOOSE(CONTROL!$C$15, $D$11, 100%, $F$11)</f>
        <v>34.054200000000002</v>
      </c>
      <c r="I967" s="8">
        <f>32.6982 * CHOOSE(CONTROL!$C$15, $D$11, 100%, $F$11)</f>
        <v>32.6982</v>
      </c>
      <c r="J967" s="4">
        <f>32.5646 * CHOOSE(CONTROL!$C$15, $D$11, 100%, $F$11)</f>
        <v>32.564599999999999</v>
      </c>
      <c r="K967" s="4"/>
      <c r="L967" s="9">
        <v>29.306000000000001</v>
      </c>
      <c r="M967" s="9">
        <v>12.063700000000001</v>
      </c>
      <c r="N967" s="9">
        <v>4.9444999999999997</v>
      </c>
      <c r="O967" s="9">
        <v>0.37409999999999999</v>
      </c>
      <c r="P967" s="9">
        <v>1.2927</v>
      </c>
      <c r="Q967" s="9">
        <v>19.688099999999999</v>
      </c>
      <c r="R967" s="9"/>
      <c r="S967" s="11"/>
    </row>
    <row r="968" spans="1:19" ht="15.75">
      <c r="A968" s="13">
        <v>70979</v>
      </c>
      <c r="B968" s="8">
        <f>34.4485 * CHOOSE(CONTROL!$C$15, $D$11, 100%, $F$11)</f>
        <v>34.448500000000003</v>
      </c>
      <c r="C968" s="8">
        <f>34.4593 * CHOOSE(CONTROL!$C$15, $D$11, 100%, $F$11)</f>
        <v>34.459299999999999</v>
      </c>
      <c r="D968" s="8">
        <f>34.4962 * CHOOSE( CONTROL!$C$15, $D$11, 100%, $F$11)</f>
        <v>34.496200000000002</v>
      </c>
      <c r="E968" s="12">
        <f>34.4828 * CHOOSE( CONTROL!$C$15, $D$11, 100%, $F$11)</f>
        <v>34.482799999999997</v>
      </c>
      <c r="F968" s="4">
        <f>35.1877 * CHOOSE(CONTROL!$C$15, $D$11, 100%, $F$11)</f>
        <v>35.1877</v>
      </c>
      <c r="G968" s="8">
        <f>33.6714 * CHOOSE( CONTROL!$C$15, $D$11, 100%, $F$11)</f>
        <v>33.671399999999998</v>
      </c>
      <c r="H968" s="4">
        <f>34.6371 * CHOOSE(CONTROL!$C$15, $D$11, 100%, $F$11)</f>
        <v>34.637099999999997</v>
      </c>
      <c r="I968" s="8">
        <f>33.1853 * CHOOSE(CONTROL!$C$15, $D$11, 100%, $F$11)</f>
        <v>33.185299999999998</v>
      </c>
      <c r="J968" s="4">
        <f>33.0596 * CHOOSE(CONTROL!$C$15, $D$11, 100%, $F$11)</f>
        <v>33.059600000000003</v>
      </c>
      <c r="K968" s="4"/>
      <c r="L968" s="9">
        <v>30.092199999999998</v>
      </c>
      <c r="M968" s="9">
        <v>11.6745</v>
      </c>
      <c r="N968" s="9">
        <v>4.7850000000000001</v>
      </c>
      <c r="O968" s="9">
        <v>0.36199999999999999</v>
      </c>
      <c r="P968" s="9">
        <v>1.1791</v>
      </c>
      <c r="Q968" s="9">
        <v>19.053000000000001</v>
      </c>
      <c r="R968" s="9"/>
      <c r="S968" s="11"/>
    </row>
    <row r="969" spans="1:19" ht="15.75">
      <c r="A969" s="13">
        <v>71010</v>
      </c>
      <c r="B969" s="8">
        <f>CHOOSE( CONTROL!$C$32, 35.3683, 35.3659) * CHOOSE(CONTROL!$C$15, $D$11, 100%, $F$11)</f>
        <v>35.368299999999998</v>
      </c>
      <c r="C969" s="8">
        <f>CHOOSE( CONTROL!$C$32, 35.3788, 35.3765) * CHOOSE(CONTROL!$C$15, $D$11, 100%, $F$11)</f>
        <v>35.378799999999998</v>
      </c>
      <c r="D969" s="8">
        <f>CHOOSE( CONTROL!$C$32, 35.4147, 35.4123) * CHOOSE( CONTROL!$C$15, $D$11, 100%, $F$11)</f>
        <v>35.414700000000003</v>
      </c>
      <c r="E969" s="12">
        <f>CHOOSE( CONTROL!$C$32, 35.4001, 35.3977) * CHOOSE( CONTROL!$C$15, $D$11, 100%, $F$11)</f>
        <v>35.400100000000002</v>
      </c>
      <c r="F969" s="4">
        <f>CHOOSE( CONTROL!$C$32, 36.1076, 36.1052) * CHOOSE(CONTROL!$C$15, $D$11, 100%, $F$11)</f>
        <v>36.107599999999998</v>
      </c>
      <c r="G969" s="8">
        <f>CHOOSE( CONTROL!$C$32, 34.5713, 34.569) * CHOOSE( CONTROL!$C$15, $D$11, 100%, $F$11)</f>
        <v>34.571300000000001</v>
      </c>
      <c r="H969" s="4">
        <f>CHOOSE( CONTROL!$C$32, 35.5365, 35.5342) * CHOOSE(CONTROL!$C$15, $D$11, 100%, $F$11)</f>
        <v>35.536499999999997</v>
      </c>
      <c r="I969" s="8">
        <f>CHOOSE( CONTROL!$C$32, 34.069, 34.0667) * CHOOSE(CONTROL!$C$15, $D$11, 100%, $F$11)</f>
        <v>34.069000000000003</v>
      </c>
      <c r="J969" s="4">
        <f>CHOOSE( CONTROL!$C$32, 33.9428, 33.9405) * CHOOSE(CONTROL!$C$15, $D$11, 100%, $F$11)</f>
        <v>33.942799999999998</v>
      </c>
      <c r="K969" s="4"/>
      <c r="L969" s="9">
        <v>30.7165</v>
      </c>
      <c r="M969" s="9">
        <v>12.063700000000001</v>
      </c>
      <c r="N969" s="9">
        <v>4.9444999999999997</v>
      </c>
      <c r="O969" s="9">
        <v>0.37409999999999999</v>
      </c>
      <c r="P969" s="9">
        <v>1.2183999999999999</v>
      </c>
      <c r="Q969" s="9">
        <v>19.688099999999999</v>
      </c>
      <c r="R969" s="9"/>
      <c r="S969" s="11"/>
    </row>
    <row r="970" spans="1:19" ht="15.75">
      <c r="A970" s="13">
        <v>71040</v>
      </c>
      <c r="B970" s="8">
        <f>CHOOSE( CONTROL!$C$32, 34.7999, 34.7975) * CHOOSE(CONTROL!$C$15, $D$11, 100%, $F$11)</f>
        <v>34.799900000000001</v>
      </c>
      <c r="C970" s="8">
        <f>CHOOSE( CONTROL!$C$32, 34.8105, 34.8081) * CHOOSE(CONTROL!$C$15, $D$11, 100%, $F$11)</f>
        <v>34.810499999999998</v>
      </c>
      <c r="D970" s="8">
        <f>CHOOSE( CONTROL!$C$32, 34.8465, 34.8441) * CHOOSE( CONTROL!$C$15, $D$11, 100%, $F$11)</f>
        <v>34.846499999999999</v>
      </c>
      <c r="E970" s="12">
        <f>CHOOSE( CONTROL!$C$32, 34.8318, 34.8294) * CHOOSE( CONTROL!$C$15, $D$11, 100%, $F$11)</f>
        <v>34.831800000000001</v>
      </c>
      <c r="F970" s="4">
        <f>CHOOSE( CONTROL!$C$32, 35.5393, 35.5369) * CHOOSE(CONTROL!$C$15, $D$11, 100%, $F$11)</f>
        <v>35.539299999999997</v>
      </c>
      <c r="G970" s="8">
        <f>CHOOSE( CONTROL!$C$32, 34.0159, 34.0136) * CHOOSE( CONTROL!$C$15, $D$11, 100%, $F$11)</f>
        <v>34.015900000000002</v>
      </c>
      <c r="H970" s="4">
        <f>CHOOSE( CONTROL!$C$32, 34.9808, 34.9785) * CHOOSE(CONTROL!$C$15, $D$11, 100%, $F$11)</f>
        <v>34.980800000000002</v>
      </c>
      <c r="I970" s="8">
        <f>CHOOSE( CONTROL!$C$32, 33.5239, 33.5216) * CHOOSE(CONTROL!$C$15, $D$11, 100%, $F$11)</f>
        <v>33.523899999999998</v>
      </c>
      <c r="J970" s="4">
        <f>CHOOSE( CONTROL!$C$32, 33.3971, 33.3948) * CHOOSE(CONTROL!$C$15, $D$11, 100%, $F$11)</f>
        <v>33.397100000000002</v>
      </c>
      <c r="K970" s="4"/>
      <c r="L970" s="9">
        <v>29.7257</v>
      </c>
      <c r="M970" s="9">
        <v>11.6745</v>
      </c>
      <c r="N970" s="9">
        <v>4.7850000000000001</v>
      </c>
      <c r="O970" s="9">
        <v>0.36199999999999999</v>
      </c>
      <c r="P970" s="9">
        <v>1.1791</v>
      </c>
      <c r="Q970" s="9">
        <v>19.053000000000001</v>
      </c>
      <c r="R970" s="9"/>
      <c r="S970" s="11"/>
    </row>
    <row r="971" spans="1:19" ht="15.75">
      <c r="A971" s="13">
        <v>71071</v>
      </c>
      <c r="B971" s="8">
        <f>CHOOSE( CONTROL!$C$32, 36.2966, 36.2942) * CHOOSE(CONTROL!$C$15, $D$11, 100%, $F$11)</f>
        <v>36.296599999999998</v>
      </c>
      <c r="C971" s="8">
        <f>CHOOSE( CONTROL!$C$32, 36.3072, 36.3048) * CHOOSE(CONTROL!$C$15, $D$11, 100%, $F$11)</f>
        <v>36.307200000000002</v>
      </c>
      <c r="D971" s="8">
        <f>CHOOSE( CONTROL!$C$32, 36.3434, 36.341) * CHOOSE( CONTROL!$C$15, $D$11, 100%, $F$11)</f>
        <v>36.343400000000003</v>
      </c>
      <c r="E971" s="12">
        <f>CHOOSE( CONTROL!$C$32, 36.3287, 36.3263) * CHOOSE( CONTROL!$C$15, $D$11, 100%, $F$11)</f>
        <v>36.328699999999998</v>
      </c>
      <c r="F971" s="4">
        <f>CHOOSE( CONTROL!$C$32, 37.036, 37.0336) * CHOOSE(CONTROL!$C$15, $D$11, 100%, $F$11)</f>
        <v>37.036000000000001</v>
      </c>
      <c r="G971" s="8">
        <f>CHOOSE( CONTROL!$C$32, 35.4796, 35.4773) * CHOOSE( CONTROL!$C$15, $D$11, 100%, $F$11)</f>
        <v>35.479599999999998</v>
      </c>
      <c r="H971" s="4">
        <f>CHOOSE( CONTROL!$C$32, 36.4442, 36.4418) * CHOOSE(CONTROL!$C$15, $D$11, 100%, $F$11)</f>
        <v>36.444200000000002</v>
      </c>
      <c r="I971" s="8">
        <f>CHOOSE( CONTROL!$C$32, 34.9627, 34.9604) * CHOOSE(CONTROL!$C$15, $D$11, 100%, $F$11)</f>
        <v>34.962699999999998</v>
      </c>
      <c r="J971" s="4">
        <f>CHOOSE( CONTROL!$C$32, 34.8341, 34.8318) * CHOOSE(CONTROL!$C$15, $D$11, 100%, $F$11)</f>
        <v>34.834099999999999</v>
      </c>
      <c r="K971" s="4"/>
      <c r="L971" s="9">
        <v>30.7165</v>
      </c>
      <c r="M971" s="9">
        <v>12.063700000000001</v>
      </c>
      <c r="N971" s="9">
        <v>4.9444999999999997</v>
      </c>
      <c r="O971" s="9">
        <v>0.37409999999999999</v>
      </c>
      <c r="P971" s="9">
        <v>1.2183999999999999</v>
      </c>
      <c r="Q971" s="9">
        <v>19.688099999999999</v>
      </c>
      <c r="R971" s="9"/>
      <c r="S971" s="11"/>
    </row>
    <row r="972" spans="1:19" ht="15.75">
      <c r="A972" s="13">
        <v>71102</v>
      </c>
      <c r="B972" s="8">
        <f>CHOOSE( CONTROL!$C$32, 33.4961, 33.4937) * CHOOSE(CONTROL!$C$15, $D$11, 100%, $F$11)</f>
        <v>33.496099999999998</v>
      </c>
      <c r="C972" s="8">
        <f>CHOOSE( CONTROL!$C$32, 33.5067, 33.5043) * CHOOSE(CONTROL!$C$15, $D$11, 100%, $F$11)</f>
        <v>33.506700000000002</v>
      </c>
      <c r="D972" s="8">
        <f>CHOOSE( CONTROL!$C$32, 33.543, 33.5406) * CHOOSE( CONTROL!$C$15, $D$11, 100%, $F$11)</f>
        <v>33.542999999999999</v>
      </c>
      <c r="E972" s="12">
        <f>CHOOSE( CONTROL!$C$32, 33.5282, 33.5258) * CHOOSE( CONTROL!$C$15, $D$11, 100%, $F$11)</f>
        <v>33.528199999999998</v>
      </c>
      <c r="F972" s="4">
        <f>CHOOSE( CONTROL!$C$32, 34.2355, 34.2331) * CHOOSE(CONTROL!$C$15, $D$11, 100%, $F$11)</f>
        <v>34.235500000000002</v>
      </c>
      <c r="G972" s="8">
        <f>CHOOSE( CONTROL!$C$32, 32.7416, 32.7393) * CHOOSE( CONTROL!$C$15, $D$11, 100%, $F$11)</f>
        <v>32.741599999999998</v>
      </c>
      <c r="H972" s="4">
        <f>CHOOSE( CONTROL!$C$32, 33.7061, 33.7038) * CHOOSE(CONTROL!$C$15, $D$11, 100%, $F$11)</f>
        <v>33.706099999999999</v>
      </c>
      <c r="I972" s="8">
        <f>CHOOSE( CONTROL!$C$32, 32.2728, 32.2705) * CHOOSE(CONTROL!$C$15, $D$11, 100%, $F$11)</f>
        <v>32.272799999999997</v>
      </c>
      <c r="J972" s="4">
        <f>CHOOSE( CONTROL!$C$32, 32.1453, 32.143) * CHOOSE(CONTROL!$C$15, $D$11, 100%, $F$11)</f>
        <v>32.145299999999999</v>
      </c>
      <c r="K972" s="4"/>
      <c r="L972" s="9">
        <v>30.7165</v>
      </c>
      <c r="M972" s="9">
        <v>12.063700000000001</v>
      </c>
      <c r="N972" s="9">
        <v>4.9444999999999997</v>
      </c>
      <c r="O972" s="9">
        <v>0.37409999999999999</v>
      </c>
      <c r="P972" s="9">
        <v>1.2183999999999999</v>
      </c>
      <c r="Q972" s="9">
        <v>19.688099999999999</v>
      </c>
      <c r="R972" s="9"/>
      <c r="S972" s="11"/>
    </row>
    <row r="973" spans="1:19" ht="15.75">
      <c r="A973" s="13">
        <v>71132</v>
      </c>
      <c r="B973" s="8">
        <f>CHOOSE( CONTROL!$C$32, 32.7948, 32.7925) * CHOOSE(CONTROL!$C$15, $D$11, 100%, $F$11)</f>
        <v>32.794800000000002</v>
      </c>
      <c r="C973" s="8">
        <f>CHOOSE( CONTROL!$C$32, 32.8054, 32.803) * CHOOSE(CONTROL!$C$15, $D$11, 100%, $F$11)</f>
        <v>32.805399999999999</v>
      </c>
      <c r="D973" s="8">
        <f>CHOOSE( CONTROL!$C$32, 32.8416, 32.8393) * CHOOSE( CONTROL!$C$15, $D$11, 100%, $F$11)</f>
        <v>32.8416</v>
      </c>
      <c r="E973" s="12">
        <f>CHOOSE( CONTROL!$C$32, 32.8269, 32.8245) * CHOOSE( CONTROL!$C$15, $D$11, 100%, $F$11)</f>
        <v>32.826900000000002</v>
      </c>
      <c r="F973" s="4">
        <f>CHOOSE( CONTROL!$C$32, 33.5342, 33.5318) * CHOOSE(CONTROL!$C$15, $D$11, 100%, $F$11)</f>
        <v>33.534199999999998</v>
      </c>
      <c r="G973" s="8">
        <f>CHOOSE( CONTROL!$C$32, 32.0559, 32.0536) * CHOOSE( CONTROL!$C$15, $D$11, 100%, $F$11)</f>
        <v>32.055900000000001</v>
      </c>
      <c r="H973" s="4">
        <f>CHOOSE( CONTROL!$C$32, 33.0205, 33.0181) * CHOOSE(CONTROL!$C$15, $D$11, 100%, $F$11)</f>
        <v>33.020499999999998</v>
      </c>
      <c r="I973" s="8">
        <f>CHOOSE( CONTROL!$C$32, 31.5989, 31.5966) * CHOOSE(CONTROL!$C$15, $D$11, 100%, $F$11)</f>
        <v>31.5989</v>
      </c>
      <c r="J973" s="4">
        <f>CHOOSE( CONTROL!$C$32, 31.472, 31.4697) * CHOOSE(CONTROL!$C$15, $D$11, 100%, $F$11)</f>
        <v>31.472000000000001</v>
      </c>
      <c r="K973" s="4"/>
      <c r="L973" s="9">
        <v>29.7257</v>
      </c>
      <c r="M973" s="9">
        <v>11.6745</v>
      </c>
      <c r="N973" s="9">
        <v>4.7850000000000001</v>
      </c>
      <c r="O973" s="9">
        <v>0.36199999999999999</v>
      </c>
      <c r="P973" s="9">
        <v>1.1791</v>
      </c>
      <c r="Q973" s="9">
        <v>19.053000000000001</v>
      </c>
      <c r="R973" s="9"/>
      <c r="S973" s="11"/>
    </row>
    <row r="974" spans="1:19" ht="15.75">
      <c r="A974" s="13">
        <v>71163</v>
      </c>
      <c r="B974" s="8">
        <f>34.2487 * CHOOSE(CONTROL!$C$15, $D$11, 100%, $F$11)</f>
        <v>34.248699999999999</v>
      </c>
      <c r="C974" s="8">
        <f>34.2594 * CHOOSE(CONTROL!$C$15, $D$11, 100%, $F$11)</f>
        <v>34.259399999999999</v>
      </c>
      <c r="D974" s="8">
        <f>34.297 * CHOOSE( CONTROL!$C$15, $D$11, 100%, $F$11)</f>
        <v>34.296999999999997</v>
      </c>
      <c r="E974" s="12">
        <f>34.2834 * CHOOSE( CONTROL!$C$15, $D$11, 100%, $F$11)</f>
        <v>34.2834</v>
      </c>
      <c r="F974" s="4">
        <f>34.9879 * CHOOSE(CONTROL!$C$15, $D$11, 100%, $F$11)</f>
        <v>34.987900000000003</v>
      </c>
      <c r="G974" s="8">
        <f>33.4769 * CHOOSE( CONTROL!$C$15, $D$11, 100%, $F$11)</f>
        <v>33.476900000000001</v>
      </c>
      <c r="H974" s="4">
        <f>34.4418 * CHOOSE(CONTROL!$C$15, $D$11, 100%, $F$11)</f>
        <v>34.441800000000001</v>
      </c>
      <c r="I974" s="8">
        <f>32.996 * CHOOSE(CONTROL!$C$15, $D$11, 100%, $F$11)</f>
        <v>32.996000000000002</v>
      </c>
      <c r="J974" s="4">
        <f>32.8677 * CHOOSE(CONTROL!$C$15, $D$11, 100%, $F$11)</f>
        <v>32.867699999999999</v>
      </c>
      <c r="K974" s="4"/>
      <c r="L974" s="9">
        <v>31.095300000000002</v>
      </c>
      <c r="M974" s="9">
        <v>12.063700000000001</v>
      </c>
      <c r="N974" s="9">
        <v>4.9444999999999997</v>
      </c>
      <c r="O974" s="9">
        <v>0.37409999999999999</v>
      </c>
      <c r="P974" s="9">
        <v>1.2183999999999999</v>
      </c>
      <c r="Q974" s="9">
        <v>19.688099999999999</v>
      </c>
      <c r="R974" s="9"/>
      <c r="S974" s="11"/>
    </row>
    <row r="975" spans="1:19" ht="15.75">
      <c r="A975" s="13">
        <v>71193</v>
      </c>
      <c r="B975" s="8">
        <f>36.9363 * CHOOSE(CONTROL!$C$15, $D$11, 100%, $F$11)</f>
        <v>36.936300000000003</v>
      </c>
      <c r="C975" s="8">
        <f>36.9471 * CHOOSE(CONTROL!$C$15, $D$11, 100%, $F$11)</f>
        <v>36.947099999999999</v>
      </c>
      <c r="D975" s="8">
        <f>36.9298 * CHOOSE( CONTROL!$C$15, $D$11, 100%, $F$11)</f>
        <v>36.9298</v>
      </c>
      <c r="E975" s="12">
        <f>36.935 * CHOOSE( CONTROL!$C$15, $D$11, 100%, $F$11)</f>
        <v>36.935000000000002</v>
      </c>
      <c r="F975" s="4">
        <f>37.5948 * CHOOSE(CONTROL!$C$15, $D$11, 100%, $F$11)</f>
        <v>37.594799999999999</v>
      </c>
      <c r="G975" s="8">
        <f>36.1113 * CHOOSE( CONTROL!$C$15, $D$11, 100%, $F$11)</f>
        <v>36.1113</v>
      </c>
      <c r="H975" s="4">
        <f>36.9906 * CHOOSE(CONTROL!$C$15, $D$11, 100%, $F$11)</f>
        <v>36.990600000000001</v>
      </c>
      <c r="I975" s="8">
        <f>35.6149 * CHOOSE(CONTROL!$C$15, $D$11, 100%, $F$11)</f>
        <v>35.614899999999999</v>
      </c>
      <c r="J975" s="4">
        <f>35.4481 * CHOOSE(CONTROL!$C$15, $D$11, 100%, $F$11)</f>
        <v>35.448099999999997</v>
      </c>
      <c r="K975" s="4"/>
      <c r="L975" s="9">
        <v>28.360600000000002</v>
      </c>
      <c r="M975" s="9">
        <v>11.6745</v>
      </c>
      <c r="N975" s="9">
        <v>4.7850000000000001</v>
      </c>
      <c r="O975" s="9">
        <v>0.36199999999999999</v>
      </c>
      <c r="P975" s="9">
        <v>1.2509999999999999</v>
      </c>
      <c r="Q975" s="9">
        <v>19.053000000000001</v>
      </c>
      <c r="R975" s="9"/>
      <c r="S975" s="11"/>
    </row>
    <row r="976" spans="1:19" ht="15.75">
      <c r="A976" s="13">
        <v>71224</v>
      </c>
      <c r="B976" s="8">
        <f>36.8692 * CHOOSE(CONTROL!$C$15, $D$11, 100%, $F$11)</f>
        <v>36.869199999999999</v>
      </c>
      <c r="C976" s="8">
        <f>36.8799 * CHOOSE(CONTROL!$C$15, $D$11, 100%, $F$11)</f>
        <v>36.879899999999999</v>
      </c>
      <c r="D976" s="8">
        <f>36.8644 * CHOOSE( CONTROL!$C$15, $D$11, 100%, $F$11)</f>
        <v>36.864400000000003</v>
      </c>
      <c r="E976" s="12">
        <f>36.8689 * CHOOSE( CONTROL!$C$15, $D$11, 100%, $F$11)</f>
        <v>36.868899999999996</v>
      </c>
      <c r="F976" s="4">
        <f>37.5277 * CHOOSE(CONTROL!$C$15, $D$11, 100%, $F$11)</f>
        <v>37.527700000000003</v>
      </c>
      <c r="G976" s="8">
        <f>36.0469 * CHOOSE( CONTROL!$C$15, $D$11, 100%, $F$11)</f>
        <v>36.046900000000001</v>
      </c>
      <c r="H976" s="4">
        <f>36.9249 * CHOOSE(CONTROL!$C$15, $D$11, 100%, $F$11)</f>
        <v>36.924900000000001</v>
      </c>
      <c r="I976" s="8">
        <f>35.5556 * CHOOSE(CONTROL!$C$15, $D$11, 100%, $F$11)</f>
        <v>35.555599999999998</v>
      </c>
      <c r="J976" s="4">
        <f>35.3836 * CHOOSE(CONTROL!$C$15, $D$11, 100%, $F$11)</f>
        <v>35.383600000000001</v>
      </c>
      <c r="K976" s="4"/>
      <c r="L976" s="9">
        <v>29.306000000000001</v>
      </c>
      <c r="M976" s="9">
        <v>12.063700000000001</v>
      </c>
      <c r="N976" s="9">
        <v>4.9444999999999997</v>
      </c>
      <c r="O976" s="9">
        <v>0.37409999999999999</v>
      </c>
      <c r="P976" s="9">
        <v>1.2927</v>
      </c>
      <c r="Q976" s="9">
        <v>19.688099999999999</v>
      </c>
      <c r="R976" s="9"/>
      <c r="S976" s="11"/>
    </row>
    <row r="977" spans="1:19" ht="15.75">
      <c r="A977" s="13">
        <v>71255</v>
      </c>
      <c r="B977" s="8">
        <f>37.9563 * CHOOSE(CONTROL!$C$15, $D$11, 100%, $F$11)</f>
        <v>37.956299999999999</v>
      </c>
      <c r="C977" s="8">
        <f>37.967 * CHOOSE(CONTROL!$C$15, $D$11, 100%, $F$11)</f>
        <v>37.966999999999999</v>
      </c>
      <c r="D977" s="8">
        <f>37.9484 * CHOOSE( CONTROL!$C$15, $D$11, 100%, $F$11)</f>
        <v>37.948399999999999</v>
      </c>
      <c r="E977" s="12">
        <f>37.9541 * CHOOSE( CONTROL!$C$15, $D$11, 100%, $F$11)</f>
        <v>37.954099999999997</v>
      </c>
      <c r="F977" s="4">
        <f>38.6148 * CHOOSE(CONTROL!$C$15, $D$11, 100%, $F$11)</f>
        <v>38.614800000000002</v>
      </c>
      <c r="G977" s="8">
        <f>37.1022 * CHOOSE( CONTROL!$C$15, $D$11, 100%, $F$11)</f>
        <v>37.102200000000003</v>
      </c>
      <c r="H977" s="4">
        <f>37.9877 * CHOOSE(CONTROL!$C$15, $D$11, 100%, $F$11)</f>
        <v>37.987699999999997</v>
      </c>
      <c r="I977" s="8">
        <f>36.5647 * CHOOSE(CONTROL!$C$15, $D$11, 100%, $F$11)</f>
        <v>36.564700000000002</v>
      </c>
      <c r="J977" s="4">
        <f>36.4273 * CHOOSE(CONTROL!$C$15, $D$11, 100%, $F$11)</f>
        <v>36.427300000000002</v>
      </c>
      <c r="K977" s="4"/>
      <c r="L977" s="9">
        <v>29.306000000000001</v>
      </c>
      <c r="M977" s="9">
        <v>12.063700000000001</v>
      </c>
      <c r="N977" s="9">
        <v>4.9444999999999997</v>
      </c>
      <c r="O977" s="9">
        <v>0.37409999999999999</v>
      </c>
      <c r="P977" s="9">
        <v>1.2927</v>
      </c>
      <c r="Q977" s="9">
        <v>19.688099999999999</v>
      </c>
      <c r="R977" s="9"/>
      <c r="S977" s="11"/>
    </row>
    <row r="978" spans="1:19" ht="15.75">
      <c r="A978" s="13">
        <v>71283</v>
      </c>
      <c r="B978" s="8">
        <f>35.5034 * CHOOSE(CONTROL!$C$15, $D$11, 100%, $F$11)</f>
        <v>35.503399999999999</v>
      </c>
      <c r="C978" s="8">
        <f>35.5142 * CHOOSE(CONTROL!$C$15, $D$11, 100%, $F$11)</f>
        <v>35.514200000000002</v>
      </c>
      <c r="D978" s="8">
        <f>35.4955 * CHOOSE( CONTROL!$C$15, $D$11, 100%, $F$11)</f>
        <v>35.4955</v>
      </c>
      <c r="E978" s="12">
        <f>35.5012 * CHOOSE( CONTROL!$C$15, $D$11, 100%, $F$11)</f>
        <v>35.501199999999997</v>
      </c>
      <c r="F978" s="4">
        <f>36.1619 * CHOOSE(CONTROL!$C$15, $D$11, 100%, $F$11)</f>
        <v>36.161900000000003</v>
      </c>
      <c r="G978" s="8">
        <f>34.704 * CHOOSE( CONTROL!$C$15, $D$11, 100%, $F$11)</f>
        <v>34.704000000000001</v>
      </c>
      <c r="H978" s="4">
        <f>35.5896 * CHOOSE(CONTROL!$C$15, $D$11, 100%, $F$11)</f>
        <v>35.589599999999997</v>
      </c>
      <c r="I978" s="8">
        <f>34.2082 * CHOOSE(CONTROL!$C$15, $D$11, 100%, $F$11)</f>
        <v>34.208199999999998</v>
      </c>
      <c r="J978" s="4">
        <f>34.0724 * CHOOSE(CONTROL!$C$15, $D$11, 100%, $F$11)</f>
        <v>34.072400000000002</v>
      </c>
      <c r="K978" s="4"/>
      <c r="L978" s="9">
        <v>26.469899999999999</v>
      </c>
      <c r="M978" s="9">
        <v>10.8962</v>
      </c>
      <c r="N978" s="9">
        <v>4.4660000000000002</v>
      </c>
      <c r="O978" s="9">
        <v>0.33789999999999998</v>
      </c>
      <c r="P978" s="9">
        <v>1.1676</v>
      </c>
      <c r="Q978" s="9">
        <v>17.782800000000002</v>
      </c>
      <c r="R978" s="9"/>
      <c r="S978" s="11"/>
    </row>
    <row r="979" spans="1:19" ht="15.75">
      <c r="A979" s="13">
        <v>71314</v>
      </c>
      <c r="B979" s="8">
        <f>34.748 * CHOOSE(CONTROL!$C$15, $D$11, 100%, $F$11)</f>
        <v>34.747999999999998</v>
      </c>
      <c r="C979" s="8">
        <f>34.7587 * CHOOSE(CONTROL!$C$15, $D$11, 100%, $F$11)</f>
        <v>34.758699999999997</v>
      </c>
      <c r="D979" s="8">
        <f>34.7395 * CHOOSE( CONTROL!$C$15, $D$11, 100%, $F$11)</f>
        <v>34.7395</v>
      </c>
      <c r="E979" s="12">
        <f>34.7454 * CHOOSE( CONTROL!$C$15, $D$11, 100%, $F$11)</f>
        <v>34.745399999999997</v>
      </c>
      <c r="F979" s="4">
        <f>35.4065 * CHOOSE(CONTROL!$C$15, $D$11, 100%, $F$11)</f>
        <v>35.406500000000001</v>
      </c>
      <c r="G979" s="8">
        <f>33.965 * CHOOSE( CONTROL!$C$15, $D$11, 100%, $F$11)</f>
        <v>33.965000000000003</v>
      </c>
      <c r="H979" s="4">
        <f>34.851 * CHOOSE(CONTROL!$C$15, $D$11, 100%, $F$11)</f>
        <v>34.850999999999999</v>
      </c>
      <c r="I979" s="8">
        <f>33.4811 * CHOOSE(CONTROL!$C$15, $D$11, 100%, $F$11)</f>
        <v>33.481099999999998</v>
      </c>
      <c r="J979" s="4">
        <f>33.3471 * CHOOSE(CONTROL!$C$15, $D$11, 100%, $F$11)</f>
        <v>33.347099999999998</v>
      </c>
      <c r="K979" s="4"/>
      <c r="L979" s="9">
        <v>29.306000000000001</v>
      </c>
      <c r="M979" s="9">
        <v>12.063700000000001</v>
      </c>
      <c r="N979" s="9">
        <v>4.9444999999999997</v>
      </c>
      <c r="O979" s="9">
        <v>0.37409999999999999</v>
      </c>
      <c r="P979" s="9">
        <v>1.2927</v>
      </c>
      <c r="Q979" s="9">
        <v>19.688099999999999</v>
      </c>
      <c r="R979" s="9"/>
      <c r="S979" s="11"/>
    </row>
    <row r="980" spans="1:19" ht="15.75">
      <c r="A980" s="13">
        <v>71344</v>
      </c>
      <c r="B980" s="8">
        <f>35.2758 * CHOOSE(CONTROL!$C$15, $D$11, 100%, $F$11)</f>
        <v>35.275799999999997</v>
      </c>
      <c r="C980" s="8">
        <f>35.2866 * CHOOSE(CONTROL!$C$15, $D$11, 100%, $F$11)</f>
        <v>35.2866</v>
      </c>
      <c r="D980" s="8">
        <f>35.3235 * CHOOSE( CONTROL!$C$15, $D$11, 100%, $F$11)</f>
        <v>35.323500000000003</v>
      </c>
      <c r="E980" s="12">
        <f>35.3101 * CHOOSE( CONTROL!$C$15, $D$11, 100%, $F$11)</f>
        <v>35.310099999999998</v>
      </c>
      <c r="F980" s="4">
        <f>36.0151 * CHOOSE(CONTROL!$C$15, $D$11, 100%, $F$11)</f>
        <v>36.015099999999997</v>
      </c>
      <c r="G980" s="8">
        <f>34.4803 * CHOOSE( CONTROL!$C$15, $D$11, 100%, $F$11)</f>
        <v>34.4803</v>
      </c>
      <c r="H980" s="4">
        <f>35.446 * CHOOSE(CONTROL!$C$15, $D$11, 100%, $F$11)</f>
        <v>35.445999999999998</v>
      </c>
      <c r="I980" s="8">
        <f>33.98 * CHOOSE(CONTROL!$C$15, $D$11, 100%, $F$11)</f>
        <v>33.979999999999997</v>
      </c>
      <c r="J980" s="4">
        <f>33.8539 * CHOOSE(CONTROL!$C$15, $D$11, 100%, $F$11)</f>
        <v>33.853900000000003</v>
      </c>
      <c r="K980" s="4"/>
      <c r="L980" s="9">
        <v>30.092199999999998</v>
      </c>
      <c r="M980" s="9">
        <v>11.6745</v>
      </c>
      <c r="N980" s="9">
        <v>4.7850000000000001</v>
      </c>
      <c r="O980" s="9">
        <v>0.36199999999999999</v>
      </c>
      <c r="P980" s="9">
        <v>1.1791</v>
      </c>
      <c r="Q980" s="9">
        <v>19.053000000000001</v>
      </c>
      <c r="R980" s="9"/>
      <c r="S980" s="11"/>
    </row>
    <row r="981" spans="1:19" ht="15.75">
      <c r="A981" s="13">
        <v>71375</v>
      </c>
      <c r="B981" s="8">
        <f>CHOOSE( CONTROL!$C$32, 36.2177, 36.2153) * CHOOSE(CONTROL!$C$15, $D$11, 100%, $F$11)</f>
        <v>36.217700000000001</v>
      </c>
      <c r="C981" s="8">
        <f>CHOOSE( CONTROL!$C$32, 36.2282, 36.2258) * CHOOSE(CONTROL!$C$15, $D$11, 100%, $F$11)</f>
        <v>36.228200000000001</v>
      </c>
      <c r="D981" s="8">
        <f>CHOOSE( CONTROL!$C$32, 36.2641, 36.2617) * CHOOSE( CONTROL!$C$15, $D$11, 100%, $F$11)</f>
        <v>36.264099999999999</v>
      </c>
      <c r="E981" s="12">
        <f>CHOOSE( CONTROL!$C$32, 36.2495, 36.2471) * CHOOSE( CONTROL!$C$15, $D$11, 100%, $F$11)</f>
        <v>36.249499999999998</v>
      </c>
      <c r="F981" s="4">
        <f>CHOOSE( CONTROL!$C$32, 36.957, 36.9546) * CHOOSE(CONTROL!$C$15, $D$11, 100%, $F$11)</f>
        <v>36.957000000000001</v>
      </c>
      <c r="G981" s="8">
        <f>CHOOSE( CONTROL!$C$32, 35.4018, 35.3994) * CHOOSE( CONTROL!$C$15, $D$11, 100%, $F$11)</f>
        <v>35.401800000000001</v>
      </c>
      <c r="H981" s="4">
        <f>CHOOSE( CONTROL!$C$32, 36.367, 36.3646) * CHOOSE(CONTROL!$C$15, $D$11, 100%, $F$11)</f>
        <v>36.366999999999997</v>
      </c>
      <c r="I981" s="8">
        <f>CHOOSE( CONTROL!$C$32, 34.8849, 34.8826) * CHOOSE(CONTROL!$C$15, $D$11, 100%, $F$11)</f>
        <v>34.884900000000002</v>
      </c>
      <c r="J981" s="4">
        <f>CHOOSE( CONTROL!$C$32, 34.7583, 34.756) * CHOOSE(CONTROL!$C$15, $D$11, 100%, $F$11)</f>
        <v>34.758299999999998</v>
      </c>
      <c r="K981" s="4"/>
      <c r="L981" s="9">
        <v>30.7165</v>
      </c>
      <c r="M981" s="9">
        <v>12.063700000000001</v>
      </c>
      <c r="N981" s="9">
        <v>4.9444999999999997</v>
      </c>
      <c r="O981" s="9">
        <v>0.37409999999999999</v>
      </c>
      <c r="P981" s="9">
        <v>1.2183999999999999</v>
      </c>
      <c r="Q981" s="9">
        <v>19.688099999999999</v>
      </c>
      <c r="R981" s="9"/>
      <c r="S981" s="11"/>
    </row>
    <row r="982" spans="1:19" ht="15.75">
      <c r="A982" s="13">
        <v>71405</v>
      </c>
      <c r="B982" s="8">
        <f>CHOOSE( CONTROL!$C$32, 35.6357, 35.6333) * CHOOSE(CONTROL!$C$15, $D$11, 100%, $F$11)</f>
        <v>35.6357</v>
      </c>
      <c r="C982" s="8">
        <f>CHOOSE( CONTROL!$C$32, 35.6462, 35.6438) * CHOOSE(CONTROL!$C$15, $D$11, 100%, $F$11)</f>
        <v>35.6462</v>
      </c>
      <c r="D982" s="8">
        <f>CHOOSE( CONTROL!$C$32, 35.6822, 35.6799) * CHOOSE( CONTROL!$C$15, $D$11, 100%, $F$11)</f>
        <v>35.682200000000002</v>
      </c>
      <c r="E982" s="12">
        <f>CHOOSE( CONTROL!$C$32, 35.6676, 35.6652) * CHOOSE( CONTROL!$C$15, $D$11, 100%, $F$11)</f>
        <v>35.6676</v>
      </c>
      <c r="F982" s="4">
        <f>CHOOSE( CONTROL!$C$32, 36.375, 36.3726) * CHOOSE(CONTROL!$C$15, $D$11, 100%, $F$11)</f>
        <v>36.375</v>
      </c>
      <c r="G982" s="8">
        <f>CHOOSE( CONTROL!$C$32, 34.833, 34.8307) * CHOOSE( CONTROL!$C$15, $D$11, 100%, $F$11)</f>
        <v>34.832999999999998</v>
      </c>
      <c r="H982" s="4">
        <f>CHOOSE( CONTROL!$C$32, 35.7979, 35.7956) * CHOOSE(CONTROL!$C$15, $D$11, 100%, $F$11)</f>
        <v>35.797899999999998</v>
      </c>
      <c r="I982" s="8">
        <f>CHOOSE( CONTROL!$C$32, 34.3267, 34.3244) * CHOOSE(CONTROL!$C$15, $D$11, 100%, $F$11)</f>
        <v>34.326700000000002</v>
      </c>
      <c r="J982" s="4">
        <f>CHOOSE( CONTROL!$C$32, 34.1995, 34.1972) * CHOOSE(CONTROL!$C$15, $D$11, 100%, $F$11)</f>
        <v>34.1995</v>
      </c>
      <c r="K982" s="4"/>
      <c r="L982" s="9">
        <v>29.7257</v>
      </c>
      <c r="M982" s="9">
        <v>11.6745</v>
      </c>
      <c r="N982" s="9">
        <v>4.7850000000000001</v>
      </c>
      <c r="O982" s="9">
        <v>0.36199999999999999</v>
      </c>
      <c r="P982" s="9">
        <v>1.1791</v>
      </c>
      <c r="Q982" s="9">
        <v>19.053000000000001</v>
      </c>
      <c r="R982" s="9"/>
      <c r="S982" s="11"/>
    </row>
    <row r="983" spans="1:19" ht="15.75">
      <c r="A983" s="13">
        <v>71436</v>
      </c>
      <c r="B983" s="8">
        <f>CHOOSE( CONTROL!$C$32, 37.1683, 37.1659) * CHOOSE(CONTROL!$C$15, $D$11, 100%, $F$11)</f>
        <v>37.168300000000002</v>
      </c>
      <c r="C983" s="8">
        <f>CHOOSE( CONTROL!$C$32, 37.1789, 37.1765) * CHOOSE(CONTROL!$C$15, $D$11, 100%, $F$11)</f>
        <v>37.178899999999999</v>
      </c>
      <c r="D983" s="8">
        <f>CHOOSE( CONTROL!$C$32, 37.2151, 37.2127) * CHOOSE( CONTROL!$C$15, $D$11, 100%, $F$11)</f>
        <v>37.2151</v>
      </c>
      <c r="E983" s="12">
        <f>CHOOSE( CONTROL!$C$32, 37.2004, 37.198) * CHOOSE( CONTROL!$C$15, $D$11, 100%, $F$11)</f>
        <v>37.200400000000002</v>
      </c>
      <c r="F983" s="4">
        <f>CHOOSE( CONTROL!$C$32, 37.9077, 37.9053) * CHOOSE(CONTROL!$C$15, $D$11, 100%, $F$11)</f>
        <v>37.907699999999998</v>
      </c>
      <c r="G983" s="8">
        <f>CHOOSE( CONTROL!$C$32, 36.3319, 36.3295) * CHOOSE( CONTROL!$C$15, $D$11, 100%, $F$11)</f>
        <v>36.331899999999997</v>
      </c>
      <c r="H983" s="4">
        <f>CHOOSE( CONTROL!$C$32, 37.2964, 37.2941) * CHOOSE(CONTROL!$C$15, $D$11, 100%, $F$11)</f>
        <v>37.296399999999998</v>
      </c>
      <c r="I983" s="8">
        <f>CHOOSE( CONTROL!$C$32, 35.8, 35.7977) * CHOOSE(CONTROL!$C$15, $D$11, 100%, $F$11)</f>
        <v>35.799999999999997</v>
      </c>
      <c r="J983" s="4">
        <f>CHOOSE( CONTROL!$C$32, 35.671, 35.6687) * CHOOSE(CONTROL!$C$15, $D$11, 100%, $F$11)</f>
        <v>35.670999999999999</v>
      </c>
      <c r="K983" s="4"/>
      <c r="L983" s="9">
        <v>30.7165</v>
      </c>
      <c r="M983" s="9">
        <v>12.063700000000001</v>
      </c>
      <c r="N983" s="9">
        <v>4.9444999999999997</v>
      </c>
      <c r="O983" s="9">
        <v>0.37409999999999999</v>
      </c>
      <c r="P983" s="9">
        <v>1.2183999999999999</v>
      </c>
      <c r="Q983" s="9">
        <v>19.688099999999999</v>
      </c>
      <c r="R983" s="9"/>
      <c r="S983" s="11"/>
    </row>
    <row r="984" spans="1:19" ht="15.75">
      <c r="A984" s="13">
        <v>71467</v>
      </c>
      <c r="B984" s="8">
        <f>CHOOSE( CONTROL!$C$32, 34.3005, 34.2981) * CHOOSE(CONTROL!$C$15, $D$11, 100%, $F$11)</f>
        <v>34.3005</v>
      </c>
      <c r="C984" s="8">
        <f>CHOOSE( CONTROL!$C$32, 34.3111, 34.3087) * CHOOSE(CONTROL!$C$15, $D$11, 100%, $F$11)</f>
        <v>34.311100000000003</v>
      </c>
      <c r="D984" s="8">
        <f>CHOOSE( CONTROL!$C$32, 34.3474, 34.345) * CHOOSE( CONTROL!$C$15, $D$11, 100%, $F$11)</f>
        <v>34.3474</v>
      </c>
      <c r="E984" s="12">
        <f>CHOOSE( CONTROL!$C$32, 34.3326, 34.3302) * CHOOSE( CONTROL!$C$15, $D$11, 100%, $F$11)</f>
        <v>34.332599999999999</v>
      </c>
      <c r="F984" s="4">
        <f>CHOOSE( CONTROL!$C$32, 35.0399, 35.0375) * CHOOSE(CONTROL!$C$15, $D$11, 100%, $F$11)</f>
        <v>35.039900000000003</v>
      </c>
      <c r="G984" s="8">
        <f>CHOOSE( CONTROL!$C$32, 33.5281, 33.5258) * CHOOSE( CONTROL!$C$15, $D$11, 100%, $F$11)</f>
        <v>33.528100000000002</v>
      </c>
      <c r="H984" s="4">
        <f>CHOOSE( CONTROL!$C$32, 34.4926, 34.4903) * CHOOSE(CONTROL!$C$15, $D$11, 100%, $F$11)</f>
        <v>34.492600000000003</v>
      </c>
      <c r="I984" s="8">
        <f>CHOOSE( CONTROL!$C$32, 33.0455, 33.0432) * CHOOSE(CONTROL!$C$15, $D$11, 100%, $F$11)</f>
        <v>33.045499999999997</v>
      </c>
      <c r="J984" s="4">
        <f>CHOOSE( CONTROL!$C$32, 32.9176, 32.9153) * CHOOSE(CONTROL!$C$15, $D$11, 100%, $F$11)</f>
        <v>32.9176</v>
      </c>
      <c r="K984" s="4"/>
      <c r="L984" s="9">
        <v>30.7165</v>
      </c>
      <c r="M984" s="9">
        <v>12.063700000000001</v>
      </c>
      <c r="N984" s="9">
        <v>4.9444999999999997</v>
      </c>
      <c r="O984" s="9">
        <v>0.37409999999999999</v>
      </c>
      <c r="P984" s="9">
        <v>1.2183999999999999</v>
      </c>
      <c r="Q984" s="9">
        <v>19.688099999999999</v>
      </c>
      <c r="R984" s="9"/>
      <c r="S984" s="11"/>
    </row>
    <row r="985" spans="1:19" ht="15.75">
      <c r="A985" s="13">
        <v>71497</v>
      </c>
      <c r="B985" s="8">
        <f>CHOOSE( CONTROL!$C$32, 33.5824, 33.58) * CHOOSE(CONTROL!$C$15, $D$11, 100%, $F$11)</f>
        <v>33.5824</v>
      </c>
      <c r="C985" s="8">
        <f>CHOOSE( CONTROL!$C$32, 33.593, 33.5906) * CHOOSE(CONTROL!$C$15, $D$11, 100%, $F$11)</f>
        <v>33.593000000000004</v>
      </c>
      <c r="D985" s="8">
        <f>CHOOSE( CONTROL!$C$32, 33.6292, 33.6268) * CHOOSE( CONTROL!$C$15, $D$11, 100%, $F$11)</f>
        <v>33.629199999999997</v>
      </c>
      <c r="E985" s="12">
        <f>CHOOSE( CONTROL!$C$32, 33.6145, 33.6121) * CHOOSE( CONTROL!$C$15, $D$11, 100%, $F$11)</f>
        <v>33.6145</v>
      </c>
      <c r="F985" s="4">
        <f>CHOOSE( CONTROL!$C$32, 34.3218, 34.3194) * CHOOSE(CONTROL!$C$15, $D$11, 100%, $F$11)</f>
        <v>34.321800000000003</v>
      </c>
      <c r="G985" s="8">
        <f>CHOOSE( CONTROL!$C$32, 32.8259, 32.8236) * CHOOSE( CONTROL!$C$15, $D$11, 100%, $F$11)</f>
        <v>32.825899999999997</v>
      </c>
      <c r="H985" s="4">
        <f>CHOOSE( CONTROL!$C$32, 33.7905, 33.7881) * CHOOSE(CONTROL!$C$15, $D$11, 100%, $F$11)</f>
        <v>33.790500000000002</v>
      </c>
      <c r="I985" s="8">
        <f>CHOOSE( CONTROL!$C$32, 32.3554, 32.3531) * CHOOSE(CONTROL!$C$15, $D$11, 100%, $F$11)</f>
        <v>32.355400000000003</v>
      </c>
      <c r="J985" s="4">
        <f>CHOOSE( CONTROL!$C$32, 32.2281, 32.2258) * CHOOSE(CONTROL!$C$15, $D$11, 100%, $F$11)</f>
        <v>32.228099999999998</v>
      </c>
      <c r="K985" s="4"/>
      <c r="L985" s="9">
        <v>29.7257</v>
      </c>
      <c r="M985" s="9">
        <v>11.6745</v>
      </c>
      <c r="N985" s="9">
        <v>4.7850000000000001</v>
      </c>
      <c r="O985" s="9">
        <v>0.36199999999999999</v>
      </c>
      <c r="P985" s="9">
        <v>1.1791</v>
      </c>
      <c r="Q985" s="9">
        <v>19.053000000000001</v>
      </c>
      <c r="R985" s="9"/>
      <c r="S985" s="11"/>
    </row>
    <row r="986" spans="1:19" ht="15.75">
      <c r="A986" s="13">
        <v>71528</v>
      </c>
      <c r="B986" s="8">
        <f>35.0712 * CHOOSE(CONTROL!$C$15, $D$11, 100%, $F$11)</f>
        <v>35.071199999999997</v>
      </c>
      <c r="C986" s="8">
        <f>35.0819 * CHOOSE(CONTROL!$C$15, $D$11, 100%, $F$11)</f>
        <v>35.081899999999997</v>
      </c>
      <c r="D986" s="8">
        <f>35.1195 * CHOOSE( CONTROL!$C$15, $D$11, 100%, $F$11)</f>
        <v>35.119500000000002</v>
      </c>
      <c r="E986" s="12">
        <f>35.1059 * CHOOSE( CONTROL!$C$15, $D$11, 100%, $F$11)</f>
        <v>35.105899999999998</v>
      </c>
      <c r="F986" s="4">
        <f>35.8105 * CHOOSE(CONTROL!$C$15, $D$11, 100%, $F$11)</f>
        <v>35.810499999999998</v>
      </c>
      <c r="G986" s="8">
        <f>34.2811 * CHOOSE( CONTROL!$C$15, $D$11, 100%, $F$11)</f>
        <v>34.281100000000002</v>
      </c>
      <c r="H986" s="4">
        <f>35.246 * CHOOSE(CONTROL!$C$15, $D$11, 100%, $F$11)</f>
        <v>35.246000000000002</v>
      </c>
      <c r="I986" s="8">
        <f>33.7861 * CHOOSE(CONTROL!$C$15, $D$11, 100%, $F$11)</f>
        <v>33.786099999999998</v>
      </c>
      <c r="J986" s="4">
        <f>33.6574 * CHOOSE(CONTROL!$C$15, $D$11, 100%, $F$11)</f>
        <v>33.657400000000003</v>
      </c>
      <c r="K986" s="4"/>
      <c r="L986" s="9">
        <v>31.095300000000002</v>
      </c>
      <c r="M986" s="9">
        <v>12.063700000000001</v>
      </c>
      <c r="N986" s="9">
        <v>4.9444999999999997</v>
      </c>
      <c r="O986" s="9">
        <v>0.37409999999999999</v>
      </c>
      <c r="P986" s="9">
        <v>1.2183999999999999</v>
      </c>
      <c r="Q986" s="9">
        <v>19.688099999999999</v>
      </c>
      <c r="R986" s="9"/>
      <c r="S986" s="11"/>
    </row>
    <row r="987" spans="1:19" ht="15.75">
      <c r="A987" s="13">
        <v>71558</v>
      </c>
      <c r="B987" s="8">
        <f>37.8235 * CHOOSE(CONTROL!$C$15, $D$11, 100%, $F$11)</f>
        <v>37.823500000000003</v>
      </c>
      <c r="C987" s="8">
        <f>37.8342 * CHOOSE(CONTROL!$C$15, $D$11, 100%, $F$11)</f>
        <v>37.834200000000003</v>
      </c>
      <c r="D987" s="8">
        <f>37.817 * CHOOSE( CONTROL!$C$15, $D$11, 100%, $F$11)</f>
        <v>37.817</v>
      </c>
      <c r="E987" s="12">
        <f>37.8221 * CHOOSE( CONTROL!$C$15, $D$11, 100%, $F$11)</f>
        <v>37.822099999999999</v>
      </c>
      <c r="F987" s="4">
        <f>38.482 * CHOOSE(CONTROL!$C$15, $D$11, 100%, $F$11)</f>
        <v>38.481999999999999</v>
      </c>
      <c r="G987" s="8">
        <f>36.9786 * CHOOSE( CONTROL!$C$15, $D$11, 100%, $F$11)</f>
        <v>36.9786</v>
      </c>
      <c r="H987" s="4">
        <f>37.8579 * CHOOSE(CONTROL!$C$15, $D$11, 100%, $F$11)</f>
        <v>37.857900000000001</v>
      </c>
      <c r="I987" s="8">
        <f>36.467 * CHOOSE(CONTROL!$C$15, $D$11, 100%, $F$11)</f>
        <v>36.466999999999999</v>
      </c>
      <c r="J987" s="4">
        <f>36.2998 * CHOOSE(CONTROL!$C$15, $D$11, 100%, $F$11)</f>
        <v>36.299799999999998</v>
      </c>
      <c r="K987" s="4"/>
      <c r="L987" s="9">
        <v>28.360600000000002</v>
      </c>
      <c r="M987" s="9">
        <v>11.6745</v>
      </c>
      <c r="N987" s="9">
        <v>4.7850000000000001</v>
      </c>
      <c r="O987" s="9">
        <v>0.36199999999999999</v>
      </c>
      <c r="P987" s="9">
        <v>1.2509999999999999</v>
      </c>
      <c r="Q987" s="9">
        <v>19.053000000000001</v>
      </c>
      <c r="R987" s="9"/>
      <c r="S987" s="11"/>
    </row>
    <row r="988" spans="1:19" ht="15.75">
      <c r="A988" s="13">
        <v>71589</v>
      </c>
      <c r="B988" s="8">
        <f>37.7547 * CHOOSE(CONTROL!$C$15, $D$11, 100%, $F$11)</f>
        <v>37.7547</v>
      </c>
      <c r="C988" s="8">
        <f>37.7655 * CHOOSE(CONTROL!$C$15, $D$11, 100%, $F$11)</f>
        <v>37.765500000000003</v>
      </c>
      <c r="D988" s="8">
        <f>37.7499 * CHOOSE( CONTROL!$C$15, $D$11, 100%, $F$11)</f>
        <v>37.749899999999997</v>
      </c>
      <c r="E988" s="12">
        <f>37.7545 * CHOOSE( CONTROL!$C$15, $D$11, 100%, $F$11)</f>
        <v>37.7545</v>
      </c>
      <c r="F988" s="4">
        <f>38.4132 * CHOOSE(CONTROL!$C$15, $D$11, 100%, $F$11)</f>
        <v>38.413200000000003</v>
      </c>
      <c r="G988" s="8">
        <f>36.9126 * CHOOSE( CONTROL!$C$15, $D$11, 100%, $F$11)</f>
        <v>36.912599999999998</v>
      </c>
      <c r="H988" s="4">
        <f>37.7907 * CHOOSE(CONTROL!$C$15, $D$11, 100%, $F$11)</f>
        <v>37.790700000000001</v>
      </c>
      <c r="I988" s="8">
        <f>36.4062 * CHOOSE(CONTROL!$C$15, $D$11, 100%, $F$11)</f>
        <v>36.406199999999998</v>
      </c>
      <c r="J988" s="4">
        <f>36.2338 * CHOOSE(CONTROL!$C$15, $D$11, 100%, $F$11)</f>
        <v>36.233800000000002</v>
      </c>
      <c r="K988" s="4"/>
      <c r="L988" s="9">
        <v>29.306000000000001</v>
      </c>
      <c r="M988" s="9">
        <v>12.063700000000001</v>
      </c>
      <c r="N988" s="9">
        <v>4.9444999999999997</v>
      </c>
      <c r="O988" s="9">
        <v>0.37409999999999999</v>
      </c>
      <c r="P988" s="9">
        <v>1.2927</v>
      </c>
      <c r="Q988" s="9">
        <v>19.688099999999999</v>
      </c>
      <c r="R988" s="9"/>
      <c r="S988" s="11"/>
    </row>
    <row r="989" spans="1:19" ht="15.75">
      <c r="A989" s="13">
        <v>71620</v>
      </c>
      <c r="B989" s="8">
        <f>38.8679 * CHOOSE(CONTROL!$C$15, $D$11, 100%, $F$11)</f>
        <v>38.867899999999999</v>
      </c>
      <c r="C989" s="8">
        <f>38.8787 * CHOOSE(CONTROL!$C$15, $D$11, 100%, $F$11)</f>
        <v>38.878700000000002</v>
      </c>
      <c r="D989" s="8">
        <f>38.86 * CHOOSE( CONTROL!$C$15, $D$11, 100%, $F$11)</f>
        <v>38.86</v>
      </c>
      <c r="E989" s="12">
        <f>38.8657 * CHOOSE( CONTROL!$C$15, $D$11, 100%, $F$11)</f>
        <v>38.865699999999997</v>
      </c>
      <c r="F989" s="4">
        <f>39.5264 * CHOOSE(CONTROL!$C$15, $D$11, 100%, $F$11)</f>
        <v>39.526400000000002</v>
      </c>
      <c r="G989" s="8">
        <f>37.9935 * CHOOSE( CONTROL!$C$15, $D$11, 100%, $F$11)</f>
        <v>37.993499999999997</v>
      </c>
      <c r="H989" s="4">
        <f>38.879 * CHOOSE(CONTROL!$C$15, $D$11, 100%, $F$11)</f>
        <v>38.878999999999998</v>
      </c>
      <c r="I989" s="8">
        <f>37.4404 * CHOOSE(CONTROL!$C$15, $D$11, 100%, $F$11)</f>
        <v>37.440399999999997</v>
      </c>
      <c r="J989" s="4">
        <f>37.3026 * CHOOSE(CONTROL!$C$15, $D$11, 100%, $F$11)</f>
        <v>37.302599999999998</v>
      </c>
      <c r="K989" s="4"/>
      <c r="L989" s="9">
        <v>29.306000000000001</v>
      </c>
      <c r="M989" s="9">
        <v>12.063700000000001</v>
      </c>
      <c r="N989" s="9">
        <v>4.9444999999999997</v>
      </c>
      <c r="O989" s="9">
        <v>0.37409999999999999</v>
      </c>
      <c r="P989" s="9">
        <v>1.2927</v>
      </c>
      <c r="Q989" s="9">
        <v>19.688099999999999</v>
      </c>
      <c r="R989" s="9"/>
      <c r="S989" s="11"/>
    </row>
    <row r="990" spans="1:19" ht="15.75">
      <c r="A990" s="13">
        <v>71649</v>
      </c>
      <c r="B990" s="8">
        <f>36.3561 * CHOOSE(CONTROL!$C$15, $D$11, 100%, $F$11)</f>
        <v>36.356099999999998</v>
      </c>
      <c r="C990" s="8">
        <f>36.3669 * CHOOSE(CONTROL!$C$15, $D$11, 100%, $F$11)</f>
        <v>36.366900000000001</v>
      </c>
      <c r="D990" s="8">
        <f>36.3482 * CHOOSE( CONTROL!$C$15, $D$11, 100%, $F$11)</f>
        <v>36.348199999999999</v>
      </c>
      <c r="E990" s="12">
        <f>36.3539 * CHOOSE( CONTROL!$C$15, $D$11, 100%, $F$11)</f>
        <v>36.353900000000003</v>
      </c>
      <c r="F990" s="4">
        <f>37.0146 * CHOOSE(CONTROL!$C$15, $D$11, 100%, $F$11)</f>
        <v>37.014600000000002</v>
      </c>
      <c r="G990" s="8">
        <f>35.5376 * CHOOSE( CONTROL!$C$15, $D$11, 100%, $F$11)</f>
        <v>35.537599999999998</v>
      </c>
      <c r="H990" s="4">
        <f>36.4233 * CHOOSE(CONTROL!$C$15, $D$11, 100%, $F$11)</f>
        <v>36.423299999999998</v>
      </c>
      <c r="I990" s="8">
        <f>35.0273 * CHOOSE(CONTROL!$C$15, $D$11, 100%, $F$11)</f>
        <v>35.027299999999997</v>
      </c>
      <c r="J990" s="4">
        <f>34.8911 * CHOOSE(CONTROL!$C$15, $D$11, 100%, $F$11)</f>
        <v>34.891100000000002</v>
      </c>
      <c r="K990" s="4"/>
      <c r="L990" s="9">
        <v>27.415299999999998</v>
      </c>
      <c r="M990" s="9">
        <v>11.285299999999999</v>
      </c>
      <c r="N990" s="9">
        <v>4.6254999999999997</v>
      </c>
      <c r="O990" s="9">
        <v>0.34989999999999999</v>
      </c>
      <c r="P990" s="9">
        <v>1.2093</v>
      </c>
      <c r="Q990" s="9">
        <v>18.417899999999999</v>
      </c>
      <c r="R990" s="9"/>
      <c r="S990" s="11"/>
    </row>
    <row r="991" spans="1:19" ht="15.75">
      <c r="A991" s="13">
        <v>71680</v>
      </c>
      <c r="B991" s="8">
        <f>35.5825 * CHOOSE(CONTROL!$C$15, $D$11, 100%, $F$11)</f>
        <v>35.582500000000003</v>
      </c>
      <c r="C991" s="8">
        <f>35.5933 * CHOOSE(CONTROL!$C$15, $D$11, 100%, $F$11)</f>
        <v>35.593299999999999</v>
      </c>
      <c r="D991" s="8">
        <f>35.5741 * CHOOSE( CONTROL!$C$15, $D$11, 100%, $F$11)</f>
        <v>35.574100000000001</v>
      </c>
      <c r="E991" s="12">
        <f>35.58 * CHOOSE( CONTROL!$C$15, $D$11, 100%, $F$11)</f>
        <v>35.58</v>
      </c>
      <c r="F991" s="4">
        <f>36.241 * CHOOSE(CONTROL!$C$15, $D$11, 100%, $F$11)</f>
        <v>36.241</v>
      </c>
      <c r="G991" s="8">
        <f>34.7809 * CHOOSE( CONTROL!$C$15, $D$11, 100%, $F$11)</f>
        <v>34.780900000000003</v>
      </c>
      <c r="H991" s="4">
        <f>35.6669 * CHOOSE(CONTROL!$C$15, $D$11, 100%, $F$11)</f>
        <v>35.666899999999998</v>
      </c>
      <c r="I991" s="8">
        <f>34.2827 * CHOOSE(CONTROL!$C$15, $D$11, 100%, $F$11)</f>
        <v>34.282699999999998</v>
      </c>
      <c r="J991" s="4">
        <f>34.1483 * CHOOSE(CONTROL!$C$15, $D$11, 100%, $F$11)</f>
        <v>34.148299999999999</v>
      </c>
      <c r="K991" s="4"/>
      <c r="L991" s="9">
        <v>29.306000000000001</v>
      </c>
      <c r="M991" s="9">
        <v>12.063700000000001</v>
      </c>
      <c r="N991" s="9">
        <v>4.9444999999999997</v>
      </c>
      <c r="O991" s="9">
        <v>0.37409999999999999</v>
      </c>
      <c r="P991" s="9">
        <v>1.2927</v>
      </c>
      <c r="Q991" s="9">
        <v>19.688099999999999</v>
      </c>
      <c r="R991" s="9"/>
      <c r="S991" s="11"/>
    </row>
    <row r="992" spans="1:19" ht="15.75">
      <c r="A992" s="13">
        <v>71710</v>
      </c>
      <c r="B992" s="8">
        <f>36.123 * CHOOSE(CONTROL!$C$15, $D$11, 100%, $F$11)</f>
        <v>36.122999999999998</v>
      </c>
      <c r="C992" s="8">
        <f>36.1338 * CHOOSE(CONTROL!$C$15, $D$11, 100%, $F$11)</f>
        <v>36.133800000000001</v>
      </c>
      <c r="D992" s="8">
        <f>36.1708 * CHOOSE( CONTROL!$C$15, $D$11, 100%, $F$11)</f>
        <v>36.1708</v>
      </c>
      <c r="E992" s="12">
        <f>36.1573 * CHOOSE( CONTROL!$C$15, $D$11, 100%, $F$11)</f>
        <v>36.157299999999999</v>
      </c>
      <c r="F992" s="4">
        <f>36.8623 * CHOOSE(CONTROL!$C$15, $D$11, 100%, $F$11)</f>
        <v>36.862299999999998</v>
      </c>
      <c r="G992" s="8">
        <f>35.3087 * CHOOSE( CONTROL!$C$15, $D$11, 100%, $F$11)</f>
        <v>35.308700000000002</v>
      </c>
      <c r="H992" s="4">
        <f>36.2744 * CHOOSE(CONTROL!$C$15, $D$11, 100%, $F$11)</f>
        <v>36.2744</v>
      </c>
      <c r="I992" s="8">
        <f>34.7938 * CHOOSE(CONTROL!$C$15, $D$11, 100%, $F$11)</f>
        <v>34.793799999999997</v>
      </c>
      <c r="J992" s="4">
        <f>34.6673 * CHOOSE(CONTROL!$C$15, $D$11, 100%, $F$11)</f>
        <v>34.667299999999997</v>
      </c>
      <c r="K992" s="4"/>
      <c r="L992" s="9">
        <v>30.092199999999998</v>
      </c>
      <c r="M992" s="9">
        <v>11.6745</v>
      </c>
      <c r="N992" s="9">
        <v>4.7850000000000001</v>
      </c>
      <c r="O992" s="9">
        <v>0.36199999999999999</v>
      </c>
      <c r="P992" s="9">
        <v>1.1791</v>
      </c>
      <c r="Q992" s="9">
        <v>19.053000000000001</v>
      </c>
      <c r="R992" s="9"/>
      <c r="S992" s="11"/>
    </row>
    <row r="993" spans="1:19" ht="15.75">
      <c r="A993" s="13">
        <v>71741</v>
      </c>
      <c r="B993" s="8">
        <f>CHOOSE( CONTROL!$C$32, 37.0875, 37.0851) * CHOOSE(CONTROL!$C$15, $D$11, 100%, $F$11)</f>
        <v>37.087499999999999</v>
      </c>
      <c r="C993" s="8">
        <f>CHOOSE( CONTROL!$C$32, 37.098, 37.0956) * CHOOSE(CONTROL!$C$15, $D$11, 100%, $F$11)</f>
        <v>37.097999999999999</v>
      </c>
      <c r="D993" s="8">
        <f>CHOOSE( CONTROL!$C$32, 37.1339, 37.1315) * CHOOSE( CONTROL!$C$15, $D$11, 100%, $F$11)</f>
        <v>37.133899999999997</v>
      </c>
      <c r="E993" s="12">
        <f>CHOOSE( CONTROL!$C$32, 37.1193, 37.1169) * CHOOSE( CONTROL!$C$15, $D$11, 100%, $F$11)</f>
        <v>37.119300000000003</v>
      </c>
      <c r="F993" s="4">
        <f>CHOOSE( CONTROL!$C$32, 37.8268, 37.8244) * CHOOSE(CONTROL!$C$15, $D$11, 100%, $F$11)</f>
        <v>37.826799999999999</v>
      </c>
      <c r="G993" s="8">
        <f>CHOOSE( CONTROL!$C$32, 36.2522, 36.2498) * CHOOSE( CONTROL!$C$15, $D$11, 100%, $F$11)</f>
        <v>36.252200000000002</v>
      </c>
      <c r="H993" s="4">
        <f>CHOOSE( CONTROL!$C$32, 37.2174, 37.215) * CHOOSE(CONTROL!$C$15, $D$11, 100%, $F$11)</f>
        <v>37.217399999999998</v>
      </c>
      <c r="I993" s="8">
        <f>CHOOSE( CONTROL!$C$32, 35.7204, 35.7181) * CHOOSE(CONTROL!$C$15, $D$11, 100%, $F$11)</f>
        <v>35.720399999999998</v>
      </c>
      <c r="J993" s="4">
        <f>CHOOSE( CONTROL!$C$32, 35.5934, 35.5911) * CHOOSE(CONTROL!$C$15, $D$11, 100%, $F$11)</f>
        <v>35.593400000000003</v>
      </c>
      <c r="K993" s="4"/>
      <c r="L993" s="9">
        <v>30.7165</v>
      </c>
      <c r="M993" s="9">
        <v>12.063700000000001</v>
      </c>
      <c r="N993" s="9">
        <v>4.9444999999999997</v>
      </c>
      <c r="O993" s="9">
        <v>0.37409999999999999</v>
      </c>
      <c r="P993" s="9">
        <v>1.2183999999999999</v>
      </c>
      <c r="Q993" s="9">
        <v>19.688099999999999</v>
      </c>
      <c r="R993" s="9"/>
      <c r="S993" s="11"/>
    </row>
    <row r="994" spans="1:19" ht="15.75">
      <c r="A994" s="13">
        <v>71771</v>
      </c>
      <c r="B994" s="8">
        <f>CHOOSE( CONTROL!$C$32, 36.4915, 36.4891) * CHOOSE(CONTROL!$C$15, $D$11, 100%, $F$11)</f>
        <v>36.491500000000002</v>
      </c>
      <c r="C994" s="8">
        <f>CHOOSE( CONTROL!$C$32, 36.502, 36.4996) * CHOOSE(CONTROL!$C$15, $D$11, 100%, $F$11)</f>
        <v>36.502000000000002</v>
      </c>
      <c r="D994" s="8">
        <f>CHOOSE( CONTROL!$C$32, 36.5381, 36.5357) * CHOOSE( CONTROL!$C$15, $D$11, 100%, $F$11)</f>
        <v>36.5381</v>
      </c>
      <c r="E994" s="12">
        <f>CHOOSE( CONTROL!$C$32, 36.5234, 36.521) * CHOOSE( CONTROL!$C$15, $D$11, 100%, $F$11)</f>
        <v>36.523400000000002</v>
      </c>
      <c r="F994" s="4">
        <f>CHOOSE( CONTROL!$C$32, 37.2308, 37.2284) * CHOOSE(CONTROL!$C$15, $D$11, 100%, $F$11)</f>
        <v>37.230800000000002</v>
      </c>
      <c r="G994" s="8">
        <f>CHOOSE( CONTROL!$C$32, 35.6698, 35.6674) * CHOOSE( CONTROL!$C$15, $D$11, 100%, $F$11)</f>
        <v>35.669800000000002</v>
      </c>
      <c r="H994" s="4">
        <f>CHOOSE( CONTROL!$C$32, 36.6347, 36.6323) * CHOOSE(CONTROL!$C$15, $D$11, 100%, $F$11)</f>
        <v>36.634700000000002</v>
      </c>
      <c r="I994" s="8">
        <f>CHOOSE( CONTROL!$C$32, 35.1488, 35.1465) * CHOOSE(CONTROL!$C$15, $D$11, 100%, $F$11)</f>
        <v>35.148800000000001</v>
      </c>
      <c r="J994" s="4">
        <f>CHOOSE( CONTROL!$C$32, 35.0211, 35.0188) * CHOOSE(CONTROL!$C$15, $D$11, 100%, $F$11)</f>
        <v>35.021099999999997</v>
      </c>
      <c r="K994" s="4"/>
      <c r="L994" s="9">
        <v>29.7257</v>
      </c>
      <c r="M994" s="9">
        <v>11.6745</v>
      </c>
      <c r="N994" s="9">
        <v>4.7850000000000001</v>
      </c>
      <c r="O994" s="9">
        <v>0.36199999999999999</v>
      </c>
      <c r="P994" s="9">
        <v>1.1791</v>
      </c>
      <c r="Q994" s="9">
        <v>19.053000000000001</v>
      </c>
      <c r="R994" s="9"/>
      <c r="S994" s="11"/>
    </row>
    <row r="995" spans="1:19" ht="15.75">
      <c r="A995" s="13">
        <v>71802</v>
      </c>
      <c r="B995" s="8">
        <f>CHOOSE( CONTROL!$C$32, 38.061, 38.0586) * CHOOSE(CONTROL!$C$15, $D$11, 100%, $F$11)</f>
        <v>38.061</v>
      </c>
      <c r="C995" s="8">
        <f>CHOOSE( CONTROL!$C$32, 38.0715, 38.0691) * CHOOSE(CONTROL!$C$15, $D$11, 100%, $F$11)</f>
        <v>38.0715</v>
      </c>
      <c r="D995" s="8">
        <f>CHOOSE( CONTROL!$C$32, 38.1078, 38.1054) * CHOOSE( CONTROL!$C$15, $D$11, 100%, $F$11)</f>
        <v>38.107799999999997</v>
      </c>
      <c r="E995" s="12">
        <f>CHOOSE( CONTROL!$C$32, 38.093, 38.0906) * CHOOSE( CONTROL!$C$15, $D$11, 100%, $F$11)</f>
        <v>38.093000000000004</v>
      </c>
      <c r="F995" s="4">
        <f>CHOOSE( CONTROL!$C$32, 38.8003, 38.7979) * CHOOSE(CONTROL!$C$15, $D$11, 100%, $F$11)</f>
        <v>38.8003</v>
      </c>
      <c r="G995" s="8">
        <f>CHOOSE( CONTROL!$C$32, 37.2046, 37.2023) * CHOOSE( CONTROL!$C$15, $D$11, 100%, $F$11)</f>
        <v>37.204599999999999</v>
      </c>
      <c r="H995" s="4">
        <f>CHOOSE( CONTROL!$C$32, 38.1692, 38.1668) * CHOOSE(CONTROL!$C$15, $D$11, 100%, $F$11)</f>
        <v>38.169199999999996</v>
      </c>
      <c r="I995" s="8">
        <f>CHOOSE( CONTROL!$C$32, 36.6574, 36.6552) * CHOOSE(CONTROL!$C$15, $D$11, 100%, $F$11)</f>
        <v>36.657400000000003</v>
      </c>
      <c r="J995" s="4">
        <f>CHOOSE( CONTROL!$C$32, 36.528, 36.5257) * CHOOSE(CONTROL!$C$15, $D$11, 100%, $F$11)</f>
        <v>36.527999999999999</v>
      </c>
      <c r="K995" s="4"/>
      <c r="L995" s="9">
        <v>30.7165</v>
      </c>
      <c r="M995" s="9">
        <v>12.063700000000001</v>
      </c>
      <c r="N995" s="9">
        <v>4.9444999999999997</v>
      </c>
      <c r="O995" s="9">
        <v>0.37409999999999999</v>
      </c>
      <c r="P995" s="9">
        <v>1.2183999999999999</v>
      </c>
      <c r="Q995" s="9">
        <v>19.688099999999999</v>
      </c>
      <c r="R995" s="9"/>
      <c r="S995" s="11"/>
    </row>
    <row r="996" spans="1:19" ht="15.75">
      <c r="A996" s="13">
        <v>71833</v>
      </c>
      <c r="B996" s="8">
        <f>CHOOSE( CONTROL!$C$32, 35.1243, 35.1219) * CHOOSE(CONTROL!$C$15, $D$11, 100%, $F$11)</f>
        <v>35.124299999999998</v>
      </c>
      <c r="C996" s="8">
        <f>CHOOSE( CONTROL!$C$32, 35.1348, 35.1324) * CHOOSE(CONTROL!$C$15, $D$11, 100%, $F$11)</f>
        <v>35.134799999999998</v>
      </c>
      <c r="D996" s="8">
        <f>CHOOSE( CONTROL!$C$32, 35.1711, 35.1687) * CHOOSE( CONTROL!$C$15, $D$11, 100%, $F$11)</f>
        <v>35.171100000000003</v>
      </c>
      <c r="E996" s="12">
        <f>CHOOSE( CONTROL!$C$32, 35.1563, 35.1539) * CHOOSE( CONTROL!$C$15, $D$11, 100%, $F$11)</f>
        <v>35.156300000000002</v>
      </c>
      <c r="F996" s="4">
        <f>CHOOSE( CONTROL!$C$32, 35.8636, 35.8612) * CHOOSE(CONTROL!$C$15, $D$11, 100%, $F$11)</f>
        <v>35.863599999999998</v>
      </c>
      <c r="G996" s="8">
        <f>CHOOSE( CONTROL!$C$32, 34.3335, 34.3311) * CHOOSE( CONTROL!$C$15, $D$11, 100%, $F$11)</f>
        <v>34.333500000000001</v>
      </c>
      <c r="H996" s="4">
        <f>CHOOSE( CONTROL!$C$32, 35.298, 35.2956) * CHOOSE(CONTROL!$C$15, $D$11, 100%, $F$11)</f>
        <v>35.298000000000002</v>
      </c>
      <c r="I996" s="8">
        <f>CHOOSE( CONTROL!$C$32, 33.8368, 33.8345) * CHOOSE(CONTROL!$C$15, $D$11, 100%, $F$11)</f>
        <v>33.836799999999997</v>
      </c>
      <c r="J996" s="4">
        <f>CHOOSE( CONTROL!$C$32, 33.7085, 33.7062) * CHOOSE(CONTROL!$C$15, $D$11, 100%, $F$11)</f>
        <v>33.708500000000001</v>
      </c>
      <c r="K996" s="4"/>
      <c r="L996" s="9">
        <v>30.7165</v>
      </c>
      <c r="M996" s="9">
        <v>12.063700000000001</v>
      </c>
      <c r="N996" s="9">
        <v>4.9444999999999997</v>
      </c>
      <c r="O996" s="9">
        <v>0.37409999999999999</v>
      </c>
      <c r="P996" s="9">
        <v>1.2183999999999999</v>
      </c>
      <c r="Q996" s="9">
        <v>19.688099999999999</v>
      </c>
      <c r="R996" s="9"/>
      <c r="S996" s="11"/>
    </row>
    <row r="997" spans="1:19" ht="15.75">
      <c r="A997" s="13">
        <v>71863</v>
      </c>
      <c r="B997" s="8">
        <f>CHOOSE( CONTROL!$C$32, 34.3889, 34.3865) * CHOOSE(CONTROL!$C$15, $D$11, 100%, $F$11)</f>
        <v>34.3889</v>
      </c>
      <c r="C997" s="8">
        <f>CHOOSE( CONTROL!$C$32, 34.3995, 34.3971) * CHOOSE(CONTROL!$C$15, $D$11, 100%, $F$11)</f>
        <v>34.399500000000003</v>
      </c>
      <c r="D997" s="8">
        <f>CHOOSE( CONTROL!$C$32, 34.4357, 34.4333) * CHOOSE( CONTROL!$C$15, $D$11, 100%, $F$11)</f>
        <v>34.435699999999997</v>
      </c>
      <c r="E997" s="12">
        <f>CHOOSE( CONTROL!$C$32, 34.421, 34.4186) * CHOOSE( CONTROL!$C$15, $D$11, 100%, $F$11)</f>
        <v>34.420999999999999</v>
      </c>
      <c r="F997" s="4">
        <f>CHOOSE( CONTROL!$C$32, 35.1283, 35.1259) * CHOOSE(CONTROL!$C$15, $D$11, 100%, $F$11)</f>
        <v>35.128300000000003</v>
      </c>
      <c r="G997" s="8">
        <f>CHOOSE( CONTROL!$C$32, 33.6144, 33.6121) * CHOOSE( CONTROL!$C$15, $D$11, 100%, $F$11)</f>
        <v>33.614400000000003</v>
      </c>
      <c r="H997" s="4">
        <f>CHOOSE( CONTROL!$C$32, 34.579, 34.5766) * CHOOSE(CONTROL!$C$15, $D$11, 100%, $F$11)</f>
        <v>34.579000000000001</v>
      </c>
      <c r="I997" s="8">
        <f>CHOOSE( CONTROL!$C$32, 33.1301, 33.1278) * CHOOSE(CONTROL!$C$15, $D$11, 100%, $F$11)</f>
        <v>33.130099999999999</v>
      </c>
      <c r="J997" s="4">
        <f>CHOOSE( CONTROL!$C$32, 33.0024, 33.0001) * CHOOSE(CONTROL!$C$15, $D$11, 100%, $F$11)</f>
        <v>33.002400000000002</v>
      </c>
      <c r="K997" s="4"/>
      <c r="L997" s="9">
        <v>29.7257</v>
      </c>
      <c r="M997" s="9">
        <v>11.6745</v>
      </c>
      <c r="N997" s="9">
        <v>4.7850000000000001</v>
      </c>
      <c r="O997" s="9">
        <v>0.36199999999999999</v>
      </c>
      <c r="P997" s="9">
        <v>1.1791</v>
      </c>
      <c r="Q997" s="9">
        <v>19.053000000000001</v>
      </c>
      <c r="R997" s="9"/>
      <c r="S997" s="11"/>
    </row>
    <row r="998" spans="1:19" ht="15.75">
      <c r="A998" s="13">
        <v>71894</v>
      </c>
      <c r="B998" s="8">
        <f>35.9135 * CHOOSE(CONTROL!$C$15, $D$11, 100%, $F$11)</f>
        <v>35.913499999999999</v>
      </c>
      <c r="C998" s="8">
        <f>35.9243 * CHOOSE(CONTROL!$C$15, $D$11, 100%, $F$11)</f>
        <v>35.924300000000002</v>
      </c>
      <c r="D998" s="8">
        <f>35.9618 * CHOOSE( CONTROL!$C$15, $D$11, 100%, $F$11)</f>
        <v>35.961799999999997</v>
      </c>
      <c r="E998" s="12">
        <f>35.9483 * CHOOSE( CONTROL!$C$15, $D$11, 100%, $F$11)</f>
        <v>35.948300000000003</v>
      </c>
      <c r="F998" s="4">
        <f>36.6528 * CHOOSE(CONTROL!$C$15, $D$11, 100%, $F$11)</f>
        <v>36.652799999999999</v>
      </c>
      <c r="G998" s="8">
        <f>35.1047 * CHOOSE( CONTROL!$C$15, $D$11, 100%, $F$11)</f>
        <v>35.104700000000001</v>
      </c>
      <c r="H998" s="4">
        <f>36.0695 * CHOOSE(CONTROL!$C$15, $D$11, 100%, $F$11)</f>
        <v>36.069499999999998</v>
      </c>
      <c r="I998" s="8">
        <f>34.5952 * CHOOSE(CONTROL!$C$15, $D$11, 100%, $F$11)</f>
        <v>34.595199999999998</v>
      </c>
      <c r="J998" s="4">
        <f>34.4661 * CHOOSE(CONTROL!$C$15, $D$11, 100%, $F$11)</f>
        <v>34.466099999999997</v>
      </c>
      <c r="K998" s="4"/>
      <c r="L998" s="9">
        <v>31.095300000000002</v>
      </c>
      <c r="M998" s="9">
        <v>12.063700000000001</v>
      </c>
      <c r="N998" s="9">
        <v>4.9444999999999997</v>
      </c>
      <c r="O998" s="9">
        <v>0.37409999999999999</v>
      </c>
      <c r="P998" s="9">
        <v>1.2183999999999999</v>
      </c>
      <c r="Q998" s="9">
        <v>19.688099999999999</v>
      </c>
      <c r="R998" s="9"/>
      <c r="S998" s="11"/>
    </row>
    <row r="999" spans="1:19" ht="15.75">
      <c r="A999" s="13">
        <v>71924</v>
      </c>
      <c r="B999" s="8">
        <f>38.7319 * CHOOSE(CONTROL!$C$15, $D$11, 100%, $F$11)</f>
        <v>38.731900000000003</v>
      </c>
      <c r="C999" s="8">
        <f>38.7427 * CHOOSE(CONTROL!$C$15, $D$11, 100%, $F$11)</f>
        <v>38.742699999999999</v>
      </c>
      <c r="D999" s="8">
        <f>38.7254 * CHOOSE( CONTROL!$C$15, $D$11, 100%, $F$11)</f>
        <v>38.7254</v>
      </c>
      <c r="E999" s="12">
        <f>38.7306 * CHOOSE( CONTROL!$C$15, $D$11, 100%, $F$11)</f>
        <v>38.730600000000003</v>
      </c>
      <c r="F999" s="4">
        <f>39.3904 * CHOOSE(CONTROL!$C$15, $D$11, 100%, $F$11)</f>
        <v>39.3904</v>
      </c>
      <c r="G999" s="8">
        <f>37.8668 * CHOOSE( CONTROL!$C$15, $D$11, 100%, $F$11)</f>
        <v>37.866799999999998</v>
      </c>
      <c r="H999" s="4">
        <f>38.7461 * CHOOSE(CONTROL!$C$15, $D$11, 100%, $F$11)</f>
        <v>38.746099999999998</v>
      </c>
      <c r="I999" s="8">
        <f>37.3397 * CHOOSE(CONTROL!$C$15, $D$11, 100%, $F$11)</f>
        <v>37.339700000000001</v>
      </c>
      <c r="J999" s="4">
        <f>37.172 * CHOOSE(CONTROL!$C$15, $D$11, 100%, $F$11)</f>
        <v>37.171999999999997</v>
      </c>
      <c r="K999" s="4"/>
      <c r="L999" s="9">
        <v>28.360600000000002</v>
      </c>
      <c r="M999" s="9">
        <v>11.6745</v>
      </c>
      <c r="N999" s="9">
        <v>4.7850000000000001</v>
      </c>
      <c r="O999" s="9">
        <v>0.36199999999999999</v>
      </c>
      <c r="P999" s="9">
        <v>1.2509999999999999</v>
      </c>
      <c r="Q999" s="9">
        <v>19.053000000000001</v>
      </c>
      <c r="R999" s="9"/>
      <c r="S999" s="11"/>
    </row>
    <row r="1000" spans="1:19" ht="15.75">
      <c r="A1000" s="13">
        <v>71955</v>
      </c>
      <c r="B1000" s="8">
        <f>38.6615 * CHOOSE(CONTROL!$C$15, $D$11, 100%, $F$11)</f>
        <v>38.661499999999997</v>
      </c>
      <c r="C1000" s="8">
        <f>38.6722 * CHOOSE(CONTROL!$C$15, $D$11, 100%, $F$11)</f>
        <v>38.672199999999997</v>
      </c>
      <c r="D1000" s="8">
        <f>38.6567 * CHOOSE( CONTROL!$C$15, $D$11, 100%, $F$11)</f>
        <v>38.656700000000001</v>
      </c>
      <c r="E1000" s="12">
        <f>38.6612 * CHOOSE( CONTROL!$C$15, $D$11, 100%, $F$11)</f>
        <v>38.661200000000001</v>
      </c>
      <c r="F1000" s="4">
        <f>39.32 * CHOOSE(CONTROL!$C$15, $D$11, 100%, $F$11)</f>
        <v>39.32</v>
      </c>
      <c r="G1000" s="8">
        <f>37.7992 * CHOOSE( CONTROL!$C$15, $D$11, 100%, $F$11)</f>
        <v>37.799199999999999</v>
      </c>
      <c r="H1000" s="4">
        <f>38.6772 * CHOOSE(CONTROL!$C$15, $D$11, 100%, $F$11)</f>
        <v>38.677199999999999</v>
      </c>
      <c r="I1000" s="8">
        <f>37.2772 * CHOOSE(CONTROL!$C$15, $D$11, 100%, $F$11)</f>
        <v>37.277200000000001</v>
      </c>
      <c r="J1000" s="4">
        <f>37.1044 * CHOOSE(CONTROL!$C$15, $D$11, 100%, $F$11)</f>
        <v>37.104399999999998</v>
      </c>
      <c r="K1000" s="4"/>
      <c r="L1000" s="9">
        <v>29.306000000000001</v>
      </c>
      <c r="M1000" s="9">
        <v>12.063700000000001</v>
      </c>
      <c r="N1000" s="9">
        <v>4.9444999999999997</v>
      </c>
      <c r="O1000" s="9">
        <v>0.37409999999999999</v>
      </c>
      <c r="P1000" s="9">
        <v>1.2927</v>
      </c>
      <c r="Q1000" s="9">
        <v>19.688099999999999</v>
      </c>
      <c r="R1000" s="9"/>
      <c r="S1000" s="11"/>
    </row>
    <row r="1001" spans="1:19" ht="15.75">
      <c r="A1001" s="13">
        <v>71986</v>
      </c>
      <c r="B1001" s="8">
        <f>39.8014 * CHOOSE(CONTROL!$C$15, $D$11, 100%, $F$11)</f>
        <v>39.801400000000001</v>
      </c>
      <c r="C1001" s="8">
        <f>39.8122 * CHOOSE(CONTROL!$C$15, $D$11, 100%, $F$11)</f>
        <v>39.812199999999997</v>
      </c>
      <c r="D1001" s="8">
        <f>39.7936 * CHOOSE( CONTROL!$C$15, $D$11, 100%, $F$11)</f>
        <v>39.793599999999998</v>
      </c>
      <c r="E1001" s="12">
        <f>39.7993 * CHOOSE( CONTROL!$C$15, $D$11, 100%, $F$11)</f>
        <v>39.799300000000002</v>
      </c>
      <c r="F1001" s="4">
        <f>40.4599 * CHOOSE(CONTROL!$C$15, $D$11, 100%, $F$11)</f>
        <v>40.459899999999998</v>
      </c>
      <c r="G1001" s="8">
        <f>38.9062 * CHOOSE( CONTROL!$C$15, $D$11, 100%, $F$11)</f>
        <v>38.906199999999998</v>
      </c>
      <c r="H1001" s="4">
        <f>39.7918 * CHOOSE(CONTROL!$C$15, $D$11, 100%, $F$11)</f>
        <v>39.791800000000002</v>
      </c>
      <c r="I1001" s="8">
        <f>38.3371 * CHOOSE(CONTROL!$C$15, $D$11, 100%, $F$11)</f>
        <v>38.3371</v>
      </c>
      <c r="J1001" s="4">
        <f>38.1989 * CHOOSE(CONTROL!$C$15, $D$11, 100%, $F$11)</f>
        <v>38.198900000000002</v>
      </c>
      <c r="K1001" s="4"/>
      <c r="L1001" s="9">
        <v>29.306000000000001</v>
      </c>
      <c r="M1001" s="9">
        <v>12.063700000000001</v>
      </c>
      <c r="N1001" s="9">
        <v>4.9444999999999997</v>
      </c>
      <c r="O1001" s="9">
        <v>0.37409999999999999</v>
      </c>
      <c r="P1001" s="9">
        <v>1.2927</v>
      </c>
      <c r="Q1001" s="9">
        <v>19.688099999999999</v>
      </c>
      <c r="R1001" s="9"/>
      <c r="S1001" s="11"/>
    </row>
    <row r="1002" spans="1:19" ht="15.75">
      <c r="A1002" s="13">
        <v>72014</v>
      </c>
      <c r="B1002" s="8">
        <f>37.2293 * CHOOSE(CONTROL!$C$15, $D$11, 100%, $F$11)</f>
        <v>37.229300000000002</v>
      </c>
      <c r="C1002" s="8">
        <f>37.2401 * CHOOSE(CONTROL!$C$15, $D$11, 100%, $F$11)</f>
        <v>37.240099999999998</v>
      </c>
      <c r="D1002" s="8">
        <f>37.2214 * CHOOSE( CONTROL!$C$15, $D$11, 100%, $F$11)</f>
        <v>37.221400000000003</v>
      </c>
      <c r="E1002" s="12">
        <f>37.2271 * CHOOSE( CONTROL!$C$15, $D$11, 100%, $F$11)</f>
        <v>37.2271</v>
      </c>
      <c r="F1002" s="4">
        <f>37.8878 * CHOOSE(CONTROL!$C$15, $D$11, 100%, $F$11)</f>
        <v>37.887799999999999</v>
      </c>
      <c r="G1002" s="8">
        <f>36.3913 * CHOOSE( CONTROL!$C$15, $D$11, 100%, $F$11)</f>
        <v>36.391300000000001</v>
      </c>
      <c r="H1002" s="4">
        <f>37.277 * CHOOSE(CONTROL!$C$15, $D$11, 100%, $F$11)</f>
        <v>37.277000000000001</v>
      </c>
      <c r="I1002" s="8">
        <f>35.8661 * CHOOSE(CONTROL!$C$15, $D$11, 100%, $F$11)</f>
        <v>35.866100000000003</v>
      </c>
      <c r="J1002" s="4">
        <f>35.7294 * CHOOSE(CONTROL!$C$15, $D$11, 100%, $F$11)</f>
        <v>35.729399999999998</v>
      </c>
      <c r="K1002" s="4"/>
      <c r="L1002" s="9">
        <v>26.469899999999999</v>
      </c>
      <c r="M1002" s="9">
        <v>10.8962</v>
      </c>
      <c r="N1002" s="9">
        <v>4.4660000000000002</v>
      </c>
      <c r="O1002" s="9">
        <v>0.33789999999999998</v>
      </c>
      <c r="P1002" s="9">
        <v>1.1676</v>
      </c>
      <c r="Q1002" s="9">
        <v>17.782800000000002</v>
      </c>
      <c r="R1002" s="9"/>
      <c r="S1002" s="11"/>
    </row>
    <row r="1003" spans="1:19" ht="15.75">
      <c r="A1003" s="13">
        <v>72045</v>
      </c>
      <c r="B1003" s="8">
        <f>36.4371 * CHOOSE(CONTROL!$C$15, $D$11, 100%, $F$11)</f>
        <v>36.437100000000001</v>
      </c>
      <c r="C1003" s="8">
        <f>36.4479 * CHOOSE(CONTROL!$C$15, $D$11, 100%, $F$11)</f>
        <v>36.447899999999997</v>
      </c>
      <c r="D1003" s="8">
        <f>36.4287 * CHOOSE( CONTROL!$C$15, $D$11, 100%, $F$11)</f>
        <v>36.428699999999999</v>
      </c>
      <c r="E1003" s="12">
        <f>36.4346 * CHOOSE( CONTROL!$C$15, $D$11, 100%, $F$11)</f>
        <v>36.434600000000003</v>
      </c>
      <c r="F1003" s="4">
        <f>37.0956 * CHOOSE(CONTROL!$C$15, $D$11, 100%, $F$11)</f>
        <v>37.095599999999997</v>
      </c>
      <c r="G1003" s="8">
        <f>35.6165 * CHOOSE( CONTROL!$C$15, $D$11, 100%, $F$11)</f>
        <v>35.616500000000002</v>
      </c>
      <c r="H1003" s="4">
        <f>36.5025 * CHOOSE(CONTROL!$C$15, $D$11, 100%, $F$11)</f>
        <v>36.502499999999998</v>
      </c>
      <c r="I1003" s="8">
        <f>35.1036 * CHOOSE(CONTROL!$C$15, $D$11, 100%, $F$11)</f>
        <v>35.1036</v>
      </c>
      <c r="J1003" s="4">
        <f>34.9688 * CHOOSE(CONTROL!$C$15, $D$11, 100%, $F$11)</f>
        <v>34.968800000000002</v>
      </c>
      <c r="K1003" s="4"/>
      <c r="L1003" s="9">
        <v>29.306000000000001</v>
      </c>
      <c r="M1003" s="9">
        <v>12.063700000000001</v>
      </c>
      <c r="N1003" s="9">
        <v>4.9444999999999997</v>
      </c>
      <c r="O1003" s="9">
        <v>0.37409999999999999</v>
      </c>
      <c r="P1003" s="9">
        <v>1.2927</v>
      </c>
      <c r="Q1003" s="9">
        <v>19.688099999999999</v>
      </c>
      <c r="R1003" s="9"/>
      <c r="S1003" s="11"/>
    </row>
    <row r="1004" spans="1:19" ht="15.75">
      <c r="A1004" s="13">
        <v>72075</v>
      </c>
      <c r="B1004" s="8">
        <f>36.9906 * CHOOSE(CONTROL!$C$15, $D$11, 100%, $F$11)</f>
        <v>36.990600000000001</v>
      </c>
      <c r="C1004" s="8">
        <f>37.0014 * CHOOSE(CONTROL!$C$15, $D$11, 100%, $F$11)</f>
        <v>37.001399999999997</v>
      </c>
      <c r="D1004" s="8">
        <f>37.0384 * CHOOSE( CONTROL!$C$15, $D$11, 100%, $F$11)</f>
        <v>37.038400000000003</v>
      </c>
      <c r="E1004" s="12">
        <f>37.0249 * CHOOSE( CONTROL!$C$15, $D$11, 100%, $F$11)</f>
        <v>37.024900000000002</v>
      </c>
      <c r="F1004" s="4">
        <f>37.7299 * CHOOSE(CONTROL!$C$15, $D$11, 100%, $F$11)</f>
        <v>37.729900000000001</v>
      </c>
      <c r="G1004" s="8">
        <f>36.1569 * CHOOSE( CONTROL!$C$15, $D$11, 100%, $F$11)</f>
        <v>36.1569</v>
      </c>
      <c r="H1004" s="4">
        <f>37.1226 * CHOOSE(CONTROL!$C$15, $D$11, 100%, $F$11)</f>
        <v>37.122599999999998</v>
      </c>
      <c r="I1004" s="8">
        <f>35.6272 * CHOOSE(CONTROL!$C$15, $D$11, 100%, $F$11)</f>
        <v>35.627200000000002</v>
      </c>
      <c r="J1004" s="4">
        <f>35.5003 * CHOOSE(CONTROL!$C$15, $D$11, 100%, $F$11)</f>
        <v>35.500300000000003</v>
      </c>
      <c r="K1004" s="4"/>
      <c r="L1004" s="9">
        <v>30.092199999999998</v>
      </c>
      <c r="M1004" s="9">
        <v>11.6745</v>
      </c>
      <c r="N1004" s="9">
        <v>4.7850000000000001</v>
      </c>
      <c r="O1004" s="9">
        <v>0.36199999999999999</v>
      </c>
      <c r="P1004" s="9">
        <v>1.1791</v>
      </c>
      <c r="Q1004" s="9">
        <v>19.053000000000001</v>
      </c>
      <c r="R1004" s="9"/>
      <c r="S1004" s="11"/>
    </row>
    <row r="1005" spans="1:19" ht="15.75">
      <c r="A1005" s="13">
        <v>72106</v>
      </c>
      <c r="B1005" s="8">
        <f>CHOOSE( CONTROL!$C$32, 37.9782, 37.9758) * CHOOSE(CONTROL!$C$15, $D$11, 100%, $F$11)</f>
        <v>37.978200000000001</v>
      </c>
      <c r="C1005" s="8">
        <f>CHOOSE( CONTROL!$C$32, 37.9887, 37.9863) * CHOOSE(CONTROL!$C$15, $D$11, 100%, $F$11)</f>
        <v>37.988700000000001</v>
      </c>
      <c r="D1005" s="8">
        <f>CHOOSE( CONTROL!$C$32, 38.0246, 38.0222) * CHOOSE( CONTROL!$C$15, $D$11, 100%, $F$11)</f>
        <v>38.0246</v>
      </c>
      <c r="E1005" s="12">
        <f>CHOOSE( CONTROL!$C$32, 38.01, 38.0076) * CHOOSE( CONTROL!$C$15, $D$11, 100%, $F$11)</f>
        <v>38.01</v>
      </c>
      <c r="F1005" s="4">
        <f>CHOOSE( CONTROL!$C$32, 38.7175, 38.7151) * CHOOSE(CONTROL!$C$15, $D$11, 100%, $F$11)</f>
        <v>38.717500000000001</v>
      </c>
      <c r="G1005" s="8">
        <f>CHOOSE( CONTROL!$C$32, 37.123, 37.1207) * CHOOSE( CONTROL!$C$15, $D$11, 100%, $F$11)</f>
        <v>37.122999999999998</v>
      </c>
      <c r="H1005" s="4">
        <f>CHOOSE( CONTROL!$C$32, 38.0882, 38.0859) * CHOOSE(CONTROL!$C$15, $D$11, 100%, $F$11)</f>
        <v>38.088200000000001</v>
      </c>
      <c r="I1005" s="8">
        <f>CHOOSE( CONTROL!$C$32, 36.576, 36.5737) * CHOOSE(CONTROL!$C$15, $D$11, 100%, $F$11)</f>
        <v>36.576000000000001</v>
      </c>
      <c r="J1005" s="4">
        <f>CHOOSE( CONTROL!$C$32, 36.4485, 36.4462) * CHOOSE(CONTROL!$C$15, $D$11, 100%, $F$11)</f>
        <v>36.448500000000003</v>
      </c>
      <c r="K1005" s="4"/>
      <c r="L1005" s="9">
        <v>30.7165</v>
      </c>
      <c r="M1005" s="9">
        <v>12.063700000000001</v>
      </c>
      <c r="N1005" s="9">
        <v>4.9444999999999997</v>
      </c>
      <c r="O1005" s="9">
        <v>0.37409999999999999</v>
      </c>
      <c r="P1005" s="9">
        <v>1.2183999999999999</v>
      </c>
      <c r="Q1005" s="9">
        <v>19.688099999999999</v>
      </c>
      <c r="R1005" s="9"/>
      <c r="S1005" s="11"/>
    </row>
    <row r="1006" spans="1:19" ht="15.75">
      <c r="A1006" s="13">
        <v>72136</v>
      </c>
      <c r="B1006" s="8">
        <f>CHOOSE( CONTROL!$C$32, 37.3679, 37.3655) * CHOOSE(CONTROL!$C$15, $D$11, 100%, $F$11)</f>
        <v>37.367899999999999</v>
      </c>
      <c r="C1006" s="8">
        <f>CHOOSE( CONTROL!$C$32, 37.3784, 37.376) * CHOOSE(CONTROL!$C$15, $D$11, 100%, $F$11)</f>
        <v>37.378399999999999</v>
      </c>
      <c r="D1006" s="8">
        <f>CHOOSE( CONTROL!$C$32, 37.4144, 37.4121) * CHOOSE( CONTROL!$C$15, $D$11, 100%, $F$11)</f>
        <v>37.414400000000001</v>
      </c>
      <c r="E1006" s="12">
        <f>CHOOSE( CONTROL!$C$32, 37.3998, 37.3974) * CHOOSE( CONTROL!$C$15, $D$11, 100%, $F$11)</f>
        <v>37.399799999999999</v>
      </c>
      <c r="F1006" s="4">
        <f>CHOOSE( CONTROL!$C$32, 38.1072, 38.1048) * CHOOSE(CONTROL!$C$15, $D$11, 100%, $F$11)</f>
        <v>38.107199999999999</v>
      </c>
      <c r="G1006" s="8">
        <f>CHOOSE( CONTROL!$C$32, 36.5266, 36.5243) * CHOOSE( CONTROL!$C$15, $D$11, 100%, $F$11)</f>
        <v>36.526600000000002</v>
      </c>
      <c r="H1006" s="4">
        <f>CHOOSE( CONTROL!$C$32, 37.4915, 37.4892) * CHOOSE(CONTROL!$C$15, $D$11, 100%, $F$11)</f>
        <v>37.491500000000002</v>
      </c>
      <c r="I1006" s="8">
        <f>CHOOSE( CONTROL!$C$32, 35.9907, 35.9884) * CHOOSE(CONTROL!$C$15, $D$11, 100%, $F$11)</f>
        <v>35.990699999999997</v>
      </c>
      <c r="J1006" s="4">
        <f>CHOOSE( CONTROL!$C$32, 35.8625, 35.8602) * CHOOSE(CONTROL!$C$15, $D$11, 100%, $F$11)</f>
        <v>35.862499999999997</v>
      </c>
      <c r="K1006" s="4"/>
      <c r="L1006" s="9">
        <v>29.7257</v>
      </c>
      <c r="M1006" s="9">
        <v>11.6745</v>
      </c>
      <c r="N1006" s="9">
        <v>4.7850000000000001</v>
      </c>
      <c r="O1006" s="9">
        <v>0.36199999999999999</v>
      </c>
      <c r="P1006" s="9">
        <v>1.1791</v>
      </c>
      <c r="Q1006" s="9">
        <v>19.053000000000001</v>
      </c>
      <c r="R1006" s="9"/>
      <c r="S1006" s="11"/>
    </row>
    <row r="1007" spans="1:19" ht="15.75">
      <c r="A1007" s="13">
        <v>72167</v>
      </c>
      <c r="B1007" s="8">
        <f>CHOOSE( CONTROL!$C$32, 38.9751, 38.9727) * CHOOSE(CONTROL!$C$15, $D$11, 100%, $F$11)</f>
        <v>38.975099999999998</v>
      </c>
      <c r="C1007" s="8">
        <f>CHOOSE( CONTROL!$C$32, 38.9856, 38.9832) * CHOOSE(CONTROL!$C$15, $D$11, 100%, $F$11)</f>
        <v>38.985599999999998</v>
      </c>
      <c r="D1007" s="8">
        <f>CHOOSE( CONTROL!$C$32, 39.0219, 39.0195) * CHOOSE( CONTROL!$C$15, $D$11, 100%, $F$11)</f>
        <v>39.021900000000002</v>
      </c>
      <c r="E1007" s="12">
        <f>CHOOSE( CONTROL!$C$32, 39.0071, 39.0047) * CHOOSE( CONTROL!$C$15, $D$11, 100%, $F$11)</f>
        <v>39.007100000000001</v>
      </c>
      <c r="F1007" s="4">
        <f>CHOOSE( CONTROL!$C$32, 39.7144, 39.712) * CHOOSE(CONTROL!$C$15, $D$11, 100%, $F$11)</f>
        <v>39.714399999999998</v>
      </c>
      <c r="G1007" s="8">
        <f>CHOOSE( CONTROL!$C$32, 38.0983, 38.096) * CHOOSE( CONTROL!$C$15, $D$11, 100%, $F$11)</f>
        <v>38.098300000000002</v>
      </c>
      <c r="H1007" s="4">
        <f>CHOOSE( CONTROL!$C$32, 39.0629, 39.0605) * CHOOSE(CONTROL!$C$15, $D$11, 100%, $F$11)</f>
        <v>39.062899999999999</v>
      </c>
      <c r="I1007" s="8">
        <f>CHOOSE( CONTROL!$C$32, 37.5355, 37.5332) * CHOOSE(CONTROL!$C$15, $D$11, 100%, $F$11)</f>
        <v>37.535499999999999</v>
      </c>
      <c r="J1007" s="4">
        <f>CHOOSE( CONTROL!$C$32, 37.4056, 37.4033) * CHOOSE(CONTROL!$C$15, $D$11, 100%, $F$11)</f>
        <v>37.4056</v>
      </c>
      <c r="K1007" s="4"/>
      <c r="L1007" s="9">
        <v>30.7165</v>
      </c>
      <c r="M1007" s="9">
        <v>12.063700000000001</v>
      </c>
      <c r="N1007" s="9">
        <v>4.9444999999999997</v>
      </c>
      <c r="O1007" s="9">
        <v>0.37409999999999999</v>
      </c>
      <c r="P1007" s="9">
        <v>1.2183999999999999</v>
      </c>
      <c r="Q1007" s="9">
        <v>19.688099999999999</v>
      </c>
      <c r="R1007" s="9"/>
      <c r="S1007" s="11"/>
    </row>
    <row r="1008" spans="1:19" ht="15.75">
      <c r="A1008" s="13">
        <v>72198</v>
      </c>
      <c r="B1008" s="8">
        <f>CHOOSE( CONTROL!$C$32, 35.9678, 35.9654) * CHOOSE(CONTROL!$C$15, $D$11, 100%, $F$11)</f>
        <v>35.967799999999997</v>
      </c>
      <c r="C1008" s="8">
        <f>CHOOSE( CONTROL!$C$32, 35.9784, 35.976) * CHOOSE(CONTROL!$C$15, $D$11, 100%, $F$11)</f>
        <v>35.978400000000001</v>
      </c>
      <c r="D1008" s="8">
        <f>CHOOSE( CONTROL!$C$32, 36.0147, 36.0123) * CHOOSE( CONTROL!$C$15, $D$11, 100%, $F$11)</f>
        <v>36.014699999999998</v>
      </c>
      <c r="E1008" s="12">
        <f>CHOOSE( CONTROL!$C$32, 35.9999, 35.9975) * CHOOSE( CONTROL!$C$15, $D$11, 100%, $F$11)</f>
        <v>35.999899999999997</v>
      </c>
      <c r="F1008" s="4">
        <f>CHOOSE( CONTROL!$C$32, 36.7072, 36.7048) * CHOOSE(CONTROL!$C$15, $D$11, 100%, $F$11)</f>
        <v>36.7072</v>
      </c>
      <c r="G1008" s="8">
        <f>CHOOSE( CONTROL!$C$32, 35.1582, 35.1558) * CHOOSE( CONTROL!$C$15, $D$11, 100%, $F$11)</f>
        <v>35.158200000000001</v>
      </c>
      <c r="H1008" s="4">
        <f>CHOOSE( CONTROL!$C$32, 36.1227, 36.1203) * CHOOSE(CONTROL!$C$15, $D$11, 100%, $F$11)</f>
        <v>36.122700000000002</v>
      </c>
      <c r="I1008" s="8">
        <f>CHOOSE( CONTROL!$C$32, 34.647, 34.6447) * CHOOSE(CONTROL!$C$15, $D$11, 100%, $F$11)</f>
        <v>34.646999999999998</v>
      </c>
      <c r="J1008" s="4">
        <f>CHOOSE( CONTROL!$C$32, 34.5184, 34.5161) * CHOOSE(CONTROL!$C$15, $D$11, 100%, $F$11)</f>
        <v>34.5184</v>
      </c>
      <c r="K1008" s="4"/>
      <c r="L1008" s="9">
        <v>30.7165</v>
      </c>
      <c r="M1008" s="9">
        <v>12.063700000000001</v>
      </c>
      <c r="N1008" s="9">
        <v>4.9444999999999997</v>
      </c>
      <c r="O1008" s="9">
        <v>0.37409999999999999</v>
      </c>
      <c r="P1008" s="9">
        <v>1.2183999999999999</v>
      </c>
      <c r="Q1008" s="9">
        <v>19.688099999999999</v>
      </c>
      <c r="R1008" s="9"/>
      <c r="S1008" s="11"/>
    </row>
    <row r="1009" spans="1:19" ht="15.75">
      <c r="A1009" s="13">
        <v>72228</v>
      </c>
      <c r="B1009" s="8">
        <f>CHOOSE( CONTROL!$C$32, 35.2148, 35.2124) * CHOOSE(CONTROL!$C$15, $D$11, 100%, $F$11)</f>
        <v>35.214799999999997</v>
      </c>
      <c r="C1009" s="8">
        <f>CHOOSE( CONTROL!$C$32, 35.2253, 35.2229) * CHOOSE(CONTROL!$C$15, $D$11, 100%, $F$11)</f>
        <v>35.225299999999997</v>
      </c>
      <c r="D1009" s="8">
        <f>CHOOSE( CONTROL!$C$32, 35.2616, 35.2592) * CHOOSE( CONTROL!$C$15, $D$11, 100%, $F$11)</f>
        <v>35.261600000000001</v>
      </c>
      <c r="E1009" s="12">
        <f>CHOOSE( CONTROL!$C$32, 35.2468, 35.2444) * CHOOSE( CONTROL!$C$15, $D$11, 100%, $F$11)</f>
        <v>35.2468</v>
      </c>
      <c r="F1009" s="4">
        <f>CHOOSE( CONTROL!$C$32, 35.9541, 35.9517) * CHOOSE(CONTROL!$C$15, $D$11, 100%, $F$11)</f>
        <v>35.954099999999997</v>
      </c>
      <c r="G1009" s="8">
        <f>CHOOSE( CONTROL!$C$32, 34.4218, 34.4195) * CHOOSE( CONTROL!$C$15, $D$11, 100%, $F$11)</f>
        <v>34.421799999999998</v>
      </c>
      <c r="H1009" s="4">
        <f>CHOOSE( CONTROL!$C$32, 35.3864, 35.3841) * CHOOSE(CONTROL!$C$15, $D$11, 100%, $F$11)</f>
        <v>35.386400000000002</v>
      </c>
      <c r="I1009" s="8">
        <f>CHOOSE( CONTROL!$C$32, 33.9234, 33.9211) * CHOOSE(CONTROL!$C$15, $D$11, 100%, $F$11)</f>
        <v>33.923400000000001</v>
      </c>
      <c r="J1009" s="4">
        <f>CHOOSE( CONTROL!$C$32, 33.7954, 33.7931) * CHOOSE(CONTROL!$C$15, $D$11, 100%, $F$11)</f>
        <v>33.795400000000001</v>
      </c>
      <c r="K1009" s="4"/>
      <c r="L1009" s="9">
        <v>29.7257</v>
      </c>
      <c r="M1009" s="9">
        <v>11.6745</v>
      </c>
      <c r="N1009" s="9">
        <v>4.7850000000000001</v>
      </c>
      <c r="O1009" s="9">
        <v>0.36199999999999999</v>
      </c>
      <c r="P1009" s="9">
        <v>1.1791</v>
      </c>
      <c r="Q1009" s="9">
        <v>19.053000000000001</v>
      </c>
      <c r="R1009" s="9"/>
      <c r="S1009" s="11"/>
    </row>
    <row r="1010" spans="1:19" ht="15.75">
      <c r="A1010" s="13">
        <v>72259</v>
      </c>
      <c r="B1010" s="8">
        <f>36.7761 * CHOOSE(CONTROL!$C$15, $D$11, 100%, $F$11)</f>
        <v>36.7761</v>
      </c>
      <c r="C1010" s="8">
        <f>36.7868 * CHOOSE(CONTROL!$C$15, $D$11, 100%, $F$11)</f>
        <v>36.786799999999999</v>
      </c>
      <c r="D1010" s="8">
        <f>36.8244 * CHOOSE( CONTROL!$C$15, $D$11, 100%, $F$11)</f>
        <v>36.824399999999997</v>
      </c>
      <c r="E1010" s="12">
        <f>36.8108 * CHOOSE( CONTROL!$C$15, $D$11, 100%, $F$11)</f>
        <v>36.8108</v>
      </c>
      <c r="F1010" s="4">
        <f>37.5153 * CHOOSE(CONTROL!$C$15, $D$11, 100%, $F$11)</f>
        <v>37.515300000000003</v>
      </c>
      <c r="G1010" s="8">
        <f>35.948 * CHOOSE( CONTROL!$C$15, $D$11, 100%, $F$11)</f>
        <v>35.948</v>
      </c>
      <c r="H1010" s="4">
        <f>36.9128 * CHOOSE(CONTROL!$C$15, $D$11, 100%, $F$11)</f>
        <v>36.912799999999997</v>
      </c>
      <c r="I1010" s="8">
        <f>35.4238 * CHOOSE(CONTROL!$C$15, $D$11, 100%, $F$11)</f>
        <v>35.4238</v>
      </c>
      <c r="J1010" s="4">
        <f>35.2943 * CHOOSE(CONTROL!$C$15, $D$11, 100%, $F$11)</f>
        <v>35.2943</v>
      </c>
      <c r="K1010" s="4"/>
      <c r="L1010" s="9">
        <v>31.095300000000002</v>
      </c>
      <c r="M1010" s="9">
        <v>12.063700000000001</v>
      </c>
      <c r="N1010" s="9">
        <v>4.9444999999999997</v>
      </c>
      <c r="O1010" s="9">
        <v>0.37409999999999999</v>
      </c>
      <c r="P1010" s="9">
        <v>1.2183999999999999</v>
      </c>
      <c r="Q1010" s="9">
        <v>19.688099999999999</v>
      </c>
      <c r="R1010" s="9"/>
      <c r="S1010" s="11"/>
    </row>
    <row r="1011" spans="1:19" ht="15.75">
      <c r="A1011" s="13">
        <v>72289</v>
      </c>
      <c r="B1011" s="8">
        <f>39.6622 * CHOOSE(CONTROL!$C$15, $D$11, 100%, $F$11)</f>
        <v>39.662199999999999</v>
      </c>
      <c r="C1011" s="8">
        <f>39.6729 * CHOOSE(CONTROL!$C$15, $D$11, 100%, $F$11)</f>
        <v>39.672899999999998</v>
      </c>
      <c r="D1011" s="8">
        <f>39.6557 * CHOOSE( CONTROL!$C$15, $D$11, 100%, $F$11)</f>
        <v>39.655700000000003</v>
      </c>
      <c r="E1011" s="12">
        <f>39.6608 * CHOOSE( CONTROL!$C$15, $D$11, 100%, $F$11)</f>
        <v>39.660800000000002</v>
      </c>
      <c r="F1011" s="4">
        <f>40.3207 * CHOOSE(CONTROL!$C$15, $D$11, 100%, $F$11)</f>
        <v>40.320700000000002</v>
      </c>
      <c r="G1011" s="8">
        <f>38.7763 * CHOOSE( CONTROL!$C$15, $D$11, 100%, $F$11)</f>
        <v>38.776299999999999</v>
      </c>
      <c r="H1011" s="4">
        <f>39.6556 * CHOOSE(CONTROL!$C$15, $D$11, 100%, $F$11)</f>
        <v>39.6556</v>
      </c>
      <c r="I1011" s="8">
        <f>38.2333 * CHOOSE(CONTROL!$C$15, $D$11, 100%, $F$11)</f>
        <v>38.2333</v>
      </c>
      <c r="J1011" s="4">
        <f>38.0652 * CHOOSE(CONTROL!$C$15, $D$11, 100%, $F$11)</f>
        <v>38.065199999999997</v>
      </c>
      <c r="K1011" s="4"/>
      <c r="L1011" s="9">
        <v>28.360600000000002</v>
      </c>
      <c r="M1011" s="9">
        <v>11.6745</v>
      </c>
      <c r="N1011" s="9">
        <v>4.7850000000000001</v>
      </c>
      <c r="O1011" s="9">
        <v>0.36199999999999999</v>
      </c>
      <c r="P1011" s="9">
        <v>1.2509999999999999</v>
      </c>
      <c r="Q1011" s="9">
        <v>19.053000000000001</v>
      </c>
      <c r="R1011" s="9"/>
      <c r="S1011" s="11"/>
    </row>
    <row r="1012" spans="1:19" ht="15.75">
      <c r="A1012" s="13">
        <v>72320</v>
      </c>
      <c r="B1012" s="8">
        <f>39.5901 * CHOOSE(CONTROL!$C$15, $D$11, 100%, $F$11)</f>
        <v>39.5901</v>
      </c>
      <c r="C1012" s="8">
        <f>39.6008 * CHOOSE(CONTROL!$C$15, $D$11, 100%, $F$11)</f>
        <v>39.6008</v>
      </c>
      <c r="D1012" s="8">
        <f>39.5853 * CHOOSE( CONTROL!$C$15, $D$11, 100%, $F$11)</f>
        <v>39.585299999999997</v>
      </c>
      <c r="E1012" s="12">
        <f>39.5898 * CHOOSE( CONTROL!$C$15, $D$11, 100%, $F$11)</f>
        <v>39.589799999999997</v>
      </c>
      <c r="F1012" s="4">
        <f>40.2486 * CHOOSE(CONTROL!$C$15, $D$11, 100%, $F$11)</f>
        <v>40.248600000000003</v>
      </c>
      <c r="G1012" s="8">
        <f>38.7071 * CHOOSE( CONTROL!$C$15, $D$11, 100%, $F$11)</f>
        <v>38.707099999999997</v>
      </c>
      <c r="H1012" s="4">
        <f>39.5851 * CHOOSE(CONTROL!$C$15, $D$11, 100%, $F$11)</f>
        <v>39.585099999999997</v>
      </c>
      <c r="I1012" s="8">
        <f>38.1692 * CHOOSE(CONTROL!$C$15, $D$11, 100%, $F$11)</f>
        <v>38.169199999999996</v>
      </c>
      <c r="J1012" s="4">
        <f>37.996 * CHOOSE(CONTROL!$C$15, $D$11, 100%, $F$11)</f>
        <v>37.996000000000002</v>
      </c>
      <c r="K1012" s="4"/>
      <c r="L1012" s="9">
        <v>29.306000000000001</v>
      </c>
      <c r="M1012" s="9">
        <v>12.063700000000001</v>
      </c>
      <c r="N1012" s="9">
        <v>4.9444999999999997</v>
      </c>
      <c r="O1012" s="9">
        <v>0.37409999999999999</v>
      </c>
      <c r="P1012" s="9">
        <v>1.2927</v>
      </c>
      <c r="Q1012" s="9">
        <v>19.688099999999999</v>
      </c>
      <c r="R1012" s="9"/>
      <c r="S1012" s="11"/>
    </row>
    <row r="1013" spans="1:19" ht="15.75">
      <c r="A1013" s="13">
        <v>72351</v>
      </c>
      <c r="B1013" s="8">
        <f>40.7574 * CHOOSE(CONTROL!$C$15, $D$11, 100%, $F$11)</f>
        <v>40.757399999999997</v>
      </c>
      <c r="C1013" s="8">
        <f>40.7682 * CHOOSE(CONTROL!$C$15, $D$11, 100%, $F$11)</f>
        <v>40.7682</v>
      </c>
      <c r="D1013" s="8">
        <f>40.7495 * CHOOSE( CONTROL!$C$15, $D$11, 100%, $F$11)</f>
        <v>40.749499999999998</v>
      </c>
      <c r="E1013" s="12">
        <f>40.7552 * CHOOSE( CONTROL!$C$15, $D$11, 100%, $F$11)</f>
        <v>40.755200000000002</v>
      </c>
      <c r="F1013" s="4">
        <f>41.4159 * CHOOSE(CONTROL!$C$15, $D$11, 100%, $F$11)</f>
        <v>41.415900000000001</v>
      </c>
      <c r="G1013" s="8">
        <f>39.8408 * CHOOSE( CONTROL!$C$15, $D$11, 100%, $F$11)</f>
        <v>39.840800000000002</v>
      </c>
      <c r="H1013" s="4">
        <f>40.7264 * CHOOSE(CONTROL!$C$15, $D$11, 100%, $F$11)</f>
        <v>40.726399999999998</v>
      </c>
      <c r="I1013" s="8">
        <f>39.2554 * CHOOSE(CONTROL!$C$15, $D$11, 100%, $F$11)</f>
        <v>39.255400000000002</v>
      </c>
      <c r="J1013" s="4">
        <f>39.1167 * CHOOSE(CONTROL!$C$15, $D$11, 100%, $F$11)</f>
        <v>39.116700000000002</v>
      </c>
      <c r="K1013" s="4"/>
      <c r="L1013" s="9">
        <v>29.306000000000001</v>
      </c>
      <c r="M1013" s="9">
        <v>12.063700000000001</v>
      </c>
      <c r="N1013" s="9">
        <v>4.9444999999999997</v>
      </c>
      <c r="O1013" s="9">
        <v>0.37409999999999999</v>
      </c>
      <c r="P1013" s="9">
        <v>1.2927</v>
      </c>
      <c r="Q1013" s="9">
        <v>19.688099999999999</v>
      </c>
      <c r="R1013" s="9"/>
      <c r="S1013" s="11"/>
    </row>
    <row r="1014" spans="1:19" ht="15.75">
      <c r="A1014" s="13">
        <v>72379</v>
      </c>
      <c r="B1014" s="8">
        <f>38.1235 * CHOOSE(CONTROL!$C$15, $D$11, 100%, $F$11)</f>
        <v>38.1235</v>
      </c>
      <c r="C1014" s="8">
        <f>38.1342 * CHOOSE(CONTROL!$C$15, $D$11, 100%, $F$11)</f>
        <v>38.1342</v>
      </c>
      <c r="D1014" s="8">
        <f>38.1155 * CHOOSE( CONTROL!$C$15, $D$11, 100%, $F$11)</f>
        <v>38.115499999999997</v>
      </c>
      <c r="E1014" s="12">
        <f>38.1212 * CHOOSE( CONTROL!$C$15, $D$11, 100%, $F$11)</f>
        <v>38.121200000000002</v>
      </c>
      <c r="F1014" s="4">
        <f>38.782 * CHOOSE(CONTROL!$C$15, $D$11, 100%, $F$11)</f>
        <v>38.781999999999996</v>
      </c>
      <c r="G1014" s="8">
        <f>37.2656 * CHOOSE( CONTROL!$C$15, $D$11, 100%, $F$11)</f>
        <v>37.265599999999999</v>
      </c>
      <c r="H1014" s="4">
        <f>38.1512 * CHOOSE(CONTROL!$C$15, $D$11, 100%, $F$11)</f>
        <v>38.151200000000003</v>
      </c>
      <c r="I1014" s="8">
        <f>36.725 * CHOOSE(CONTROL!$C$15, $D$11, 100%, $F$11)</f>
        <v>36.725000000000001</v>
      </c>
      <c r="J1014" s="4">
        <f>36.5879 * CHOOSE(CONTROL!$C$15, $D$11, 100%, $F$11)</f>
        <v>36.587899999999998</v>
      </c>
      <c r="K1014" s="4"/>
      <c r="L1014" s="9">
        <v>26.469899999999999</v>
      </c>
      <c r="M1014" s="9">
        <v>10.8962</v>
      </c>
      <c r="N1014" s="9">
        <v>4.4660000000000002</v>
      </c>
      <c r="O1014" s="9">
        <v>0.33789999999999998</v>
      </c>
      <c r="P1014" s="9">
        <v>1.1676</v>
      </c>
      <c r="Q1014" s="9">
        <v>17.782800000000002</v>
      </c>
      <c r="R1014" s="9"/>
      <c r="S1014" s="11"/>
    </row>
    <row r="1015" spans="1:19" ht="15.75">
      <c r="A1015" s="13">
        <v>72410</v>
      </c>
      <c r="B1015" s="8">
        <f>37.3122 * CHOOSE(CONTROL!$C$15, $D$11, 100%, $F$11)</f>
        <v>37.312199999999997</v>
      </c>
      <c r="C1015" s="8">
        <f>37.323 * CHOOSE(CONTROL!$C$15, $D$11, 100%, $F$11)</f>
        <v>37.323</v>
      </c>
      <c r="D1015" s="8">
        <f>37.3038 * CHOOSE( CONTROL!$C$15, $D$11, 100%, $F$11)</f>
        <v>37.303800000000003</v>
      </c>
      <c r="E1015" s="12">
        <f>37.3097 * CHOOSE( CONTROL!$C$15, $D$11, 100%, $F$11)</f>
        <v>37.309699999999999</v>
      </c>
      <c r="F1015" s="4">
        <f>37.9707 * CHOOSE(CONTROL!$C$15, $D$11, 100%, $F$11)</f>
        <v>37.970700000000001</v>
      </c>
      <c r="G1015" s="8">
        <f>36.4721 * CHOOSE( CONTROL!$C$15, $D$11, 100%, $F$11)</f>
        <v>36.472099999999998</v>
      </c>
      <c r="H1015" s="4">
        <f>37.3581 * CHOOSE(CONTROL!$C$15, $D$11, 100%, $F$11)</f>
        <v>37.3581</v>
      </c>
      <c r="I1015" s="8">
        <f>35.9442 * CHOOSE(CONTROL!$C$15, $D$11, 100%, $F$11)</f>
        <v>35.944200000000002</v>
      </c>
      <c r="J1015" s="4">
        <f>35.809 * CHOOSE(CONTROL!$C$15, $D$11, 100%, $F$11)</f>
        <v>35.808999999999997</v>
      </c>
      <c r="K1015" s="4"/>
      <c r="L1015" s="9">
        <v>29.306000000000001</v>
      </c>
      <c r="M1015" s="9">
        <v>12.063700000000001</v>
      </c>
      <c r="N1015" s="9">
        <v>4.9444999999999997</v>
      </c>
      <c r="O1015" s="9">
        <v>0.37409999999999999</v>
      </c>
      <c r="P1015" s="9">
        <v>1.2927</v>
      </c>
      <c r="Q1015" s="9">
        <v>19.688099999999999</v>
      </c>
      <c r="R1015" s="9"/>
      <c r="S1015" s="11"/>
    </row>
    <row r="1016" spans="1:19" ht="15.75">
      <c r="A1016" s="13">
        <v>72440</v>
      </c>
      <c r="B1016" s="8">
        <f>37.8791 * CHOOSE(CONTROL!$C$15, $D$11, 100%, $F$11)</f>
        <v>37.879100000000001</v>
      </c>
      <c r="C1016" s="8">
        <f>37.8899 * CHOOSE(CONTROL!$C$15, $D$11, 100%, $F$11)</f>
        <v>37.889899999999997</v>
      </c>
      <c r="D1016" s="8">
        <f>37.9268 * CHOOSE( CONTROL!$C$15, $D$11, 100%, $F$11)</f>
        <v>37.9268</v>
      </c>
      <c r="E1016" s="12">
        <f>37.9134 * CHOOSE( CONTROL!$C$15, $D$11, 100%, $F$11)</f>
        <v>37.913400000000003</v>
      </c>
      <c r="F1016" s="4">
        <f>38.6183 * CHOOSE(CONTROL!$C$15, $D$11, 100%, $F$11)</f>
        <v>38.618299999999998</v>
      </c>
      <c r="G1016" s="8">
        <f>37.0255 * CHOOSE( CONTROL!$C$15, $D$11, 100%, $F$11)</f>
        <v>37.025500000000001</v>
      </c>
      <c r="H1016" s="4">
        <f>37.9912 * CHOOSE(CONTROL!$C$15, $D$11, 100%, $F$11)</f>
        <v>37.991199999999999</v>
      </c>
      <c r="I1016" s="8">
        <f>36.4806 * CHOOSE(CONTROL!$C$15, $D$11, 100%, $F$11)</f>
        <v>36.480600000000003</v>
      </c>
      <c r="J1016" s="4">
        <f>36.3533 * CHOOSE(CONTROL!$C$15, $D$11, 100%, $F$11)</f>
        <v>36.353299999999997</v>
      </c>
      <c r="K1016" s="4"/>
      <c r="L1016" s="9">
        <v>30.092199999999998</v>
      </c>
      <c r="M1016" s="9">
        <v>11.6745</v>
      </c>
      <c r="N1016" s="9">
        <v>4.7850000000000001</v>
      </c>
      <c r="O1016" s="9">
        <v>0.36199999999999999</v>
      </c>
      <c r="P1016" s="9">
        <v>1.1791</v>
      </c>
      <c r="Q1016" s="9">
        <v>19.053000000000001</v>
      </c>
      <c r="R1016" s="9"/>
      <c r="S1016" s="11"/>
    </row>
    <row r="1017" spans="1:19" ht="15.75">
      <c r="A1017" s="13">
        <v>72471</v>
      </c>
      <c r="B1017" s="8">
        <f>CHOOSE( CONTROL!$C$32, 38.8903, 38.8879) * CHOOSE(CONTROL!$C$15, $D$11, 100%, $F$11)</f>
        <v>38.890300000000003</v>
      </c>
      <c r="C1017" s="8">
        <f>CHOOSE( CONTROL!$C$32, 38.9008, 38.8985) * CHOOSE(CONTROL!$C$15, $D$11, 100%, $F$11)</f>
        <v>38.900799999999997</v>
      </c>
      <c r="D1017" s="8">
        <f>CHOOSE( CONTROL!$C$32, 38.9367, 38.9343) * CHOOSE( CONTROL!$C$15, $D$11, 100%, $F$11)</f>
        <v>38.936700000000002</v>
      </c>
      <c r="E1017" s="12">
        <f>CHOOSE( CONTROL!$C$32, 38.9221, 38.9197) * CHOOSE( CONTROL!$C$15, $D$11, 100%, $F$11)</f>
        <v>38.9221</v>
      </c>
      <c r="F1017" s="4">
        <f>CHOOSE( CONTROL!$C$32, 39.6296, 39.6272) * CHOOSE(CONTROL!$C$15, $D$11, 100%, $F$11)</f>
        <v>39.629600000000003</v>
      </c>
      <c r="G1017" s="8">
        <f>CHOOSE( CONTROL!$C$32, 38.0148, 38.0124) * CHOOSE( CONTROL!$C$15, $D$11, 100%, $F$11)</f>
        <v>38.014800000000001</v>
      </c>
      <c r="H1017" s="4">
        <f>CHOOSE( CONTROL!$C$32, 38.98, 38.9776) * CHOOSE(CONTROL!$C$15, $D$11, 100%, $F$11)</f>
        <v>38.979999999999997</v>
      </c>
      <c r="I1017" s="8">
        <f>CHOOSE( CONTROL!$C$32, 37.4521, 37.4498) * CHOOSE(CONTROL!$C$15, $D$11, 100%, $F$11)</f>
        <v>37.452100000000002</v>
      </c>
      <c r="J1017" s="4">
        <f>CHOOSE( CONTROL!$C$32, 37.3242, 37.3219) * CHOOSE(CONTROL!$C$15, $D$11, 100%, $F$11)</f>
        <v>37.324199999999998</v>
      </c>
      <c r="K1017" s="4"/>
      <c r="L1017" s="9">
        <v>30.7165</v>
      </c>
      <c r="M1017" s="9">
        <v>12.063700000000001</v>
      </c>
      <c r="N1017" s="9">
        <v>4.9444999999999997</v>
      </c>
      <c r="O1017" s="9">
        <v>0.37409999999999999</v>
      </c>
      <c r="P1017" s="9">
        <v>1.2183999999999999</v>
      </c>
      <c r="Q1017" s="9">
        <v>19.688099999999999</v>
      </c>
      <c r="R1017" s="9"/>
      <c r="S1017" s="11"/>
    </row>
    <row r="1018" spans="1:19" ht="15.75">
      <c r="A1018" s="13">
        <v>72501</v>
      </c>
      <c r="B1018" s="8">
        <f>CHOOSE( CONTROL!$C$32, 38.2653, 38.2629) * CHOOSE(CONTROL!$C$15, $D$11, 100%, $F$11)</f>
        <v>38.265300000000003</v>
      </c>
      <c r="C1018" s="8">
        <f>CHOOSE( CONTROL!$C$32, 38.2759, 38.2735) * CHOOSE(CONTROL!$C$15, $D$11, 100%, $F$11)</f>
        <v>38.2759</v>
      </c>
      <c r="D1018" s="8">
        <f>CHOOSE( CONTROL!$C$32, 38.3119, 38.3095) * CHOOSE( CONTROL!$C$15, $D$11, 100%, $F$11)</f>
        <v>38.311900000000001</v>
      </c>
      <c r="E1018" s="12">
        <f>CHOOSE( CONTROL!$C$32, 38.2972, 38.2948) * CHOOSE( CONTROL!$C$15, $D$11, 100%, $F$11)</f>
        <v>38.297199999999997</v>
      </c>
      <c r="F1018" s="4">
        <f>CHOOSE( CONTROL!$C$32, 39.0047, 39.0023) * CHOOSE(CONTROL!$C$15, $D$11, 100%, $F$11)</f>
        <v>39.0047</v>
      </c>
      <c r="G1018" s="8">
        <f>CHOOSE( CONTROL!$C$32, 37.404, 37.4017) * CHOOSE( CONTROL!$C$15, $D$11, 100%, $F$11)</f>
        <v>37.404000000000003</v>
      </c>
      <c r="H1018" s="4">
        <f>CHOOSE( CONTROL!$C$32, 38.3689, 38.3666) * CHOOSE(CONTROL!$C$15, $D$11, 100%, $F$11)</f>
        <v>38.368899999999996</v>
      </c>
      <c r="I1018" s="8">
        <f>CHOOSE( CONTROL!$C$32, 36.8527, 36.8504) * CHOOSE(CONTROL!$C$15, $D$11, 100%, $F$11)</f>
        <v>36.852699999999999</v>
      </c>
      <c r="J1018" s="4">
        <f>CHOOSE( CONTROL!$C$32, 36.7242, 36.7219) * CHOOSE(CONTROL!$C$15, $D$11, 100%, $F$11)</f>
        <v>36.724200000000003</v>
      </c>
      <c r="K1018" s="4"/>
      <c r="L1018" s="9">
        <v>29.7257</v>
      </c>
      <c r="M1018" s="9">
        <v>11.6745</v>
      </c>
      <c r="N1018" s="9">
        <v>4.7850000000000001</v>
      </c>
      <c r="O1018" s="9">
        <v>0.36199999999999999</v>
      </c>
      <c r="P1018" s="9">
        <v>1.1791</v>
      </c>
      <c r="Q1018" s="9">
        <v>19.053000000000001</v>
      </c>
      <c r="R1018" s="9"/>
      <c r="S1018" s="11"/>
    </row>
    <row r="1019" spans="1:19" ht="15.75">
      <c r="A1019" s="13">
        <v>72532</v>
      </c>
      <c r="B1019" s="8">
        <f>CHOOSE( CONTROL!$C$32, 39.9111, 39.9087) * CHOOSE(CONTROL!$C$15, $D$11, 100%, $F$11)</f>
        <v>39.911099999999998</v>
      </c>
      <c r="C1019" s="8">
        <f>CHOOSE( CONTROL!$C$32, 39.9217, 39.9193) * CHOOSE(CONTROL!$C$15, $D$11, 100%, $F$11)</f>
        <v>39.921700000000001</v>
      </c>
      <c r="D1019" s="8">
        <f>CHOOSE( CONTROL!$C$32, 39.9579, 39.9555) * CHOOSE( CONTROL!$C$15, $D$11, 100%, $F$11)</f>
        <v>39.957900000000002</v>
      </c>
      <c r="E1019" s="12">
        <f>CHOOSE( CONTROL!$C$32, 39.9432, 39.9408) * CHOOSE( CONTROL!$C$15, $D$11, 100%, $F$11)</f>
        <v>39.943199999999997</v>
      </c>
      <c r="F1019" s="4">
        <f>CHOOSE( CONTROL!$C$32, 40.6505, 40.6481) * CHOOSE(CONTROL!$C$15, $D$11, 100%, $F$11)</f>
        <v>40.650500000000001</v>
      </c>
      <c r="G1019" s="8">
        <f>CHOOSE( CONTROL!$C$32, 39.0135, 39.0111) * CHOOSE( CONTROL!$C$15, $D$11, 100%, $F$11)</f>
        <v>39.013500000000001</v>
      </c>
      <c r="H1019" s="4">
        <f>CHOOSE( CONTROL!$C$32, 39.978, 39.9757) * CHOOSE(CONTROL!$C$15, $D$11, 100%, $F$11)</f>
        <v>39.978000000000002</v>
      </c>
      <c r="I1019" s="8">
        <f>CHOOSE( CONTROL!$C$32, 38.4347, 38.4324) * CHOOSE(CONTROL!$C$15, $D$11, 100%, $F$11)</f>
        <v>38.434699999999999</v>
      </c>
      <c r="J1019" s="4">
        <f>CHOOSE( CONTROL!$C$32, 38.3043, 38.302) * CHOOSE(CONTROL!$C$15, $D$11, 100%, $F$11)</f>
        <v>38.304299999999998</v>
      </c>
      <c r="K1019" s="4"/>
      <c r="L1019" s="9">
        <v>30.7165</v>
      </c>
      <c r="M1019" s="9">
        <v>12.063700000000001</v>
      </c>
      <c r="N1019" s="9">
        <v>4.9444999999999997</v>
      </c>
      <c r="O1019" s="9">
        <v>0.37409999999999999</v>
      </c>
      <c r="P1019" s="9">
        <v>1.2183999999999999</v>
      </c>
      <c r="Q1019" s="9">
        <v>19.688099999999999</v>
      </c>
      <c r="R1019" s="9"/>
      <c r="S1019" s="11"/>
    </row>
    <row r="1020" spans="1:19" ht="15.75">
      <c r="A1020" s="13">
        <v>72563</v>
      </c>
      <c r="B1020" s="8">
        <f>CHOOSE( CONTROL!$C$32, 36.8316, 36.8292) * CHOOSE(CONTROL!$C$15, $D$11, 100%, $F$11)</f>
        <v>36.831600000000002</v>
      </c>
      <c r="C1020" s="8">
        <f>CHOOSE( CONTROL!$C$32, 36.8422, 36.8398) * CHOOSE(CONTROL!$C$15, $D$11, 100%, $F$11)</f>
        <v>36.842199999999998</v>
      </c>
      <c r="D1020" s="8">
        <f>CHOOSE( CONTROL!$C$32, 36.8785, 36.8761) * CHOOSE( CONTROL!$C$15, $D$11, 100%, $F$11)</f>
        <v>36.878500000000003</v>
      </c>
      <c r="E1020" s="12">
        <f>CHOOSE( CONTROL!$C$32, 36.8637, 36.8613) * CHOOSE( CONTROL!$C$15, $D$11, 100%, $F$11)</f>
        <v>36.863700000000001</v>
      </c>
      <c r="F1020" s="4">
        <f>CHOOSE( CONTROL!$C$32, 37.571, 37.5686) * CHOOSE(CONTROL!$C$15, $D$11, 100%, $F$11)</f>
        <v>37.570999999999998</v>
      </c>
      <c r="G1020" s="8">
        <f>CHOOSE( CONTROL!$C$32, 36.0027, 36.0004) * CHOOSE( CONTROL!$C$15, $D$11, 100%, $F$11)</f>
        <v>36.002699999999997</v>
      </c>
      <c r="H1020" s="4">
        <f>CHOOSE( CONTROL!$C$32, 36.9672, 36.9649) * CHOOSE(CONTROL!$C$15, $D$11, 100%, $F$11)</f>
        <v>36.967199999999998</v>
      </c>
      <c r="I1020" s="8">
        <f>CHOOSE( CONTROL!$C$32, 35.4768, 35.4745) * CHOOSE(CONTROL!$C$15, $D$11, 100%, $F$11)</f>
        <v>35.476799999999997</v>
      </c>
      <c r="J1020" s="4">
        <f>CHOOSE( CONTROL!$C$32, 35.3477, 35.3454) * CHOOSE(CONTROL!$C$15, $D$11, 100%, $F$11)</f>
        <v>35.347700000000003</v>
      </c>
      <c r="K1020" s="4"/>
      <c r="L1020" s="9">
        <v>30.7165</v>
      </c>
      <c r="M1020" s="9">
        <v>12.063700000000001</v>
      </c>
      <c r="N1020" s="9">
        <v>4.9444999999999997</v>
      </c>
      <c r="O1020" s="9">
        <v>0.37409999999999999</v>
      </c>
      <c r="P1020" s="9">
        <v>1.2183999999999999</v>
      </c>
      <c r="Q1020" s="9">
        <v>19.688099999999999</v>
      </c>
      <c r="R1020" s="9"/>
      <c r="S1020" s="11"/>
    </row>
    <row r="1021" spans="1:19" ht="15.75">
      <c r="A1021" s="13">
        <v>72593</v>
      </c>
      <c r="B1021" s="8">
        <f>CHOOSE( CONTROL!$C$32, 36.0605, 36.0581) * CHOOSE(CONTROL!$C$15, $D$11, 100%, $F$11)</f>
        <v>36.060499999999998</v>
      </c>
      <c r="C1021" s="8">
        <f>CHOOSE( CONTROL!$C$32, 36.071, 36.0686) * CHOOSE(CONTROL!$C$15, $D$11, 100%, $F$11)</f>
        <v>36.070999999999998</v>
      </c>
      <c r="D1021" s="8">
        <f>CHOOSE( CONTROL!$C$32, 36.1073, 36.1049) * CHOOSE( CONTROL!$C$15, $D$11, 100%, $F$11)</f>
        <v>36.107300000000002</v>
      </c>
      <c r="E1021" s="12">
        <f>CHOOSE( CONTROL!$C$32, 36.0925, 36.0901) * CHOOSE( CONTROL!$C$15, $D$11, 100%, $F$11)</f>
        <v>36.092500000000001</v>
      </c>
      <c r="F1021" s="4">
        <f>CHOOSE( CONTROL!$C$32, 36.7998, 36.7974) * CHOOSE(CONTROL!$C$15, $D$11, 100%, $F$11)</f>
        <v>36.799799999999998</v>
      </c>
      <c r="G1021" s="8">
        <f>CHOOSE( CONTROL!$C$32, 35.2487, 35.2463) * CHOOSE( CONTROL!$C$15, $D$11, 100%, $F$11)</f>
        <v>35.248699999999999</v>
      </c>
      <c r="H1021" s="4">
        <f>CHOOSE( CONTROL!$C$32, 36.2133, 36.2109) * CHOOSE(CONTROL!$C$15, $D$11, 100%, $F$11)</f>
        <v>36.213299999999997</v>
      </c>
      <c r="I1021" s="8">
        <f>CHOOSE( CONTROL!$C$32, 34.7357, 34.7334) * CHOOSE(CONTROL!$C$15, $D$11, 100%, $F$11)</f>
        <v>34.735700000000001</v>
      </c>
      <c r="J1021" s="4">
        <f>CHOOSE( CONTROL!$C$32, 34.6073, 34.605) * CHOOSE(CONTROL!$C$15, $D$11, 100%, $F$11)</f>
        <v>34.607300000000002</v>
      </c>
      <c r="K1021" s="4"/>
      <c r="L1021" s="9">
        <v>29.7257</v>
      </c>
      <c r="M1021" s="9">
        <v>11.6745</v>
      </c>
      <c r="N1021" s="9">
        <v>4.7850000000000001</v>
      </c>
      <c r="O1021" s="9">
        <v>0.36199999999999999</v>
      </c>
      <c r="P1021" s="9">
        <v>1.1791</v>
      </c>
      <c r="Q1021" s="9">
        <v>19.053000000000001</v>
      </c>
      <c r="R1021" s="9"/>
      <c r="S1021" s="11"/>
    </row>
    <row r="1022" spans="1:19" ht="15.75">
      <c r="A1022" s="13">
        <v>72624</v>
      </c>
      <c r="B1022" s="8">
        <f>37.6593 * CHOOSE(CONTROL!$C$15, $D$11, 100%, $F$11)</f>
        <v>37.659300000000002</v>
      </c>
      <c r="C1022" s="8">
        <f>37.6701 * CHOOSE(CONTROL!$C$15, $D$11, 100%, $F$11)</f>
        <v>37.670099999999998</v>
      </c>
      <c r="D1022" s="8">
        <f>37.7076 * CHOOSE( CONTROL!$C$15, $D$11, 100%, $F$11)</f>
        <v>37.707599999999999</v>
      </c>
      <c r="E1022" s="12">
        <f>37.6941 * CHOOSE( CONTROL!$C$15, $D$11, 100%, $F$11)</f>
        <v>37.694099999999999</v>
      </c>
      <c r="F1022" s="4">
        <f>38.3986 * CHOOSE(CONTROL!$C$15, $D$11, 100%, $F$11)</f>
        <v>38.398600000000002</v>
      </c>
      <c r="G1022" s="8">
        <f>36.8115 * CHOOSE( CONTROL!$C$15, $D$11, 100%, $F$11)</f>
        <v>36.811500000000002</v>
      </c>
      <c r="H1022" s="4">
        <f>37.7764 * CHOOSE(CONTROL!$C$15, $D$11, 100%, $F$11)</f>
        <v>37.776400000000002</v>
      </c>
      <c r="I1022" s="8">
        <f>36.2722 * CHOOSE(CONTROL!$C$15, $D$11, 100%, $F$11)</f>
        <v>36.272199999999998</v>
      </c>
      <c r="J1022" s="4">
        <f>36.1423 * CHOOSE(CONTROL!$C$15, $D$11, 100%, $F$11)</f>
        <v>36.142299999999999</v>
      </c>
      <c r="K1022" s="4"/>
      <c r="L1022" s="9">
        <v>31.095300000000002</v>
      </c>
      <c r="M1022" s="9">
        <v>12.063700000000001</v>
      </c>
      <c r="N1022" s="9">
        <v>4.9444999999999997</v>
      </c>
      <c r="O1022" s="9">
        <v>0.37409999999999999</v>
      </c>
      <c r="P1022" s="9">
        <v>1.2183999999999999</v>
      </c>
      <c r="Q1022" s="9">
        <v>19.688099999999999</v>
      </c>
      <c r="R1022" s="9"/>
      <c r="S1022" s="11"/>
    </row>
    <row r="1023" spans="1:19" ht="15.75">
      <c r="A1023" s="13">
        <v>72654</v>
      </c>
      <c r="B1023" s="8">
        <f>40.6148 * CHOOSE(CONTROL!$C$15, $D$11, 100%, $F$11)</f>
        <v>40.614800000000002</v>
      </c>
      <c r="C1023" s="8">
        <f>40.6255 * CHOOSE(CONTROL!$C$15, $D$11, 100%, $F$11)</f>
        <v>40.625500000000002</v>
      </c>
      <c r="D1023" s="8">
        <f>40.6083 * CHOOSE( CONTROL!$C$15, $D$11, 100%, $F$11)</f>
        <v>40.6083</v>
      </c>
      <c r="E1023" s="12">
        <f>40.6134 * CHOOSE( CONTROL!$C$15, $D$11, 100%, $F$11)</f>
        <v>40.613399999999999</v>
      </c>
      <c r="F1023" s="4">
        <f>41.2733 * CHOOSE(CONTROL!$C$15, $D$11, 100%, $F$11)</f>
        <v>41.273299999999999</v>
      </c>
      <c r="G1023" s="8">
        <f>39.7077 * CHOOSE( CONTROL!$C$15, $D$11, 100%, $F$11)</f>
        <v>39.707700000000003</v>
      </c>
      <c r="H1023" s="4">
        <f>40.587 * CHOOSE(CONTROL!$C$15, $D$11, 100%, $F$11)</f>
        <v>40.587000000000003</v>
      </c>
      <c r="I1023" s="8">
        <f>39.1483 * CHOOSE(CONTROL!$C$15, $D$11, 100%, $F$11)</f>
        <v>39.148299999999999</v>
      </c>
      <c r="J1023" s="4">
        <f>38.9798 * CHOOSE(CONTROL!$C$15, $D$11, 100%, $F$11)</f>
        <v>38.979799999999997</v>
      </c>
      <c r="K1023" s="4"/>
      <c r="L1023" s="9">
        <v>28.360600000000002</v>
      </c>
      <c r="M1023" s="9">
        <v>11.6745</v>
      </c>
      <c r="N1023" s="9">
        <v>4.7850000000000001</v>
      </c>
      <c r="O1023" s="9">
        <v>0.36199999999999999</v>
      </c>
      <c r="P1023" s="9">
        <v>1.2509999999999999</v>
      </c>
      <c r="Q1023" s="9">
        <v>19.053000000000001</v>
      </c>
      <c r="R1023" s="9"/>
      <c r="S1023" s="11"/>
    </row>
    <row r="1024" spans="1:19" ht="15.75">
      <c r="A1024" s="13">
        <v>72685</v>
      </c>
      <c r="B1024" s="8">
        <f>40.5409 * CHOOSE(CONTROL!$C$15, $D$11, 100%, $F$11)</f>
        <v>40.540900000000001</v>
      </c>
      <c r="C1024" s="8">
        <f>40.5517 * CHOOSE(CONTROL!$C$15, $D$11, 100%, $F$11)</f>
        <v>40.551699999999997</v>
      </c>
      <c r="D1024" s="8">
        <f>40.5361 * CHOOSE( CONTROL!$C$15, $D$11, 100%, $F$11)</f>
        <v>40.536099999999998</v>
      </c>
      <c r="E1024" s="12">
        <f>40.5407 * CHOOSE( CONTROL!$C$15, $D$11, 100%, $F$11)</f>
        <v>40.540700000000001</v>
      </c>
      <c r="F1024" s="4">
        <f>41.1994 * CHOOSE(CONTROL!$C$15, $D$11, 100%, $F$11)</f>
        <v>41.199399999999997</v>
      </c>
      <c r="G1024" s="8">
        <f>39.6367 * CHOOSE( CONTROL!$C$15, $D$11, 100%, $F$11)</f>
        <v>39.636699999999998</v>
      </c>
      <c r="H1024" s="4">
        <f>40.5148 * CHOOSE(CONTROL!$C$15, $D$11, 100%, $F$11)</f>
        <v>40.514800000000001</v>
      </c>
      <c r="I1024" s="8">
        <f>39.0826 * CHOOSE(CONTROL!$C$15, $D$11, 100%, $F$11)</f>
        <v>39.082599999999999</v>
      </c>
      <c r="J1024" s="4">
        <f>38.9089 * CHOOSE(CONTROL!$C$15, $D$11, 100%, $F$11)</f>
        <v>38.908900000000003</v>
      </c>
      <c r="K1024" s="4"/>
      <c r="L1024" s="9">
        <v>29.306000000000001</v>
      </c>
      <c r="M1024" s="9">
        <v>12.063700000000001</v>
      </c>
      <c r="N1024" s="9">
        <v>4.9444999999999997</v>
      </c>
      <c r="O1024" s="9">
        <v>0.37409999999999999</v>
      </c>
      <c r="P1024" s="9">
        <v>1.2927</v>
      </c>
      <c r="Q1024" s="9">
        <v>19.688099999999999</v>
      </c>
      <c r="R1024" s="9"/>
      <c r="S1024" s="11"/>
    </row>
    <row r="1025" spans="1:19" ht="15.75">
      <c r="A1025" s="13">
        <v>72716</v>
      </c>
      <c r="B1025" s="8">
        <f>41.7363 * CHOOSE(CONTROL!$C$15, $D$11, 100%, $F$11)</f>
        <v>41.7363</v>
      </c>
      <c r="C1025" s="8">
        <f>41.7471 * CHOOSE(CONTROL!$C$15, $D$11, 100%, $F$11)</f>
        <v>41.747100000000003</v>
      </c>
      <c r="D1025" s="8">
        <f>41.7285 * CHOOSE( CONTROL!$C$15, $D$11, 100%, $F$11)</f>
        <v>41.728499999999997</v>
      </c>
      <c r="E1025" s="12">
        <f>41.7342 * CHOOSE( CONTROL!$C$15, $D$11, 100%, $F$11)</f>
        <v>41.734200000000001</v>
      </c>
      <c r="F1025" s="4">
        <f>42.3948 * CHOOSE(CONTROL!$C$15, $D$11, 100%, $F$11)</f>
        <v>42.394799999999996</v>
      </c>
      <c r="G1025" s="8">
        <f>40.7979 * CHOOSE( CONTROL!$C$15, $D$11, 100%, $F$11)</f>
        <v>40.797899999999998</v>
      </c>
      <c r="H1025" s="4">
        <f>41.6835 * CHOOSE(CONTROL!$C$15, $D$11, 100%, $F$11)</f>
        <v>41.683500000000002</v>
      </c>
      <c r="I1025" s="8">
        <f>40.1957 * CHOOSE(CONTROL!$C$15, $D$11, 100%, $F$11)</f>
        <v>40.195700000000002</v>
      </c>
      <c r="J1025" s="4">
        <f>40.0566 * CHOOSE(CONTROL!$C$15, $D$11, 100%, $F$11)</f>
        <v>40.056600000000003</v>
      </c>
      <c r="K1025" s="4"/>
      <c r="L1025" s="9">
        <v>29.306000000000001</v>
      </c>
      <c r="M1025" s="9">
        <v>12.063700000000001</v>
      </c>
      <c r="N1025" s="9">
        <v>4.9444999999999997</v>
      </c>
      <c r="O1025" s="9">
        <v>0.37409999999999999</v>
      </c>
      <c r="P1025" s="9">
        <v>1.2927</v>
      </c>
      <c r="Q1025" s="9">
        <v>19.688099999999999</v>
      </c>
      <c r="R1025" s="9"/>
      <c r="S1025" s="11"/>
    </row>
    <row r="1026" spans="1:19" ht="15.75">
      <c r="A1026" s="13">
        <v>72744</v>
      </c>
      <c r="B1026" s="8">
        <f>39.0391 * CHOOSE(CONTROL!$C$15, $D$11, 100%, $F$11)</f>
        <v>39.039099999999998</v>
      </c>
      <c r="C1026" s="8">
        <f>39.0499 * CHOOSE(CONTROL!$C$15, $D$11, 100%, $F$11)</f>
        <v>39.049900000000001</v>
      </c>
      <c r="D1026" s="8">
        <f>39.0312 * CHOOSE( CONTROL!$C$15, $D$11, 100%, $F$11)</f>
        <v>39.031199999999998</v>
      </c>
      <c r="E1026" s="12">
        <f>39.0369 * CHOOSE( CONTROL!$C$15, $D$11, 100%, $F$11)</f>
        <v>39.036900000000003</v>
      </c>
      <c r="F1026" s="4">
        <f>39.6976 * CHOOSE(CONTROL!$C$15, $D$11, 100%, $F$11)</f>
        <v>39.697600000000001</v>
      </c>
      <c r="G1026" s="8">
        <f>38.1608 * CHOOSE( CONTROL!$C$15, $D$11, 100%, $F$11)</f>
        <v>38.160800000000002</v>
      </c>
      <c r="H1026" s="4">
        <f>39.0464 * CHOOSE(CONTROL!$C$15, $D$11, 100%, $F$11)</f>
        <v>39.046399999999998</v>
      </c>
      <c r="I1026" s="8">
        <f>37.6045 * CHOOSE(CONTROL!$C$15, $D$11, 100%, $F$11)</f>
        <v>37.604500000000002</v>
      </c>
      <c r="J1026" s="4">
        <f>37.467 * CHOOSE(CONTROL!$C$15, $D$11, 100%, $F$11)</f>
        <v>37.466999999999999</v>
      </c>
      <c r="K1026" s="4"/>
      <c r="L1026" s="9">
        <v>26.469899999999999</v>
      </c>
      <c r="M1026" s="9">
        <v>10.8962</v>
      </c>
      <c r="N1026" s="9">
        <v>4.4660000000000002</v>
      </c>
      <c r="O1026" s="9">
        <v>0.33789999999999998</v>
      </c>
      <c r="P1026" s="9">
        <v>1.1676</v>
      </c>
      <c r="Q1026" s="9">
        <v>17.782800000000002</v>
      </c>
      <c r="R1026" s="9"/>
      <c r="S1026" s="11"/>
    </row>
    <row r="1027" spans="1:19" ht="15.75">
      <c r="A1027" s="13">
        <v>72775</v>
      </c>
      <c r="B1027" s="8">
        <f>38.2084 * CHOOSE(CONTROL!$C$15, $D$11, 100%, $F$11)</f>
        <v>38.208399999999997</v>
      </c>
      <c r="C1027" s="8">
        <f>38.2192 * CHOOSE(CONTROL!$C$15, $D$11, 100%, $F$11)</f>
        <v>38.219200000000001</v>
      </c>
      <c r="D1027" s="8">
        <f>38.2 * CHOOSE( CONTROL!$C$15, $D$11, 100%, $F$11)</f>
        <v>38.200000000000003</v>
      </c>
      <c r="E1027" s="12">
        <f>38.2059 * CHOOSE( CONTROL!$C$15, $D$11, 100%, $F$11)</f>
        <v>38.2059</v>
      </c>
      <c r="F1027" s="4">
        <f>38.8669 * CHOOSE(CONTROL!$C$15, $D$11, 100%, $F$11)</f>
        <v>38.866900000000001</v>
      </c>
      <c r="G1027" s="8">
        <f>37.3482 * CHOOSE( CONTROL!$C$15, $D$11, 100%, $F$11)</f>
        <v>37.348199999999999</v>
      </c>
      <c r="H1027" s="4">
        <f>38.2342 * CHOOSE(CONTROL!$C$15, $D$11, 100%, $F$11)</f>
        <v>38.234200000000001</v>
      </c>
      <c r="I1027" s="8">
        <f>36.8051 * CHOOSE(CONTROL!$C$15, $D$11, 100%, $F$11)</f>
        <v>36.805100000000003</v>
      </c>
      <c r="J1027" s="4">
        <f>36.6694 * CHOOSE(CONTROL!$C$15, $D$11, 100%, $F$11)</f>
        <v>36.669400000000003</v>
      </c>
      <c r="K1027" s="4"/>
      <c r="L1027" s="9">
        <v>29.306000000000001</v>
      </c>
      <c r="M1027" s="9">
        <v>12.063700000000001</v>
      </c>
      <c r="N1027" s="9">
        <v>4.9444999999999997</v>
      </c>
      <c r="O1027" s="9">
        <v>0.37409999999999999</v>
      </c>
      <c r="P1027" s="9">
        <v>1.2927</v>
      </c>
      <c r="Q1027" s="9">
        <v>19.688099999999999</v>
      </c>
      <c r="R1027" s="9"/>
      <c r="S1027" s="11"/>
    </row>
    <row r="1028" spans="1:19" ht="15.75">
      <c r="A1028" s="13">
        <v>72805</v>
      </c>
      <c r="B1028" s="8">
        <f>38.7888 * CHOOSE(CONTROL!$C$15, $D$11, 100%, $F$11)</f>
        <v>38.788800000000002</v>
      </c>
      <c r="C1028" s="8">
        <f>38.7996 * CHOOSE(CONTROL!$C$15, $D$11, 100%, $F$11)</f>
        <v>38.799599999999998</v>
      </c>
      <c r="D1028" s="8">
        <f>38.8366 * CHOOSE( CONTROL!$C$15, $D$11, 100%, $F$11)</f>
        <v>38.836599999999997</v>
      </c>
      <c r="E1028" s="12">
        <f>38.8231 * CHOOSE( CONTROL!$C$15, $D$11, 100%, $F$11)</f>
        <v>38.823099999999997</v>
      </c>
      <c r="F1028" s="4">
        <f>39.5281 * CHOOSE(CONTROL!$C$15, $D$11, 100%, $F$11)</f>
        <v>39.528100000000002</v>
      </c>
      <c r="G1028" s="8">
        <f>37.915 * CHOOSE( CONTROL!$C$15, $D$11, 100%, $F$11)</f>
        <v>37.914999999999999</v>
      </c>
      <c r="H1028" s="4">
        <f>38.8807 * CHOOSE(CONTROL!$C$15, $D$11, 100%, $F$11)</f>
        <v>38.880699999999997</v>
      </c>
      <c r="I1028" s="8">
        <f>37.3545 * CHOOSE(CONTROL!$C$15, $D$11, 100%, $F$11)</f>
        <v>37.354500000000002</v>
      </c>
      <c r="J1028" s="4">
        <f>37.2267 * CHOOSE(CONTROL!$C$15, $D$11, 100%, $F$11)</f>
        <v>37.226700000000001</v>
      </c>
      <c r="K1028" s="4"/>
      <c r="L1028" s="9">
        <v>30.092199999999998</v>
      </c>
      <c r="M1028" s="9">
        <v>11.6745</v>
      </c>
      <c r="N1028" s="9">
        <v>4.7850000000000001</v>
      </c>
      <c r="O1028" s="9">
        <v>0.36199999999999999</v>
      </c>
      <c r="P1028" s="9">
        <v>1.1791</v>
      </c>
      <c r="Q1028" s="9">
        <v>19.053000000000001</v>
      </c>
      <c r="R1028" s="9"/>
      <c r="S1028" s="11"/>
    </row>
    <row r="1029" spans="1:19" ht="15.75">
      <c r="A1029" s="13">
        <v>72836</v>
      </c>
      <c r="B1029" s="8">
        <f>CHOOSE( CONTROL!$C$32, 39.8243, 39.8219) * CHOOSE(CONTROL!$C$15, $D$11, 100%, $F$11)</f>
        <v>39.824300000000001</v>
      </c>
      <c r="C1029" s="8">
        <f>CHOOSE( CONTROL!$C$32, 39.8349, 39.8325) * CHOOSE(CONTROL!$C$15, $D$11, 100%, $F$11)</f>
        <v>39.834899999999998</v>
      </c>
      <c r="D1029" s="8">
        <f>CHOOSE( CONTROL!$C$32, 39.8707, 39.8683) * CHOOSE( CONTROL!$C$15, $D$11, 100%, $F$11)</f>
        <v>39.870699999999999</v>
      </c>
      <c r="E1029" s="12">
        <f>CHOOSE( CONTROL!$C$32, 39.8561, 39.8537) * CHOOSE( CONTROL!$C$15, $D$11, 100%, $F$11)</f>
        <v>39.856099999999998</v>
      </c>
      <c r="F1029" s="4">
        <f>CHOOSE( CONTROL!$C$32, 40.5637, 40.5613) * CHOOSE(CONTROL!$C$15, $D$11, 100%, $F$11)</f>
        <v>40.563699999999997</v>
      </c>
      <c r="G1029" s="8">
        <f>CHOOSE( CONTROL!$C$32, 38.928, 38.9256) * CHOOSE( CONTROL!$C$15, $D$11, 100%, $F$11)</f>
        <v>38.927999999999997</v>
      </c>
      <c r="H1029" s="4">
        <f>CHOOSE( CONTROL!$C$32, 39.8932, 39.8908) * CHOOSE(CONTROL!$C$15, $D$11, 100%, $F$11)</f>
        <v>39.8932</v>
      </c>
      <c r="I1029" s="8">
        <f>CHOOSE( CONTROL!$C$32, 38.3493, 38.347) * CHOOSE(CONTROL!$C$15, $D$11, 100%, $F$11)</f>
        <v>38.349299999999999</v>
      </c>
      <c r="J1029" s="4">
        <f>CHOOSE( CONTROL!$C$32, 38.221, 38.2187) * CHOOSE(CONTROL!$C$15, $D$11, 100%, $F$11)</f>
        <v>38.220999999999997</v>
      </c>
      <c r="K1029" s="4"/>
      <c r="L1029" s="9">
        <v>30.7165</v>
      </c>
      <c r="M1029" s="9">
        <v>12.063700000000001</v>
      </c>
      <c r="N1029" s="9">
        <v>4.9444999999999997</v>
      </c>
      <c r="O1029" s="9">
        <v>0.37409999999999999</v>
      </c>
      <c r="P1029" s="9">
        <v>1.2183999999999999</v>
      </c>
      <c r="Q1029" s="9">
        <v>19.688099999999999</v>
      </c>
      <c r="R1029" s="9"/>
      <c r="S1029" s="11"/>
    </row>
    <row r="1030" spans="1:19" ht="15.75">
      <c r="A1030" s="13">
        <v>72866</v>
      </c>
      <c r="B1030" s="8">
        <f>CHOOSE( CONTROL!$C$32, 39.1843, 39.1819) * CHOOSE(CONTROL!$C$15, $D$11, 100%, $F$11)</f>
        <v>39.1843</v>
      </c>
      <c r="C1030" s="8">
        <f>CHOOSE( CONTROL!$C$32, 39.1949, 39.1925) * CHOOSE(CONTROL!$C$15, $D$11, 100%, $F$11)</f>
        <v>39.194899999999997</v>
      </c>
      <c r="D1030" s="8">
        <f>CHOOSE( CONTROL!$C$32, 39.2309, 39.2285) * CHOOSE( CONTROL!$C$15, $D$11, 100%, $F$11)</f>
        <v>39.230899999999998</v>
      </c>
      <c r="E1030" s="12">
        <f>CHOOSE( CONTROL!$C$32, 39.2162, 39.2138) * CHOOSE( CONTROL!$C$15, $D$11, 100%, $F$11)</f>
        <v>39.216200000000001</v>
      </c>
      <c r="F1030" s="4">
        <f>CHOOSE( CONTROL!$C$32, 39.9237, 39.9213) * CHOOSE(CONTROL!$C$15, $D$11, 100%, $F$11)</f>
        <v>39.923699999999997</v>
      </c>
      <c r="G1030" s="8">
        <f>CHOOSE( CONTROL!$C$32, 38.3025, 38.3002) * CHOOSE( CONTROL!$C$15, $D$11, 100%, $F$11)</f>
        <v>38.302500000000002</v>
      </c>
      <c r="H1030" s="4">
        <f>CHOOSE( CONTROL!$C$32, 39.2674, 39.2651) * CHOOSE(CONTROL!$C$15, $D$11, 100%, $F$11)</f>
        <v>39.267400000000002</v>
      </c>
      <c r="I1030" s="8">
        <f>CHOOSE( CONTROL!$C$32, 37.7355, 37.7332) * CHOOSE(CONTROL!$C$15, $D$11, 100%, $F$11)</f>
        <v>37.735500000000002</v>
      </c>
      <c r="J1030" s="4">
        <f>CHOOSE( CONTROL!$C$32, 37.6065, 37.6042) * CHOOSE(CONTROL!$C$15, $D$11, 100%, $F$11)</f>
        <v>37.606499999999997</v>
      </c>
      <c r="K1030" s="4"/>
      <c r="L1030" s="9">
        <v>29.7257</v>
      </c>
      <c r="M1030" s="9">
        <v>11.6745</v>
      </c>
      <c r="N1030" s="9">
        <v>4.7850000000000001</v>
      </c>
      <c r="O1030" s="9">
        <v>0.36199999999999999</v>
      </c>
      <c r="P1030" s="9">
        <v>1.1791</v>
      </c>
      <c r="Q1030" s="9">
        <v>19.053000000000001</v>
      </c>
      <c r="R1030" s="9"/>
      <c r="S1030" s="11"/>
    </row>
    <row r="1031" spans="1:19" ht="15.75">
      <c r="A1031" s="13">
        <v>72897</v>
      </c>
      <c r="B1031" s="8">
        <f>CHOOSE( CONTROL!$C$32, 40.8697, 40.8673) * CHOOSE(CONTROL!$C$15, $D$11, 100%, $F$11)</f>
        <v>40.869700000000002</v>
      </c>
      <c r="C1031" s="8">
        <f>CHOOSE( CONTROL!$C$32, 40.8802, 40.8778) * CHOOSE(CONTROL!$C$15, $D$11, 100%, $F$11)</f>
        <v>40.880200000000002</v>
      </c>
      <c r="D1031" s="8">
        <f>CHOOSE( CONTROL!$C$32, 40.9165, 40.9141) * CHOOSE( CONTROL!$C$15, $D$11, 100%, $F$11)</f>
        <v>40.916499999999999</v>
      </c>
      <c r="E1031" s="12">
        <f>CHOOSE( CONTROL!$C$32, 40.9017, 40.8993) * CHOOSE( CONTROL!$C$15, $D$11, 100%, $F$11)</f>
        <v>40.901699999999998</v>
      </c>
      <c r="F1031" s="4">
        <f>CHOOSE( CONTROL!$C$32, 41.609, 41.6066) * CHOOSE(CONTROL!$C$15, $D$11, 100%, $F$11)</f>
        <v>41.609000000000002</v>
      </c>
      <c r="G1031" s="8">
        <f>CHOOSE( CONTROL!$C$32, 39.9506, 39.9483) * CHOOSE( CONTROL!$C$15, $D$11, 100%, $F$11)</f>
        <v>39.950600000000001</v>
      </c>
      <c r="H1031" s="4">
        <f>CHOOSE( CONTROL!$C$32, 40.9152, 40.9129) * CHOOSE(CONTROL!$C$15, $D$11, 100%, $F$11)</f>
        <v>40.915199999999999</v>
      </c>
      <c r="I1031" s="8">
        <f>CHOOSE( CONTROL!$C$32, 39.3554, 39.3531) * CHOOSE(CONTROL!$C$15, $D$11, 100%, $F$11)</f>
        <v>39.355400000000003</v>
      </c>
      <c r="J1031" s="4">
        <f>CHOOSE( CONTROL!$C$32, 39.2246, 39.2223) * CHOOSE(CONTROL!$C$15, $D$11, 100%, $F$11)</f>
        <v>39.224600000000002</v>
      </c>
      <c r="K1031" s="4"/>
      <c r="L1031" s="9">
        <v>30.7165</v>
      </c>
      <c r="M1031" s="9">
        <v>12.063700000000001</v>
      </c>
      <c r="N1031" s="9">
        <v>4.9444999999999997</v>
      </c>
      <c r="O1031" s="9">
        <v>0.37409999999999999</v>
      </c>
      <c r="P1031" s="9">
        <v>1.2183999999999999</v>
      </c>
      <c r="Q1031" s="9">
        <v>19.688099999999999</v>
      </c>
      <c r="R1031" s="9"/>
      <c r="S1031" s="11"/>
    </row>
    <row r="1032" spans="1:19" ht="15.75">
      <c r="A1032" s="13">
        <v>72928</v>
      </c>
      <c r="B1032" s="8">
        <f>CHOOSE( CONTROL!$C$32, 37.7162, 37.7138) * CHOOSE(CONTROL!$C$15, $D$11, 100%, $F$11)</f>
        <v>37.716200000000001</v>
      </c>
      <c r="C1032" s="8">
        <f>CHOOSE( CONTROL!$C$32, 37.7267, 37.7243) * CHOOSE(CONTROL!$C$15, $D$11, 100%, $F$11)</f>
        <v>37.726700000000001</v>
      </c>
      <c r="D1032" s="8">
        <f>CHOOSE( CONTROL!$C$32, 37.763, 37.7606) * CHOOSE( CONTROL!$C$15, $D$11, 100%, $F$11)</f>
        <v>37.762999999999998</v>
      </c>
      <c r="E1032" s="12">
        <f>CHOOSE( CONTROL!$C$32, 37.7482, 37.7458) * CHOOSE( CONTROL!$C$15, $D$11, 100%, $F$11)</f>
        <v>37.748199999999997</v>
      </c>
      <c r="F1032" s="4">
        <f>CHOOSE( CONTROL!$C$32, 38.4555, 38.4531) * CHOOSE(CONTROL!$C$15, $D$11, 100%, $F$11)</f>
        <v>38.455500000000001</v>
      </c>
      <c r="G1032" s="8">
        <f>CHOOSE( CONTROL!$C$32, 36.8675, 36.8652) * CHOOSE( CONTROL!$C$15, $D$11, 100%, $F$11)</f>
        <v>36.8675</v>
      </c>
      <c r="H1032" s="4">
        <f>CHOOSE( CONTROL!$C$32, 37.832, 37.8297) * CHOOSE(CONTROL!$C$15, $D$11, 100%, $F$11)</f>
        <v>37.832000000000001</v>
      </c>
      <c r="I1032" s="8">
        <f>CHOOSE( CONTROL!$C$32, 36.3265, 36.3242) * CHOOSE(CONTROL!$C$15, $D$11, 100%, $F$11)</f>
        <v>36.326500000000003</v>
      </c>
      <c r="J1032" s="4">
        <f>CHOOSE( CONTROL!$C$32, 36.197, 36.1947) * CHOOSE(CONTROL!$C$15, $D$11, 100%, $F$11)</f>
        <v>36.197000000000003</v>
      </c>
      <c r="K1032" s="4"/>
      <c r="L1032" s="9">
        <v>30.7165</v>
      </c>
      <c r="M1032" s="9">
        <v>12.063700000000001</v>
      </c>
      <c r="N1032" s="9">
        <v>4.9444999999999997</v>
      </c>
      <c r="O1032" s="9">
        <v>0.37409999999999999</v>
      </c>
      <c r="P1032" s="9">
        <v>1.2183999999999999</v>
      </c>
      <c r="Q1032" s="9">
        <v>19.688099999999999</v>
      </c>
      <c r="R1032" s="9"/>
      <c r="S1032" s="11"/>
    </row>
    <row r="1033" spans="1:19" ht="15.75">
      <c r="A1033" s="13">
        <v>72958</v>
      </c>
      <c r="B1033" s="8">
        <f>CHOOSE( CONTROL!$C$32, 36.9265, 36.9241) * CHOOSE(CONTROL!$C$15, $D$11, 100%, $F$11)</f>
        <v>36.926499999999997</v>
      </c>
      <c r="C1033" s="8">
        <f>CHOOSE( CONTROL!$C$32, 36.9371, 36.9347) * CHOOSE(CONTROL!$C$15, $D$11, 100%, $F$11)</f>
        <v>36.937100000000001</v>
      </c>
      <c r="D1033" s="8">
        <f>CHOOSE( CONTROL!$C$32, 36.9733, 36.9709) * CHOOSE( CONTROL!$C$15, $D$11, 100%, $F$11)</f>
        <v>36.973300000000002</v>
      </c>
      <c r="E1033" s="12">
        <f>CHOOSE( CONTROL!$C$32, 36.9586, 36.9562) * CHOOSE( CONTROL!$C$15, $D$11, 100%, $F$11)</f>
        <v>36.958599999999997</v>
      </c>
      <c r="F1033" s="4">
        <f>CHOOSE( CONTROL!$C$32, 37.6658, 37.6634) * CHOOSE(CONTROL!$C$15, $D$11, 100%, $F$11)</f>
        <v>37.665799999999997</v>
      </c>
      <c r="G1033" s="8">
        <f>CHOOSE( CONTROL!$C$32, 36.0954, 36.0931) * CHOOSE( CONTROL!$C$15, $D$11, 100%, $F$11)</f>
        <v>36.095399999999998</v>
      </c>
      <c r="H1033" s="4">
        <f>CHOOSE( CONTROL!$C$32, 37.06, 37.0576) * CHOOSE(CONTROL!$C$15, $D$11, 100%, $F$11)</f>
        <v>37.06</v>
      </c>
      <c r="I1033" s="8">
        <f>CHOOSE( CONTROL!$C$32, 35.5676, 35.5653) * CHOOSE(CONTROL!$C$15, $D$11, 100%, $F$11)</f>
        <v>35.567599999999999</v>
      </c>
      <c r="J1033" s="4">
        <f>CHOOSE( CONTROL!$C$32, 35.4388, 35.4365) * CHOOSE(CONTROL!$C$15, $D$11, 100%, $F$11)</f>
        <v>35.438800000000001</v>
      </c>
      <c r="K1033" s="4"/>
      <c r="L1033" s="9">
        <v>29.7257</v>
      </c>
      <c r="M1033" s="9">
        <v>11.6745</v>
      </c>
      <c r="N1033" s="9">
        <v>4.7850000000000001</v>
      </c>
      <c r="O1033" s="9">
        <v>0.36199999999999999</v>
      </c>
      <c r="P1033" s="9">
        <v>1.1791</v>
      </c>
      <c r="Q1033" s="9">
        <v>19.053000000000001</v>
      </c>
      <c r="R1033" s="9"/>
      <c r="S1033" s="11"/>
    </row>
    <row r="1034" spans="1:19" ht="15.75">
      <c r="A1034" s="13">
        <v>72989</v>
      </c>
      <c r="B1034" s="8">
        <f>38.5638 * CHOOSE(CONTROL!$C$15, $D$11, 100%, $F$11)</f>
        <v>38.563800000000001</v>
      </c>
      <c r="C1034" s="8">
        <f>38.5746 * CHOOSE(CONTROL!$C$15, $D$11, 100%, $F$11)</f>
        <v>38.574599999999997</v>
      </c>
      <c r="D1034" s="8">
        <f>38.6121 * CHOOSE( CONTROL!$C$15, $D$11, 100%, $F$11)</f>
        <v>38.612099999999998</v>
      </c>
      <c r="E1034" s="12">
        <f>38.5986 * CHOOSE( CONTROL!$C$15, $D$11, 100%, $F$11)</f>
        <v>38.598599999999998</v>
      </c>
      <c r="F1034" s="4">
        <f>39.3031 * CHOOSE(CONTROL!$C$15, $D$11, 100%, $F$11)</f>
        <v>39.303100000000001</v>
      </c>
      <c r="G1034" s="8">
        <f>37.6959 * CHOOSE( CONTROL!$C$15, $D$11, 100%, $F$11)</f>
        <v>37.695900000000002</v>
      </c>
      <c r="H1034" s="4">
        <f>38.6607 * CHOOSE(CONTROL!$C$15, $D$11, 100%, $F$11)</f>
        <v>38.660699999999999</v>
      </c>
      <c r="I1034" s="8">
        <f>37.1411 * CHOOSE(CONTROL!$C$15, $D$11, 100%, $F$11)</f>
        <v>37.141100000000002</v>
      </c>
      <c r="J1034" s="4">
        <f>37.0107 * CHOOSE(CONTROL!$C$15, $D$11, 100%, $F$11)</f>
        <v>37.0107</v>
      </c>
      <c r="K1034" s="4"/>
      <c r="L1034" s="9">
        <v>31.095300000000002</v>
      </c>
      <c r="M1034" s="9">
        <v>12.063700000000001</v>
      </c>
      <c r="N1034" s="9">
        <v>4.9444999999999997</v>
      </c>
      <c r="O1034" s="9">
        <v>0.37409999999999999</v>
      </c>
      <c r="P1034" s="9">
        <v>1.2183999999999999</v>
      </c>
      <c r="Q1034" s="9">
        <v>19.688099999999999</v>
      </c>
      <c r="R1034" s="9"/>
      <c r="S1034" s="11"/>
    </row>
    <row r="1035" spans="1:19" ht="15.75">
      <c r="A1035" s="13">
        <v>73019</v>
      </c>
      <c r="B1035" s="8">
        <f>41.5903 * CHOOSE(CONTROL!$C$15, $D$11, 100%, $F$11)</f>
        <v>41.590299999999999</v>
      </c>
      <c r="C1035" s="8">
        <f>41.6011 * CHOOSE(CONTROL!$C$15, $D$11, 100%, $F$11)</f>
        <v>41.601100000000002</v>
      </c>
      <c r="D1035" s="8">
        <f>41.5838 * CHOOSE( CONTROL!$C$15, $D$11, 100%, $F$11)</f>
        <v>41.583799999999997</v>
      </c>
      <c r="E1035" s="12">
        <f>41.589 * CHOOSE( CONTROL!$C$15, $D$11, 100%, $F$11)</f>
        <v>41.588999999999999</v>
      </c>
      <c r="F1035" s="4">
        <f>42.2488 * CHOOSE(CONTROL!$C$15, $D$11, 100%, $F$11)</f>
        <v>42.248800000000003</v>
      </c>
      <c r="G1035" s="8">
        <f>40.6615 * CHOOSE( CONTROL!$C$15, $D$11, 100%, $F$11)</f>
        <v>40.661499999999997</v>
      </c>
      <c r="H1035" s="4">
        <f>41.5407 * CHOOSE(CONTROL!$C$15, $D$11, 100%, $F$11)</f>
        <v>41.540700000000001</v>
      </c>
      <c r="I1035" s="8">
        <f>40.0854 * CHOOSE(CONTROL!$C$15, $D$11, 100%, $F$11)</f>
        <v>40.0854</v>
      </c>
      <c r="J1035" s="4">
        <f>39.9164 * CHOOSE(CONTROL!$C$15, $D$11, 100%, $F$11)</f>
        <v>39.916400000000003</v>
      </c>
      <c r="K1035" s="4"/>
      <c r="L1035" s="9">
        <v>28.360600000000002</v>
      </c>
      <c r="M1035" s="9">
        <v>11.6745</v>
      </c>
      <c r="N1035" s="9">
        <v>4.7850000000000001</v>
      </c>
      <c r="O1035" s="9">
        <v>0.36199999999999999</v>
      </c>
      <c r="P1035" s="9">
        <v>1.2509999999999999</v>
      </c>
      <c r="Q1035" s="9">
        <v>19.053000000000001</v>
      </c>
      <c r="R1035" s="9"/>
      <c r="S1035" s="11"/>
    </row>
    <row r="1036" spans="1:19" ht="15.75">
      <c r="A1036" s="13">
        <v>73050</v>
      </c>
      <c r="B1036" s="8">
        <f>41.5147 * CHOOSE(CONTROL!$C$15, $D$11, 100%, $F$11)</f>
        <v>41.514699999999998</v>
      </c>
      <c r="C1036" s="8">
        <f>41.5254 * CHOOSE(CONTROL!$C$15, $D$11, 100%, $F$11)</f>
        <v>41.525399999999998</v>
      </c>
      <c r="D1036" s="8">
        <f>41.5099 * CHOOSE( CONTROL!$C$15, $D$11, 100%, $F$11)</f>
        <v>41.509900000000002</v>
      </c>
      <c r="E1036" s="12">
        <f>41.5144 * CHOOSE( CONTROL!$C$15, $D$11, 100%, $F$11)</f>
        <v>41.514400000000002</v>
      </c>
      <c r="F1036" s="4">
        <f>42.1732 * CHOOSE(CONTROL!$C$15, $D$11, 100%, $F$11)</f>
        <v>42.173200000000001</v>
      </c>
      <c r="G1036" s="8">
        <f>40.5888 * CHOOSE( CONTROL!$C$15, $D$11, 100%, $F$11)</f>
        <v>40.588799999999999</v>
      </c>
      <c r="H1036" s="4">
        <f>41.4668 * CHOOSE(CONTROL!$C$15, $D$11, 100%, $F$11)</f>
        <v>41.466799999999999</v>
      </c>
      <c r="I1036" s="8">
        <f>40.0179 * CHOOSE(CONTROL!$C$15, $D$11, 100%, $F$11)</f>
        <v>40.017899999999997</v>
      </c>
      <c r="J1036" s="4">
        <f>39.8438 * CHOOSE(CONTROL!$C$15, $D$11, 100%, $F$11)</f>
        <v>39.843800000000002</v>
      </c>
      <c r="K1036" s="4"/>
      <c r="L1036" s="9">
        <v>29.306000000000001</v>
      </c>
      <c r="M1036" s="9">
        <v>12.063700000000001</v>
      </c>
      <c r="N1036" s="9">
        <v>4.9444999999999997</v>
      </c>
      <c r="O1036" s="9">
        <v>0.37409999999999999</v>
      </c>
      <c r="P1036" s="9">
        <v>1.2927</v>
      </c>
      <c r="Q1036" s="9">
        <v>19.688099999999999</v>
      </c>
      <c r="R1036" s="9"/>
      <c r="S1036" s="11"/>
    </row>
    <row r="1037" spans="1:19" ht="15.75">
      <c r="A1037" s="13">
        <v>73081</v>
      </c>
      <c r="B1037" s="8">
        <f>42.7388 * CHOOSE(CONTROL!$C$15, $D$11, 100%, $F$11)</f>
        <v>42.738799999999998</v>
      </c>
      <c r="C1037" s="8">
        <f>42.7495 * CHOOSE(CONTROL!$C$15, $D$11, 100%, $F$11)</f>
        <v>42.749499999999998</v>
      </c>
      <c r="D1037" s="8">
        <f>42.7309 * CHOOSE( CONTROL!$C$15, $D$11, 100%, $F$11)</f>
        <v>42.730899999999998</v>
      </c>
      <c r="E1037" s="12">
        <f>42.7366 * CHOOSE( CONTROL!$C$15, $D$11, 100%, $F$11)</f>
        <v>42.736600000000003</v>
      </c>
      <c r="F1037" s="4">
        <f>43.3973 * CHOOSE(CONTROL!$C$15, $D$11, 100%, $F$11)</f>
        <v>43.397300000000001</v>
      </c>
      <c r="G1037" s="8">
        <f>41.778 * CHOOSE( CONTROL!$C$15, $D$11, 100%, $F$11)</f>
        <v>41.777999999999999</v>
      </c>
      <c r="H1037" s="4">
        <f>42.6636 * CHOOSE(CONTROL!$C$15, $D$11, 100%, $F$11)</f>
        <v>42.663600000000002</v>
      </c>
      <c r="I1037" s="8">
        <f>41.1587 * CHOOSE(CONTROL!$C$15, $D$11, 100%, $F$11)</f>
        <v>41.158700000000003</v>
      </c>
      <c r="J1037" s="4">
        <f>41.019 * CHOOSE(CONTROL!$C$15, $D$11, 100%, $F$11)</f>
        <v>41.018999999999998</v>
      </c>
      <c r="K1037" s="4"/>
      <c r="L1037" s="9">
        <v>29.306000000000001</v>
      </c>
      <c r="M1037" s="9">
        <v>12.063700000000001</v>
      </c>
      <c r="N1037" s="9">
        <v>4.9444999999999997</v>
      </c>
      <c r="O1037" s="9">
        <v>0.37409999999999999</v>
      </c>
      <c r="P1037" s="9">
        <v>1.2927</v>
      </c>
      <c r="Q1037" s="9">
        <v>19.688099999999999</v>
      </c>
      <c r="R1037" s="9"/>
      <c r="S1037" s="11"/>
    </row>
    <row r="1038" spans="1:19" ht="15.75">
      <c r="A1038" s="13">
        <v>73109</v>
      </c>
      <c r="B1038" s="8">
        <f>39.9768 * CHOOSE(CONTROL!$C$15, $D$11, 100%, $F$11)</f>
        <v>39.976799999999997</v>
      </c>
      <c r="C1038" s="8">
        <f>39.9875 * CHOOSE(CONTROL!$C$15, $D$11, 100%, $F$11)</f>
        <v>39.987499999999997</v>
      </c>
      <c r="D1038" s="8">
        <f>39.9688 * CHOOSE( CONTROL!$C$15, $D$11, 100%, $F$11)</f>
        <v>39.968800000000002</v>
      </c>
      <c r="E1038" s="12">
        <f>39.9745 * CHOOSE( CONTROL!$C$15, $D$11, 100%, $F$11)</f>
        <v>39.974499999999999</v>
      </c>
      <c r="F1038" s="4">
        <f>40.6353 * CHOOSE(CONTROL!$C$15, $D$11, 100%, $F$11)</f>
        <v>40.635300000000001</v>
      </c>
      <c r="G1038" s="8">
        <f>39.0775 * CHOOSE( CONTROL!$C$15, $D$11, 100%, $F$11)</f>
        <v>39.077500000000001</v>
      </c>
      <c r="H1038" s="4">
        <f>39.9632 * CHOOSE(CONTROL!$C$15, $D$11, 100%, $F$11)</f>
        <v>39.963200000000001</v>
      </c>
      <c r="I1038" s="8">
        <f>38.5052 * CHOOSE(CONTROL!$C$15, $D$11, 100%, $F$11)</f>
        <v>38.505200000000002</v>
      </c>
      <c r="J1038" s="4">
        <f>38.3672 * CHOOSE(CONTROL!$C$15, $D$11, 100%, $F$11)</f>
        <v>38.367199999999997</v>
      </c>
      <c r="K1038" s="4"/>
      <c r="L1038" s="9">
        <v>26.469899999999999</v>
      </c>
      <c r="M1038" s="9">
        <v>10.8962</v>
      </c>
      <c r="N1038" s="9">
        <v>4.4660000000000002</v>
      </c>
      <c r="O1038" s="9">
        <v>0.33789999999999998</v>
      </c>
      <c r="P1038" s="9">
        <v>1.1676</v>
      </c>
      <c r="Q1038" s="9">
        <v>17.782800000000002</v>
      </c>
      <c r="R1038" s="9"/>
      <c r="S1038" s="11"/>
    </row>
    <row r="1039" spans="1:19" ht="15.75">
      <c r="A1039" s="13">
        <v>73140</v>
      </c>
      <c r="B1039" s="8">
        <f>39.1261 * CHOOSE(CONTROL!$C$15, $D$11, 100%, $F$11)</f>
        <v>39.126100000000001</v>
      </c>
      <c r="C1039" s="8">
        <f>39.1368 * CHOOSE(CONTROL!$C$15, $D$11, 100%, $F$11)</f>
        <v>39.136800000000001</v>
      </c>
      <c r="D1039" s="8">
        <f>39.1176 * CHOOSE( CONTROL!$C$15, $D$11, 100%, $F$11)</f>
        <v>39.117600000000003</v>
      </c>
      <c r="E1039" s="12">
        <f>39.1235 * CHOOSE( CONTROL!$C$15, $D$11, 100%, $F$11)</f>
        <v>39.1235</v>
      </c>
      <c r="F1039" s="4">
        <f>39.7846 * CHOOSE(CONTROL!$C$15, $D$11, 100%, $F$11)</f>
        <v>39.784599999999998</v>
      </c>
      <c r="G1039" s="8">
        <f>38.2455 * CHOOSE( CONTROL!$C$15, $D$11, 100%, $F$11)</f>
        <v>38.2455</v>
      </c>
      <c r="H1039" s="4">
        <f>39.1315 * CHOOSE(CONTROL!$C$15, $D$11, 100%, $F$11)</f>
        <v>39.131500000000003</v>
      </c>
      <c r="I1039" s="8">
        <f>37.6866 * CHOOSE(CONTROL!$C$15, $D$11, 100%, $F$11)</f>
        <v>37.686599999999999</v>
      </c>
      <c r="J1039" s="4">
        <f>37.5505 * CHOOSE(CONTROL!$C$15, $D$11, 100%, $F$11)</f>
        <v>37.5505</v>
      </c>
      <c r="K1039" s="4"/>
      <c r="L1039" s="9">
        <v>29.306000000000001</v>
      </c>
      <c r="M1039" s="9">
        <v>12.063700000000001</v>
      </c>
      <c r="N1039" s="9">
        <v>4.9444999999999997</v>
      </c>
      <c r="O1039" s="9">
        <v>0.37409999999999999</v>
      </c>
      <c r="P1039" s="9">
        <v>1.2927</v>
      </c>
      <c r="Q1039" s="9">
        <v>19.688099999999999</v>
      </c>
      <c r="R1039" s="9"/>
      <c r="S1039" s="11"/>
    </row>
    <row r="1040" spans="1:19" ht="15.75">
      <c r="A1040" s="13">
        <v>73170</v>
      </c>
      <c r="B1040" s="8">
        <f>39.7205 * CHOOSE(CONTROL!$C$15, $D$11, 100%, $F$11)</f>
        <v>39.720500000000001</v>
      </c>
      <c r="C1040" s="8">
        <f>39.7313 * CHOOSE(CONTROL!$C$15, $D$11, 100%, $F$11)</f>
        <v>39.731299999999997</v>
      </c>
      <c r="D1040" s="8">
        <f>39.7682 * CHOOSE( CONTROL!$C$15, $D$11, 100%, $F$11)</f>
        <v>39.7682</v>
      </c>
      <c r="E1040" s="12">
        <f>39.7548 * CHOOSE( CONTROL!$C$15, $D$11, 100%, $F$11)</f>
        <v>39.754800000000003</v>
      </c>
      <c r="F1040" s="4">
        <f>40.4597 * CHOOSE(CONTROL!$C$15, $D$11, 100%, $F$11)</f>
        <v>40.459699999999998</v>
      </c>
      <c r="G1040" s="8">
        <f>38.8259 * CHOOSE( CONTROL!$C$15, $D$11, 100%, $F$11)</f>
        <v>38.825899999999997</v>
      </c>
      <c r="H1040" s="4">
        <f>39.7916 * CHOOSE(CONTROL!$C$15, $D$11, 100%, $F$11)</f>
        <v>39.791600000000003</v>
      </c>
      <c r="I1040" s="8">
        <f>38.2494 * CHOOSE(CONTROL!$C$15, $D$11, 100%, $F$11)</f>
        <v>38.249400000000001</v>
      </c>
      <c r="J1040" s="4">
        <f>38.1212 * CHOOSE(CONTROL!$C$15, $D$11, 100%, $F$11)</f>
        <v>38.121200000000002</v>
      </c>
      <c r="K1040" s="4"/>
      <c r="L1040" s="9">
        <v>30.092199999999998</v>
      </c>
      <c r="M1040" s="9">
        <v>11.6745</v>
      </c>
      <c r="N1040" s="9">
        <v>4.7850000000000001</v>
      </c>
      <c r="O1040" s="9">
        <v>0.36199999999999999</v>
      </c>
      <c r="P1040" s="9">
        <v>1.1791</v>
      </c>
      <c r="Q1040" s="9">
        <v>19.053000000000001</v>
      </c>
      <c r="R1040" s="9"/>
      <c r="S1040" s="11"/>
    </row>
    <row r="1041" spans="1:19" ht="15.75">
      <c r="A1041" s="13">
        <v>73201</v>
      </c>
      <c r="B1041" s="8">
        <f>CHOOSE( CONTROL!$C$32, 40.7808, 40.7784) * CHOOSE(CONTROL!$C$15, $D$11, 100%, $F$11)</f>
        <v>40.780799999999999</v>
      </c>
      <c r="C1041" s="8">
        <f>CHOOSE( CONTROL!$C$32, 40.7913, 40.7889) * CHOOSE(CONTROL!$C$15, $D$11, 100%, $F$11)</f>
        <v>40.7913</v>
      </c>
      <c r="D1041" s="8">
        <f>CHOOSE( CONTROL!$C$32, 40.8272, 40.8248) * CHOOSE( CONTROL!$C$15, $D$11, 100%, $F$11)</f>
        <v>40.827199999999998</v>
      </c>
      <c r="E1041" s="12">
        <f>CHOOSE( CONTROL!$C$32, 40.8126, 40.8102) * CHOOSE( CONTROL!$C$15, $D$11, 100%, $F$11)</f>
        <v>40.812600000000003</v>
      </c>
      <c r="F1041" s="4">
        <f>CHOOSE( CONTROL!$C$32, 41.5201, 41.5177) * CHOOSE(CONTROL!$C$15, $D$11, 100%, $F$11)</f>
        <v>41.520099999999999</v>
      </c>
      <c r="G1041" s="8">
        <f>CHOOSE( CONTROL!$C$32, 39.8631, 39.8608) * CHOOSE( CONTROL!$C$15, $D$11, 100%, $F$11)</f>
        <v>39.863100000000003</v>
      </c>
      <c r="H1041" s="4">
        <f>CHOOSE( CONTROL!$C$32, 40.8283, 40.826) * CHOOSE(CONTROL!$C$15, $D$11, 100%, $F$11)</f>
        <v>40.828299999999999</v>
      </c>
      <c r="I1041" s="8">
        <f>CHOOSE( CONTROL!$C$32, 39.2681, 39.2658) * CHOOSE(CONTROL!$C$15, $D$11, 100%, $F$11)</f>
        <v>39.268099999999997</v>
      </c>
      <c r="J1041" s="4">
        <f>CHOOSE( CONTROL!$C$32, 39.1393, 39.137) * CHOOSE(CONTROL!$C$15, $D$11, 100%, $F$11)</f>
        <v>39.139299999999999</v>
      </c>
      <c r="K1041" s="4"/>
      <c r="L1041" s="9">
        <v>30.7165</v>
      </c>
      <c r="M1041" s="9">
        <v>12.063700000000001</v>
      </c>
      <c r="N1041" s="9">
        <v>4.9444999999999997</v>
      </c>
      <c r="O1041" s="9">
        <v>0.37409999999999999</v>
      </c>
      <c r="P1041" s="9">
        <v>1.2183999999999999</v>
      </c>
      <c r="Q1041" s="9">
        <v>19.688099999999999</v>
      </c>
      <c r="R1041" s="9"/>
      <c r="S1041" s="11"/>
    </row>
    <row r="1042" spans="1:19" ht="15.75">
      <c r="A1042" s="13">
        <v>73231</v>
      </c>
      <c r="B1042" s="8">
        <f>CHOOSE( CONTROL!$C$32, 40.1254, 40.123) * CHOOSE(CONTROL!$C$15, $D$11, 100%, $F$11)</f>
        <v>40.125399999999999</v>
      </c>
      <c r="C1042" s="8">
        <f>CHOOSE( CONTROL!$C$32, 40.1359, 40.1335) * CHOOSE(CONTROL!$C$15, $D$11, 100%, $F$11)</f>
        <v>40.135899999999999</v>
      </c>
      <c r="D1042" s="8">
        <f>CHOOSE( CONTROL!$C$32, 40.172, 40.1696) * CHOOSE( CONTROL!$C$15, $D$11, 100%, $F$11)</f>
        <v>40.171999999999997</v>
      </c>
      <c r="E1042" s="12">
        <f>CHOOSE( CONTROL!$C$32, 40.1573, 40.1549) * CHOOSE( CONTROL!$C$15, $D$11, 100%, $F$11)</f>
        <v>40.157299999999999</v>
      </c>
      <c r="F1042" s="4">
        <f>CHOOSE( CONTROL!$C$32, 40.8647, 40.8623) * CHOOSE(CONTROL!$C$15, $D$11, 100%, $F$11)</f>
        <v>40.864699999999999</v>
      </c>
      <c r="G1042" s="8">
        <f>CHOOSE( CONTROL!$C$32, 39.2226, 39.2203) * CHOOSE( CONTROL!$C$15, $D$11, 100%, $F$11)</f>
        <v>39.2226</v>
      </c>
      <c r="H1042" s="4">
        <f>CHOOSE( CONTROL!$C$32, 40.1875, 40.1852) * CHOOSE(CONTROL!$C$15, $D$11, 100%, $F$11)</f>
        <v>40.1875</v>
      </c>
      <c r="I1042" s="8">
        <f>CHOOSE( CONTROL!$C$32, 38.6395, 38.6372) * CHOOSE(CONTROL!$C$15, $D$11, 100%, $F$11)</f>
        <v>38.639499999999998</v>
      </c>
      <c r="J1042" s="4">
        <f>CHOOSE( CONTROL!$C$32, 38.51, 38.5077) * CHOOSE(CONTROL!$C$15, $D$11, 100%, $F$11)</f>
        <v>38.51</v>
      </c>
      <c r="K1042" s="4"/>
      <c r="L1042" s="9">
        <v>29.7257</v>
      </c>
      <c r="M1042" s="9">
        <v>11.6745</v>
      </c>
      <c r="N1042" s="9">
        <v>4.7850000000000001</v>
      </c>
      <c r="O1042" s="9">
        <v>0.36199999999999999</v>
      </c>
      <c r="P1042" s="9">
        <v>1.1791</v>
      </c>
      <c r="Q1042" s="9">
        <v>19.053000000000001</v>
      </c>
      <c r="R1042" s="9"/>
      <c r="S1042" s="11"/>
    </row>
    <row r="1043" spans="1:19" ht="15.75">
      <c r="A1043" s="13">
        <v>73262</v>
      </c>
      <c r="B1043" s="8">
        <f>CHOOSE( CONTROL!$C$32, 41.8512, 41.8488) * CHOOSE(CONTROL!$C$15, $D$11, 100%, $F$11)</f>
        <v>41.851199999999999</v>
      </c>
      <c r="C1043" s="8">
        <f>CHOOSE( CONTROL!$C$32, 41.8618, 41.8594) * CHOOSE(CONTROL!$C$15, $D$11, 100%, $F$11)</f>
        <v>41.861800000000002</v>
      </c>
      <c r="D1043" s="8">
        <f>CHOOSE( CONTROL!$C$32, 41.898, 41.8957) * CHOOSE( CONTROL!$C$15, $D$11, 100%, $F$11)</f>
        <v>41.898000000000003</v>
      </c>
      <c r="E1043" s="12">
        <f>CHOOSE( CONTROL!$C$32, 41.8833, 41.8809) * CHOOSE( CONTROL!$C$15, $D$11, 100%, $F$11)</f>
        <v>41.883299999999998</v>
      </c>
      <c r="F1043" s="4">
        <f>CHOOSE( CONTROL!$C$32, 42.5906, 42.5882) * CHOOSE(CONTROL!$C$15, $D$11, 100%, $F$11)</f>
        <v>42.590600000000002</v>
      </c>
      <c r="G1043" s="8">
        <f>CHOOSE( CONTROL!$C$32, 40.9103, 40.908) * CHOOSE( CONTROL!$C$15, $D$11, 100%, $F$11)</f>
        <v>40.910299999999999</v>
      </c>
      <c r="H1043" s="4">
        <f>CHOOSE( CONTROL!$C$32, 41.8749, 41.8726) * CHOOSE(CONTROL!$C$15, $D$11, 100%, $F$11)</f>
        <v>41.874899999999997</v>
      </c>
      <c r="I1043" s="8">
        <f>CHOOSE( CONTROL!$C$32, 40.2983, 40.296) * CHOOSE(CONTROL!$C$15, $D$11, 100%, $F$11)</f>
        <v>40.298299999999998</v>
      </c>
      <c r="J1043" s="4">
        <f>CHOOSE( CONTROL!$C$32, 40.167, 40.1647) * CHOOSE(CONTROL!$C$15, $D$11, 100%, $F$11)</f>
        <v>40.167000000000002</v>
      </c>
      <c r="K1043" s="4"/>
      <c r="L1043" s="9">
        <v>30.7165</v>
      </c>
      <c r="M1043" s="9">
        <v>12.063700000000001</v>
      </c>
      <c r="N1043" s="9">
        <v>4.9444999999999997</v>
      </c>
      <c r="O1043" s="9">
        <v>0.37409999999999999</v>
      </c>
      <c r="P1043" s="9">
        <v>1.2183999999999999</v>
      </c>
      <c r="Q1043" s="9">
        <v>19.688099999999999</v>
      </c>
      <c r="R1043" s="9"/>
      <c r="S1043" s="11"/>
    </row>
    <row r="1044" spans="1:19" ht="15.75">
      <c r="A1044" s="13">
        <v>73293</v>
      </c>
      <c r="B1044" s="8">
        <f>CHOOSE( CONTROL!$C$32, 38.622, 38.6196) * CHOOSE(CONTROL!$C$15, $D$11, 100%, $F$11)</f>
        <v>38.622</v>
      </c>
      <c r="C1044" s="8">
        <f>CHOOSE( CONTROL!$C$32, 38.6325, 38.6301) * CHOOSE(CONTROL!$C$15, $D$11, 100%, $F$11)</f>
        <v>38.6325</v>
      </c>
      <c r="D1044" s="8">
        <f>CHOOSE( CONTROL!$C$32, 38.6688, 38.6664) * CHOOSE( CONTROL!$C$15, $D$11, 100%, $F$11)</f>
        <v>38.668799999999997</v>
      </c>
      <c r="E1044" s="12">
        <f>CHOOSE( CONTROL!$C$32, 38.654, 38.6516) * CHOOSE( CONTROL!$C$15, $D$11, 100%, $F$11)</f>
        <v>38.654000000000003</v>
      </c>
      <c r="F1044" s="4">
        <f>CHOOSE( CONTROL!$C$32, 39.3613, 39.3589) * CHOOSE(CONTROL!$C$15, $D$11, 100%, $F$11)</f>
        <v>39.3613</v>
      </c>
      <c r="G1044" s="8">
        <f>CHOOSE( CONTROL!$C$32, 37.7532, 37.7508) * CHOOSE( CONTROL!$C$15, $D$11, 100%, $F$11)</f>
        <v>37.7532</v>
      </c>
      <c r="H1044" s="4">
        <f>CHOOSE( CONTROL!$C$32, 38.7176, 38.7153) * CHOOSE(CONTROL!$C$15, $D$11, 100%, $F$11)</f>
        <v>38.717599999999997</v>
      </c>
      <c r="I1044" s="8">
        <f>CHOOSE( CONTROL!$C$32, 37.1966, 37.1943) * CHOOSE(CONTROL!$C$15, $D$11, 100%, $F$11)</f>
        <v>37.196599999999997</v>
      </c>
      <c r="J1044" s="4">
        <f>CHOOSE( CONTROL!$C$32, 37.0666, 37.0643) * CHOOSE(CONTROL!$C$15, $D$11, 100%, $F$11)</f>
        <v>37.066600000000001</v>
      </c>
      <c r="K1044" s="4"/>
      <c r="L1044" s="9">
        <v>30.7165</v>
      </c>
      <c r="M1044" s="9">
        <v>12.063700000000001</v>
      </c>
      <c r="N1044" s="9">
        <v>4.9444999999999997</v>
      </c>
      <c r="O1044" s="9">
        <v>0.37409999999999999</v>
      </c>
      <c r="P1044" s="9">
        <v>1.2183999999999999</v>
      </c>
      <c r="Q1044" s="9">
        <v>19.688099999999999</v>
      </c>
      <c r="R1044" s="9"/>
      <c r="S1044" s="11"/>
    </row>
    <row r="1045" spans="1:19" ht="15.75">
      <c r="A1045" s="13">
        <v>73323</v>
      </c>
      <c r="B1045" s="8">
        <f>CHOOSE( CONTROL!$C$32, 37.8133, 37.8109) * CHOOSE(CONTROL!$C$15, $D$11, 100%, $F$11)</f>
        <v>37.813299999999998</v>
      </c>
      <c r="C1045" s="8">
        <f>CHOOSE( CONTROL!$C$32, 37.8239, 37.8215) * CHOOSE(CONTROL!$C$15, $D$11, 100%, $F$11)</f>
        <v>37.823900000000002</v>
      </c>
      <c r="D1045" s="8">
        <f>CHOOSE( CONTROL!$C$32, 37.8601, 37.8577) * CHOOSE( CONTROL!$C$15, $D$11, 100%, $F$11)</f>
        <v>37.860100000000003</v>
      </c>
      <c r="E1045" s="12">
        <f>CHOOSE( CONTROL!$C$32, 37.8454, 37.843) * CHOOSE( CONTROL!$C$15, $D$11, 100%, $F$11)</f>
        <v>37.845399999999998</v>
      </c>
      <c r="F1045" s="4">
        <f>CHOOSE( CONTROL!$C$32, 38.5527, 38.5503) * CHOOSE(CONTROL!$C$15, $D$11, 100%, $F$11)</f>
        <v>38.552700000000002</v>
      </c>
      <c r="G1045" s="8">
        <f>CHOOSE( CONTROL!$C$32, 36.9624, 36.9601) * CHOOSE( CONTROL!$C$15, $D$11, 100%, $F$11)</f>
        <v>36.962400000000002</v>
      </c>
      <c r="H1045" s="4">
        <f>CHOOSE( CONTROL!$C$32, 37.927, 37.9247) * CHOOSE(CONTROL!$C$15, $D$11, 100%, $F$11)</f>
        <v>37.927</v>
      </c>
      <c r="I1045" s="8">
        <f>CHOOSE( CONTROL!$C$32, 36.4195, 36.4172) * CHOOSE(CONTROL!$C$15, $D$11, 100%, $F$11)</f>
        <v>36.419499999999999</v>
      </c>
      <c r="J1045" s="4">
        <f>CHOOSE( CONTROL!$C$32, 36.2902, 36.2879) * CHOOSE(CONTROL!$C$15, $D$11, 100%, $F$11)</f>
        <v>36.290199999999999</v>
      </c>
      <c r="K1045" s="4"/>
      <c r="L1045" s="9">
        <v>29.7257</v>
      </c>
      <c r="M1045" s="9">
        <v>11.6745</v>
      </c>
      <c r="N1045" s="9">
        <v>4.7850000000000001</v>
      </c>
      <c r="O1045" s="9">
        <v>0.36199999999999999</v>
      </c>
      <c r="P1045" s="9">
        <v>1.1791</v>
      </c>
      <c r="Q1045" s="9">
        <v>19.053000000000001</v>
      </c>
      <c r="R1045" s="9"/>
      <c r="S1045" s="11"/>
    </row>
    <row r="1046" spans="1:19" ht="15.75">
      <c r="A1046" s="13">
        <v>73354</v>
      </c>
      <c r="B1046" s="8">
        <f>39.4901 * CHOOSE(CONTROL!$C$15, $D$11, 100%, $F$11)</f>
        <v>39.490099999999998</v>
      </c>
      <c r="C1046" s="8">
        <f>39.5008 * CHOOSE(CONTROL!$C$15, $D$11, 100%, $F$11)</f>
        <v>39.500799999999998</v>
      </c>
      <c r="D1046" s="8">
        <f>39.5384 * CHOOSE( CONTROL!$C$15, $D$11, 100%, $F$11)</f>
        <v>39.538400000000003</v>
      </c>
      <c r="E1046" s="12">
        <f>39.5248 * CHOOSE( CONTROL!$C$15, $D$11, 100%, $F$11)</f>
        <v>39.524799999999999</v>
      </c>
      <c r="F1046" s="4">
        <f>40.2293 * CHOOSE(CONTROL!$C$15, $D$11, 100%, $F$11)</f>
        <v>40.229300000000002</v>
      </c>
      <c r="G1046" s="8">
        <f>38.6014 * CHOOSE( CONTROL!$C$15, $D$11, 100%, $F$11)</f>
        <v>38.601399999999998</v>
      </c>
      <c r="H1046" s="4">
        <f>39.5663 * CHOOSE(CONTROL!$C$15, $D$11, 100%, $F$11)</f>
        <v>39.566299999999998</v>
      </c>
      <c r="I1046" s="8">
        <f>38.0308 * CHOOSE(CONTROL!$C$15, $D$11, 100%, $F$11)</f>
        <v>38.030799999999999</v>
      </c>
      <c r="J1046" s="4">
        <f>37.9 * CHOOSE(CONTROL!$C$15, $D$11, 100%, $F$11)</f>
        <v>37.9</v>
      </c>
      <c r="K1046" s="4"/>
      <c r="L1046" s="9">
        <v>31.095300000000002</v>
      </c>
      <c r="M1046" s="9">
        <v>12.063700000000001</v>
      </c>
      <c r="N1046" s="9">
        <v>4.9444999999999997</v>
      </c>
      <c r="O1046" s="9">
        <v>0.37409999999999999</v>
      </c>
      <c r="P1046" s="9">
        <v>1.2183999999999999</v>
      </c>
      <c r="Q1046" s="9">
        <v>19.688099999999999</v>
      </c>
      <c r="R1046" s="9"/>
      <c r="S1046" s="11"/>
    </row>
    <row r="1047" spans="1:19" ht="15.75">
      <c r="A1047" s="13">
        <v>73384</v>
      </c>
      <c r="B1047" s="8">
        <f>42.5892 * CHOOSE(CONTROL!$C$15, $D$11, 100%, $F$11)</f>
        <v>42.589199999999998</v>
      </c>
      <c r="C1047" s="8">
        <f>42.6 * CHOOSE(CONTROL!$C$15, $D$11, 100%, $F$11)</f>
        <v>42.6</v>
      </c>
      <c r="D1047" s="8">
        <f>42.5828 * CHOOSE( CONTROL!$C$15, $D$11, 100%, $F$11)</f>
        <v>42.582799999999999</v>
      </c>
      <c r="E1047" s="12">
        <f>42.5879 * CHOOSE( CONTROL!$C$15, $D$11, 100%, $F$11)</f>
        <v>42.587899999999998</v>
      </c>
      <c r="F1047" s="4">
        <f>43.2477 * CHOOSE(CONTROL!$C$15, $D$11, 100%, $F$11)</f>
        <v>43.247700000000002</v>
      </c>
      <c r="G1047" s="8">
        <f>41.6381 * CHOOSE( CONTROL!$C$15, $D$11, 100%, $F$11)</f>
        <v>41.638100000000001</v>
      </c>
      <c r="H1047" s="4">
        <f>42.5174 * CHOOSE(CONTROL!$C$15, $D$11, 100%, $F$11)</f>
        <v>42.517400000000002</v>
      </c>
      <c r="I1047" s="8">
        <f>41.0449 * CHOOSE(CONTROL!$C$15, $D$11, 100%, $F$11)</f>
        <v>41.044899999999998</v>
      </c>
      <c r="J1047" s="4">
        <f>40.8755 * CHOOSE(CONTROL!$C$15, $D$11, 100%, $F$11)</f>
        <v>40.875500000000002</v>
      </c>
      <c r="K1047" s="4"/>
      <c r="L1047" s="9">
        <v>28.360600000000002</v>
      </c>
      <c r="M1047" s="9">
        <v>11.6745</v>
      </c>
      <c r="N1047" s="9">
        <v>4.7850000000000001</v>
      </c>
      <c r="O1047" s="9">
        <v>0.36199999999999999</v>
      </c>
      <c r="P1047" s="9">
        <v>1.2509999999999999</v>
      </c>
      <c r="Q1047" s="9">
        <v>19.053000000000001</v>
      </c>
      <c r="R1047" s="9"/>
      <c r="S1047" s="11"/>
    </row>
    <row r="1048" spans="1:19" ht="15.75">
      <c r="A1048" s="13">
        <v>73415</v>
      </c>
      <c r="B1048" s="8">
        <f>42.5118 * CHOOSE(CONTROL!$C$15, $D$11, 100%, $F$11)</f>
        <v>42.511800000000001</v>
      </c>
      <c r="C1048" s="8">
        <f>42.5226 * CHOOSE(CONTROL!$C$15, $D$11, 100%, $F$11)</f>
        <v>42.522599999999997</v>
      </c>
      <c r="D1048" s="8">
        <f>42.507 * CHOOSE( CONTROL!$C$15, $D$11, 100%, $F$11)</f>
        <v>42.506999999999998</v>
      </c>
      <c r="E1048" s="12">
        <f>42.5116 * CHOOSE( CONTROL!$C$15, $D$11, 100%, $F$11)</f>
        <v>42.511600000000001</v>
      </c>
      <c r="F1048" s="4">
        <f>43.1703 * CHOOSE(CONTROL!$C$15, $D$11, 100%, $F$11)</f>
        <v>43.170299999999997</v>
      </c>
      <c r="G1048" s="8">
        <f>41.5637 * CHOOSE( CONTROL!$C$15, $D$11, 100%, $F$11)</f>
        <v>41.563699999999997</v>
      </c>
      <c r="H1048" s="4">
        <f>42.4417 * CHOOSE(CONTROL!$C$15, $D$11, 100%, $F$11)</f>
        <v>42.441699999999997</v>
      </c>
      <c r="I1048" s="8">
        <f>40.9758 * CHOOSE(CONTROL!$C$15, $D$11, 100%, $F$11)</f>
        <v>40.9758</v>
      </c>
      <c r="J1048" s="4">
        <f>40.8011 * CHOOSE(CONTROL!$C$15, $D$11, 100%, $F$11)</f>
        <v>40.801099999999998</v>
      </c>
      <c r="K1048" s="4"/>
      <c r="L1048" s="9">
        <v>29.306000000000001</v>
      </c>
      <c r="M1048" s="9">
        <v>12.063700000000001</v>
      </c>
      <c r="N1048" s="9">
        <v>4.9444999999999997</v>
      </c>
      <c r="O1048" s="9">
        <v>0.37409999999999999</v>
      </c>
      <c r="P1048" s="9">
        <v>1.2927</v>
      </c>
      <c r="Q1048" s="9">
        <v>19.688099999999999</v>
      </c>
      <c r="R1048" s="9"/>
      <c r="S1048" s="11"/>
    </row>
    <row r="1049" spans="1:19">
      <c r="A1049" s="10"/>
      <c r="F1049" s="1"/>
      <c r="H1049" s="1"/>
      <c r="Q1049" s="9"/>
    </row>
    <row r="1050" spans="1:19" ht="15" customHeight="1">
      <c r="A1050" s="3">
        <v>2015</v>
      </c>
      <c r="B1050" s="8">
        <f t="shared" ref="B1050:H1050" si="1">AVERAGE(B17:B28)</f>
        <v>2.9729666666666663</v>
      </c>
      <c r="C1050" s="8">
        <f t="shared" si="1"/>
        <v>2.9836583333333331</v>
      </c>
      <c r="D1050" s="8">
        <f t="shared" si="1"/>
        <v>2.9776833333333337</v>
      </c>
      <c r="E1050" s="8">
        <f t="shared" si="1"/>
        <v>2.9784249999999997</v>
      </c>
      <c r="F1050" s="4">
        <f t="shared" si="1"/>
        <v>3.6591083333333336</v>
      </c>
      <c r="G1050" s="8">
        <f t="shared" si="1"/>
        <v>2.8984749999999999</v>
      </c>
      <c r="H1050" s="4">
        <f t="shared" si="1"/>
        <v>3.811633333333333</v>
      </c>
      <c r="I1050" s="8"/>
      <c r="J1050" s="4">
        <f>AVERAGE(J17:J28)</f>
        <v>2.8399583333333336</v>
      </c>
      <c r="K1050" s="4">
        <f>AVERAGE(K17:K28)</f>
        <v>2.9028583333333331</v>
      </c>
      <c r="L1050" s="5">
        <f>SUM(L17:L28)</f>
        <v>369.27089999999998</v>
      </c>
      <c r="M1050" s="5">
        <f>SUM(M17:M28)</f>
        <v>142.0401</v>
      </c>
      <c r="N1050" s="5">
        <f>SUM(N17:N28)</f>
        <v>58.217499999999994</v>
      </c>
      <c r="O1050" s="5">
        <f>SUM(O17:O28)</f>
        <v>7.2496000000000018</v>
      </c>
      <c r="P1050" s="5">
        <f>SUM(P17:P28)</f>
        <v>14.046099999999997</v>
      </c>
      <c r="Q1050" s="5"/>
      <c r="R1050" s="5">
        <f>SUM(R17:R28)</f>
        <v>3.5999999999999992</v>
      </c>
      <c r="S1050" s="5">
        <f>SUM(S17:S28)</f>
        <v>12.811500000000002</v>
      </c>
    </row>
    <row r="1051" spans="1:19" ht="15" customHeight="1">
      <c r="A1051" s="3">
        <v>2016</v>
      </c>
      <c r="B1051" s="8">
        <f t="shared" ref="B1051:H1051" si="2">AVERAGE(B29:B40)</f>
        <v>3.2611500000000002</v>
      </c>
      <c r="C1051" s="8">
        <f t="shared" si="2"/>
        <v>3.2718249999999998</v>
      </c>
      <c r="D1051" s="8">
        <f t="shared" si="2"/>
        <v>3.2726749999999996</v>
      </c>
      <c r="E1051" s="8">
        <f t="shared" si="2"/>
        <v>3.2713250000000005</v>
      </c>
      <c r="F1051" s="4">
        <f t="shared" si="2"/>
        <v>3.966791666666666</v>
      </c>
      <c r="G1051" s="8">
        <f t="shared" si="2"/>
        <v>3.1821666666666668</v>
      </c>
      <c r="H1051" s="4">
        <f t="shared" si="2"/>
        <v>4.112474999999999</v>
      </c>
      <c r="I1051" s="8"/>
      <c r="J1051" s="4">
        <f>AVERAGE(J29:J40)</f>
        <v>3.1166250000000004</v>
      </c>
      <c r="K1051" s="5"/>
      <c r="L1051" s="5">
        <f>SUM(L29:L40)</f>
        <v>371.47629999999998</v>
      </c>
      <c r="M1051" s="5">
        <f>SUM(M29:M40)</f>
        <v>142.42920000000001</v>
      </c>
      <c r="N1051" s="5">
        <f>SUM(N29:N40)</f>
        <v>58.377000000000002</v>
      </c>
      <c r="O1051" s="5">
        <f>SUM(O29:O40)</f>
        <v>5.3597999999999999</v>
      </c>
      <c r="P1051" s="5">
        <f>SUM(P29:P40)</f>
        <v>17.840799999999998</v>
      </c>
      <c r="Q1051" s="5"/>
      <c r="R1051" s="5">
        <f>SUM(R29:R40)</f>
        <v>3.5999999999999992</v>
      </c>
      <c r="S1051" s="5"/>
    </row>
    <row r="1052" spans="1:19" ht="15" customHeight="1">
      <c r="A1052" s="3">
        <v>2017</v>
      </c>
      <c r="B1052" s="8">
        <f t="shared" ref="B1052:J1052" si="3">AVERAGE(B41:B52)</f>
        <v>3.5056583333333329</v>
      </c>
      <c r="C1052" s="8">
        <f t="shared" si="3"/>
        <v>3.5163249999999997</v>
      </c>
      <c r="D1052" s="8">
        <f t="shared" si="3"/>
        <v>3.5146416666666673</v>
      </c>
      <c r="E1052" s="8">
        <f t="shared" si="3"/>
        <v>3.514008333333333</v>
      </c>
      <c r="F1052" s="4">
        <f t="shared" si="3"/>
        <v>4.2112916666666669</v>
      </c>
      <c r="G1052" s="8">
        <f t="shared" si="3"/>
        <v>3.4207916666666667</v>
      </c>
      <c r="H1052" s="4">
        <f t="shared" si="3"/>
        <v>4.3515333333333324</v>
      </c>
      <c r="I1052" s="8">
        <f t="shared" si="3"/>
        <v>3.4724333333333335</v>
      </c>
      <c r="J1052" s="4">
        <f t="shared" si="3"/>
        <v>3.3513750000000004</v>
      </c>
      <c r="K1052" s="4"/>
      <c r="L1052" s="5">
        <f t="shared" ref="L1052:Q1052" si="4">SUM(L41:L52)</f>
        <v>355.53689999999995</v>
      </c>
      <c r="M1052" s="5">
        <f t="shared" si="4"/>
        <v>142.0401</v>
      </c>
      <c r="N1052" s="5">
        <f t="shared" si="4"/>
        <v>58.217499999999994</v>
      </c>
      <c r="O1052" s="5">
        <f t="shared" si="4"/>
        <v>4.4046000000000003</v>
      </c>
      <c r="P1052" s="5">
        <f t="shared" si="4"/>
        <v>20.805900000000001</v>
      </c>
      <c r="Q1052" s="5">
        <f t="shared" si="4"/>
        <v>198.18529999999998</v>
      </c>
      <c r="R1052" s="5"/>
      <c r="S1052" s="4"/>
    </row>
    <row r="1053" spans="1:19" ht="15" customHeight="1">
      <c r="A1053" s="3">
        <v>2018</v>
      </c>
      <c r="B1053" s="8">
        <f t="shared" ref="B1053:J1053" si="5">AVERAGE(B53:B64)</f>
        <v>4.0179</v>
      </c>
      <c r="C1053" s="8">
        <f t="shared" si="5"/>
        <v>4.0285583333333337</v>
      </c>
      <c r="D1053" s="8">
        <f t="shared" si="5"/>
        <v>4.0423916666666662</v>
      </c>
      <c r="E1053" s="8">
        <f t="shared" si="5"/>
        <v>4.0362499999999999</v>
      </c>
      <c r="F1053" s="4">
        <f t="shared" si="5"/>
        <v>4.7235583333333331</v>
      </c>
      <c r="G1053" s="8">
        <f t="shared" si="5"/>
        <v>3.9215999999999998</v>
      </c>
      <c r="H1053" s="4">
        <f t="shared" si="5"/>
        <v>4.8523500000000004</v>
      </c>
      <c r="I1053" s="8">
        <f t="shared" si="5"/>
        <v>3.9644916666666661</v>
      </c>
      <c r="J1053" s="4">
        <f t="shared" si="5"/>
        <v>3.8431833333333327</v>
      </c>
      <c r="K1053" s="4"/>
      <c r="L1053" s="5">
        <f t="shared" ref="L1053:Q1053" si="6">SUM(L53:L64)</f>
        <v>355.53689999999995</v>
      </c>
      <c r="M1053" s="5">
        <f t="shared" si="6"/>
        <v>142.0401</v>
      </c>
      <c r="N1053" s="5">
        <f t="shared" si="6"/>
        <v>58.217499999999994</v>
      </c>
      <c r="O1053" s="5">
        <f t="shared" si="6"/>
        <v>4.4046000000000003</v>
      </c>
      <c r="P1053" s="5">
        <f t="shared" si="6"/>
        <v>14.707600000000001</v>
      </c>
      <c r="Q1053" s="5">
        <f t="shared" si="6"/>
        <v>293.19730000000004</v>
      </c>
      <c r="R1053" s="5"/>
      <c r="S1053" s="4"/>
    </row>
    <row r="1054" spans="1:19" ht="15" customHeight="1">
      <c r="A1054" s="3">
        <v>2019</v>
      </c>
      <c r="B1054" s="8">
        <f t="shared" ref="B1054:J1054" si="7">AVERAGE(B65:B76)</f>
        <v>4.2306499999999998</v>
      </c>
      <c r="C1054" s="8">
        <f t="shared" si="7"/>
        <v>4.2413083333333335</v>
      </c>
      <c r="D1054" s="8">
        <f t="shared" si="7"/>
        <v>4.2551333333333332</v>
      </c>
      <c r="E1054" s="8">
        <f t="shared" si="7"/>
        <v>4.2490083333333333</v>
      </c>
      <c r="F1054" s="4">
        <f t="shared" si="7"/>
        <v>4.9362916666666665</v>
      </c>
      <c r="G1054" s="8">
        <f t="shared" si="7"/>
        <v>4.1295999999999999</v>
      </c>
      <c r="H1054" s="4">
        <f t="shared" si="7"/>
        <v>5.0603416666666661</v>
      </c>
      <c r="I1054" s="8">
        <f t="shared" si="7"/>
        <v>4.1688499999999999</v>
      </c>
      <c r="J1054" s="4">
        <f t="shared" si="7"/>
        <v>4.0474249999999996</v>
      </c>
      <c r="K1054" s="4"/>
      <c r="L1054" s="5">
        <f t="shared" ref="L1054:Q1054" si="8">SUM(L65:L76)</f>
        <v>355.53689999999995</v>
      </c>
      <c r="M1054" s="5">
        <f t="shared" si="8"/>
        <v>142.0401</v>
      </c>
      <c r="N1054" s="5">
        <f t="shared" si="8"/>
        <v>58.217499999999994</v>
      </c>
      <c r="O1054" s="5">
        <f t="shared" si="8"/>
        <v>4.4046000000000003</v>
      </c>
      <c r="P1054" s="5">
        <f t="shared" si="8"/>
        <v>14.707600000000001</v>
      </c>
      <c r="Q1054" s="5">
        <f t="shared" si="8"/>
        <v>290.24799999999999</v>
      </c>
      <c r="R1054" s="5"/>
      <c r="S1054" s="4"/>
    </row>
    <row r="1055" spans="1:19" ht="15" customHeight="1">
      <c r="A1055" s="3">
        <v>2020</v>
      </c>
      <c r="B1055" s="8">
        <f t="shared" ref="B1055:J1055" si="9">AVERAGE(B77:B88)</f>
        <v>5.2235666666666667</v>
      </c>
      <c r="C1055" s="8">
        <f t="shared" si="9"/>
        <v>5.2342333333333331</v>
      </c>
      <c r="D1055" s="8">
        <f t="shared" si="9"/>
        <v>5.2480666666666664</v>
      </c>
      <c r="E1055" s="8">
        <f t="shared" si="9"/>
        <v>5.2419250000000002</v>
      </c>
      <c r="F1055" s="4">
        <f t="shared" si="9"/>
        <v>5.9292083333333343</v>
      </c>
      <c r="G1055" s="8">
        <f t="shared" si="9"/>
        <v>5.1003749999999997</v>
      </c>
      <c r="H1055" s="4">
        <f t="shared" si="9"/>
        <v>6.0311083333333331</v>
      </c>
      <c r="I1055" s="8">
        <f t="shared" si="9"/>
        <v>5.1226333333333338</v>
      </c>
      <c r="J1055" s="4">
        <f t="shared" si="9"/>
        <v>5.000725000000001</v>
      </c>
      <c r="K1055" s="4"/>
      <c r="L1055" s="5">
        <f t="shared" ref="L1055:Q1055" si="10">SUM(L77:L88)</f>
        <v>356.48229999999995</v>
      </c>
      <c r="M1055" s="5">
        <f t="shared" si="10"/>
        <v>142.42920000000001</v>
      </c>
      <c r="N1055" s="5">
        <f t="shared" si="10"/>
        <v>58.377000000000002</v>
      </c>
      <c r="O1055" s="5">
        <f t="shared" si="10"/>
        <v>4.4165999999999999</v>
      </c>
      <c r="P1055" s="5">
        <f t="shared" si="10"/>
        <v>14.7493</v>
      </c>
      <c r="Q1055" s="5">
        <f t="shared" si="10"/>
        <v>349.04309999999998</v>
      </c>
      <c r="R1055" s="5"/>
      <c r="S1055" s="4"/>
    </row>
    <row r="1056" spans="1:19" ht="15" customHeight="1">
      <c r="A1056" s="3">
        <v>2021</v>
      </c>
      <c r="B1056" s="8">
        <f t="shared" ref="B1056:J1056" si="11">AVERAGE(B89:B100)</f>
        <v>5.632766666666666</v>
      </c>
      <c r="C1056" s="8">
        <f t="shared" si="11"/>
        <v>5.6434333333333333</v>
      </c>
      <c r="D1056" s="8">
        <f t="shared" si="11"/>
        <v>5.6572499999999986</v>
      </c>
      <c r="E1056" s="8">
        <f t="shared" si="11"/>
        <v>5.6511250000000004</v>
      </c>
      <c r="F1056" s="4">
        <f t="shared" si="11"/>
        <v>6.3384250000000009</v>
      </c>
      <c r="G1056" s="8">
        <f t="shared" si="11"/>
        <v>5.5004583333333334</v>
      </c>
      <c r="H1056" s="4">
        <f t="shared" si="11"/>
        <v>6.4312000000000005</v>
      </c>
      <c r="I1056" s="8">
        <f t="shared" si="11"/>
        <v>5.5156833333333326</v>
      </c>
      <c r="J1056" s="4">
        <f t="shared" si="11"/>
        <v>5.3936166666666665</v>
      </c>
      <c r="K1056" s="4"/>
      <c r="L1056" s="5">
        <f t="shared" ref="L1056:Q1056" si="12">SUM(L89:L100)</f>
        <v>355.53689999999995</v>
      </c>
      <c r="M1056" s="5">
        <f t="shared" si="12"/>
        <v>142.0401</v>
      </c>
      <c r="N1056" s="5">
        <f t="shared" si="12"/>
        <v>58.217499999999994</v>
      </c>
      <c r="O1056" s="5">
        <f t="shared" si="12"/>
        <v>4.4046000000000003</v>
      </c>
      <c r="P1056" s="5">
        <f t="shared" si="12"/>
        <v>14.707600000000001</v>
      </c>
      <c r="Q1056" s="5">
        <f t="shared" si="12"/>
        <v>388.68129999999996</v>
      </c>
      <c r="R1056" s="5"/>
      <c r="S1056" s="4"/>
    </row>
    <row r="1057" spans="1:19" ht="15" customHeight="1">
      <c r="A1057" s="3">
        <v>2022</v>
      </c>
      <c r="B1057" s="8">
        <f t="shared" ref="B1057:J1057" si="13">AVERAGE(B101:B112)</f>
        <v>5.9379583333333334</v>
      </c>
      <c r="C1057" s="8">
        <f t="shared" si="13"/>
        <v>5.9485999999999999</v>
      </c>
      <c r="D1057" s="8">
        <f t="shared" si="13"/>
        <v>5.9624416666666669</v>
      </c>
      <c r="E1057" s="8">
        <f t="shared" si="13"/>
        <v>5.9562999999999988</v>
      </c>
      <c r="F1057" s="4">
        <f t="shared" si="13"/>
        <v>6.6435916666666683</v>
      </c>
      <c r="G1057" s="8">
        <f t="shared" si="13"/>
        <v>5.7988333333333335</v>
      </c>
      <c r="H1057" s="4">
        <f t="shared" si="13"/>
        <v>6.729566666666666</v>
      </c>
      <c r="I1057" s="8">
        <f t="shared" si="13"/>
        <v>5.808841666666666</v>
      </c>
      <c r="J1057" s="4">
        <f t="shared" si="13"/>
        <v>5.6866166666666667</v>
      </c>
      <c r="K1057" s="4"/>
      <c r="L1057" s="5">
        <f t="shared" ref="L1057:Q1057" si="14">SUM(L101:L112)</f>
        <v>355.53689999999995</v>
      </c>
      <c r="M1057" s="5">
        <f t="shared" si="14"/>
        <v>142.0401</v>
      </c>
      <c r="N1057" s="5">
        <f t="shared" si="14"/>
        <v>58.217499999999994</v>
      </c>
      <c r="O1057" s="5">
        <f t="shared" si="14"/>
        <v>4.4046000000000003</v>
      </c>
      <c r="P1057" s="5">
        <f t="shared" si="14"/>
        <v>14.707600000000001</v>
      </c>
      <c r="Q1057" s="5">
        <f t="shared" si="14"/>
        <v>386.33820000000003</v>
      </c>
      <c r="R1057" s="5"/>
      <c r="S1057" s="4"/>
    </row>
    <row r="1058" spans="1:19" ht="15" customHeight="1">
      <c r="A1058" s="3">
        <v>2023</v>
      </c>
      <c r="B1058" s="8">
        <f t="shared" ref="B1058:J1058" si="15">AVERAGE(B113:B124)</f>
        <v>6.184899999999999</v>
      </c>
      <c r="C1058" s="8">
        <f t="shared" si="15"/>
        <v>6.1955666666666671</v>
      </c>
      <c r="D1058" s="8">
        <f t="shared" si="15"/>
        <v>6.2093999999999996</v>
      </c>
      <c r="E1058" s="8">
        <f t="shared" si="15"/>
        <v>6.2032666666666669</v>
      </c>
      <c r="F1058" s="4">
        <f t="shared" si="15"/>
        <v>6.8905500000000011</v>
      </c>
      <c r="G1058" s="8">
        <f t="shared" si="15"/>
        <v>6.0402833333333339</v>
      </c>
      <c r="H1058" s="4">
        <f t="shared" si="15"/>
        <v>6.9710166666666664</v>
      </c>
      <c r="I1058" s="8">
        <f t="shared" si="15"/>
        <v>6.046075000000001</v>
      </c>
      <c r="J1058" s="4">
        <f t="shared" si="15"/>
        <v>5.9237166666666665</v>
      </c>
      <c r="K1058" s="4"/>
      <c r="L1058" s="5">
        <f t="shared" ref="L1058:Q1058" si="16">SUM(L113:L124)</f>
        <v>355.53689999999995</v>
      </c>
      <c r="M1058" s="5">
        <f t="shared" si="16"/>
        <v>142.0401</v>
      </c>
      <c r="N1058" s="5">
        <f t="shared" si="16"/>
        <v>58.217499999999994</v>
      </c>
      <c r="O1058" s="5">
        <f t="shared" si="16"/>
        <v>4.4046000000000003</v>
      </c>
      <c r="P1058" s="5">
        <f t="shared" si="16"/>
        <v>14.707600000000001</v>
      </c>
      <c r="Q1058" s="5">
        <f t="shared" si="16"/>
        <v>384.12599999999998</v>
      </c>
      <c r="R1058" s="5"/>
      <c r="S1058" s="4"/>
    </row>
    <row r="1059" spans="1:19" ht="15" customHeight="1">
      <c r="A1059" s="3">
        <v>2024</v>
      </c>
      <c r="B1059" s="8">
        <f t="shared" ref="B1059:J1059" si="17">AVERAGE(B125:B136)</f>
        <v>6.3738333333333346</v>
      </c>
      <c r="C1059" s="8">
        <f t="shared" si="17"/>
        <v>6.3845000000000001</v>
      </c>
      <c r="D1059" s="8">
        <f t="shared" si="17"/>
        <v>6.3983249999999998</v>
      </c>
      <c r="E1059" s="8">
        <f t="shared" si="17"/>
        <v>6.3921916666666663</v>
      </c>
      <c r="F1059" s="4">
        <f t="shared" si="17"/>
        <v>7.0794833333333331</v>
      </c>
      <c r="G1059" s="8">
        <f t="shared" si="17"/>
        <v>6.2249916666666669</v>
      </c>
      <c r="H1059" s="4">
        <f t="shared" si="17"/>
        <v>7.1557416666666667</v>
      </c>
      <c r="I1059" s="8">
        <f t="shared" si="17"/>
        <v>6.2275333333333336</v>
      </c>
      <c r="J1059" s="4">
        <f t="shared" si="17"/>
        <v>6.1051000000000002</v>
      </c>
      <c r="K1059" s="4"/>
      <c r="L1059" s="5">
        <f t="shared" ref="L1059:Q1059" si="18">SUM(L125:L136)</f>
        <v>356.48229999999995</v>
      </c>
      <c r="M1059" s="5">
        <f t="shared" si="18"/>
        <v>142.42920000000001</v>
      </c>
      <c r="N1059" s="5">
        <f t="shared" si="18"/>
        <v>58.377000000000002</v>
      </c>
      <c r="O1059" s="5">
        <f t="shared" si="18"/>
        <v>4.4165999999999999</v>
      </c>
      <c r="P1059" s="5">
        <f t="shared" si="18"/>
        <v>14.7493</v>
      </c>
      <c r="Q1059" s="5">
        <f t="shared" si="18"/>
        <v>383.00459999999998</v>
      </c>
      <c r="R1059" s="5"/>
      <c r="S1059" s="4"/>
    </row>
    <row r="1060" spans="1:19" ht="15" customHeight="1">
      <c r="A1060" s="3">
        <v>2025</v>
      </c>
      <c r="B1060" s="8">
        <f t="shared" ref="B1060:J1060" si="19">AVERAGE(B137:B148)</f>
        <v>6.5678333333333336</v>
      </c>
      <c r="C1060" s="8">
        <f t="shared" si="19"/>
        <v>6.5785083333333345</v>
      </c>
      <c r="D1060" s="8">
        <f t="shared" si="19"/>
        <v>6.5923333333333325</v>
      </c>
      <c r="E1060" s="8">
        <f t="shared" si="19"/>
        <v>6.5861916666666671</v>
      </c>
      <c r="F1060" s="4">
        <f t="shared" si="19"/>
        <v>7.2734749999999986</v>
      </c>
      <c r="G1060" s="8">
        <f t="shared" si="19"/>
        <v>6.4146666666666654</v>
      </c>
      <c r="H1060" s="4">
        <f t="shared" si="19"/>
        <v>7.3454083333333324</v>
      </c>
      <c r="I1060" s="8">
        <f t="shared" si="19"/>
        <v>6.4139083333333327</v>
      </c>
      <c r="J1060" s="4">
        <f t="shared" si="19"/>
        <v>6.2913833333333331</v>
      </c>
      <c r="K1060" s="4"/>
      <c r="L1060" s="5">
        <f t="shared" ref="L1060:Q1060" si="20">SUM(L137:L148)</f>
        <v>355.53689999999995</v>
      </c>
      <c r="M1060" s="5">
        <f t="shared" si="20"/>
        <v>142.0401</v>
      </c>
      <c r="N1060" s="5">
        <f t="shared" si="20"/>
        <v>58.217499999999994</v>
      </c>
      <c r="O1060" s="5">
        <f t="shared" si="20"/>
        <v>4.4046000000000003</v>
      </c>
      <c r="P1060" s="5">
        <f t="shared" si="20"/>
        <v>14.707600000000001</v>
      </c>
      <c r="Q1060" s="5">
        <f t="shared" si="20"/>
        <v>379.76819999999998</v>
      </c>
      <c r="R1060" s="5"/>
      <c r="S1060" s="4"/>
    </row>
    <row r="1061" spans="1:19" ht="15" customHeight="1">
      <c r="A1061" s="3">
        <v>2026</v>
      </c>
      <c r="B1061" s="8">
        <f t="shared" ref="B1061:J1061" si="21">AVERAGE(B149:B160)</f>
        <v>6.7670583333333338</v>
      </c>
      <c r="C1061" s="8">
        <f t="shared" si="21"/>
        <v>6.7777500000000002</v>
      </c>
      <c r="D1061" s="8">
        <f t="shared" si="21"/>
        <v>6.79155</v>
      </c>
      <c r="E1061" s="8">
        <f t="shared" si="21"/>
        <v>6.7854333333333345</v>
      </c>
      <c r="F1061" s="4">
        <f t="shared" si="21"/>
        <v>7.4727166666666669</v>
      </c>
      <c r="G1061" s="8">
        <f t="shared" si="21"/>
        <v>6.6094666666666662</v>
      </c>
      <c r="H1061" s="4">
        <f t="shared" si="21"/>
        <v>7.5401916666666677</v>
      </c>
      <c r="I1061" s="8">
        <f t="shared" si="21"/>
        <v>6.6052666666666662</v>
      </c>
      <c r="J1061" s="4">
        <f t="shared" si="21"/>
        <v>6.4826500000000005</v>
      </c>
      <c r="K1061" s="4"/>
      <c r="L1061" s="5">
        <f t="shared" ref="L1061:Q1061" si="22">SUM(L149:L160)</f>
        <v>355.53689999999995</v>
      </c>
      <c r="M1061" s="5">
        <f t="shared" si="22"/>
        <v>142.0401</v>
      </c>
      <c r="N1061" s="5">
        <f t="shared" si="22"/>
        <v>58.217499999999994</v>
      </c>
      <c r="O1061" s="5">
        <f t="shared" si="22"/>
        <v>4.4046000000000003</v>
      </c>
      <c r="P1061" s="5">
        <f t="shared" si="22"/>
        <v>14.707600000000001</v>
      </c>
      <c r="Q1061" s="5">
        <f t="shared" si="22"/>
        <v>377.59969999999987</v>
      </c>
      <c r="R1061" s="5"/>
      <c r="S1061" s="4"/>
    </row>
    <row r="1062" spans="1:19" ht="15" customHeight="1">
      <c r="A1062" s="3">
        <v>2027</v>
      </c>
      <c r="B1062" s="8">
        <f t="shared" ref="B1062:J1062" si="23">AVERAGE(B161:B172)</f>
        <v>6.9716499999999995</v>
      </c>
      <c r="C1062" s="8">
        <f t="shared" si="23"/>
        <v>6.9823250000000003</v>
      </c>
      <c r="D1062" s="8">
        <f t="shared" si="23"/>
        <v>6.9961500000000001</v>
      </c>
      <c r="E1062" s="8">
        <f t="shared" si="23"/>
        <v>6.9900166666666657</v>
      </c>
      <c r="F1062" s="4">
        <f t="shared" si="23"/>
        <v>7.6772916666666662</v>
      </c>
      <c r="G1062" s="8">
        <f t="shared" si="23"/>
        <v>6.8094666666666663</v>
      </c>
      <c r="H1062" s="4">
        <f t="shared" si="23"/>
        <v>7.7402083333333325</v>
      </c>
      <c r="I1062" s="8">
        <f t="shared" si="23"/>
        <v>6.8018083333333337</v>
      </c>
      <c r="J1062" s="4">
        <f t="shared" si="23"/>
        <v>6.6790749999999983</v>
      </c>
      <c r="K1062" s="4"/>
      <c r="L1062" s="5">
        <f t="shared" ref="L1062:Q1062" si="24">SUM(L161:L172)</f>
        <v>355.53689999999995</v>
      </c>
      <c r="M1062" s="5">
        <f t="shared" si="24"/>
        <v>142.0401</v>
      </c>
      <c r="N1062" s="5">
        <f t="shared" si="24"/>
        <v>58.217499999999994</v>
      </c>
      <c r="O1062" s="5">
        <f t="shared" si="24"/>
        <v>4.4046000000000003</v>
      </c>
      <c r="P1062" s="5">
        <f t="shared" si="24"/>
        <v>14.707600000000001</v>
      </c>
      <c r="Q1062" s="5">
        <f t="shared" si="24"/>
        <v>375.43180000000001</v>
      </c>
      <c r="R1062" s="5"/>
      <c r="S1062" s="4"/>
    </row>
    <row r="1063" spans="1:19" ht="15" customHeight="1">
      <c r="A1063" s="3">
        <v>2028</v>
      </c>
      <c r="B1063" s="8">
        <f t="shared" ref="B1063:J1063" si="25">AVERAGE(B173:B184)</f>
        <v>7.1817083333333338</v>
      </c>
      <c r="C1063" s="8">
        <f t="shared" si="25"/>
        <v>7.1923833333333329</v>
      </c>
      <c r="D1063" s="8">
        <f t="shared" si="25"/>
        <v>7.2062083333333335</v>
      </c>
      <c r="E1063" s="8">
        <f t="shared" si="25"/>
        <v>7.2000583333333337</v>
      </c>
      <c r="F1063" s="4">
        <f t="shared" si="25"/>
        <v>7.8873583333333341</v>
      </c>
      <c r="G1063" s="8">
        <f t="shared" si="25"/>
        <v>7.0148583333333336</v>
      </c>
      <c r="H1063" s="4">
        <f t="shared" si="25"/>
        <v>7.9455750000000007</v>
      </c>
      <c r="I1063" s="8">
        <f t="shared" si="25"/>
        <v>7.0035750000000005</v>
      </c>
      <c r="J1063" s="4">
        <f t="shared" si="25"/>
        <v>6.8807583333333326</v>
      </c>
      <c r="K1063" s="4"/>
      <c r="L1063" s="5">
        <f t="shared" ref="L1063:Q1063" si="26">SUM(L173:L184)</f>
        <v>356.48229999999995</v>
      </c>
      <c r="M1063" s="5">
        <f t="shared" si="26"/>
        <v>142.42920000000001</v>
      </c>
      <c r="N1063" s="5">
        <f t="shared" si="26"/>
        <v>58.377000000000002</v>
      </c>
      <c r="O1063" s="5">
        <f t="shared" si="26"/>
        <v>4.4165999999999999</v>
      </c>
      <c r="P1063" s="5">
        <f t="shared" si="26"/>
        <v>14.7493</v>
      </c>
      <c r="Q1063" s="5">
        <f t="shared" si="26"/>
        <v>374.28599999999994</v>
      </c>
      <c r="R1063" s="5"/>
      <c r="S1063" s="4"/>
    </row>
    <row r="1064" spans="1:19" ht="15" customHeight="1">
      <c r="A1064" s="3">
        <v>2029</v>
      </c>
      <c r="B1064" s="8">
        <f t="shared" ref="B1064:J1064" si="27">AVERAGE(B185:B196)</f>
        <v>7.3973749999999994</v>
      </c>
      <c r="C1064" s="8">
        <f t="shared" si="27"/>
        <v>7.4080666666666666</v>
      </c>
      <c r="D1064" s="8">
        <f t="shared" si="27"/>
        <v>7.4218833333333327</v>
      </c>
      <c r="E1064" s="8">
        <f t="shared" si="27"/>
        <v>7.4157583333333328</v>
      </c>
      <c r="F1064" s="4">
        <f t="shared" si="27"/>
        <v>8.1030333333333342</v>
      </c>
      <c r="G1064" s="8">
        <f t="shared" si="27"/>
        <v>7.2257166666666661</v>
      </c>
      <c r="H1064" s="4">
        <f t="shared" si="27"/>
        <v>8.1564583333333331</v>
      </c>
      <c r="I1064" s="8">
        <f t="shared" si="27"/>
        <v>7.2107666666666672</v>
      </c>
      <c r="J1064" s="4">
        <f t="shared" si="27"/>
        <v>7.0878250000000014</v>
      </c>
      <c r="K1064" s="4"/>
      <c r="L1064" s="5">
        <f t="shared" ref="L1064:Q1064" si="28">SUM(L185:L196)</f>
        <v>355.53689999999995</v>
      </c>
      <c r="M1064" s="5">
        <f t="shared" si="28"/>
        <v>142.0401</v>
      </c>
      <c r="N1064" s="5">
        <f t="shared" si="28"/>
        <v>58.217499999999994</v>
      </c>
      <c r="O1064" s="5">
        <f t="shared" si="28"/>
        <v>4.4046000000000003</v>
      </c>
      <c r="P1064" s="5">
        <f t="shared" si="28"/>
        <v>14.707600000000001</v>
      </c>
      <c r="Q1064" s="5">
        <f t="shared" si="28"/>
        <v>371.09549999999996</v>
      </c>
      <c r="R1064" s="5"/>
      <c r="S1064" s="4"/>
    </row>
    <row r="1065" spans="1:19" ht="15" customHeight="1">
      <c r="A1065" s="3">
        <v>2030</v>
      </c>
      <c r="B1065" s="8">
        <f t="shared" ref="B1065:J1065" si="29">AVERAGE(B197:B208)</f>
        <v>7.6188083333333347</v>
      </c>
      <c r="C1065" s="8">
        <f t="shared" si="29"/>
        <v>7.6295083333333338</v>
      </c>
      <c r="D1065" s="8">
        <f t="shared" si="29"/>
        <v>7.6433166666666672</v>
      </c>
      <c r="E1065" s="8">
        <f t="shared" si="29"/>
        <v>7.6371916666666673</v>
      </c>
      <c r="F1065" s="4">
        <f t="shared" si="29"/>
        <v>8.324466666666666</v>
      </c>
      <c r="G1065" s="8">
        <f t="shared" si="29"/>
        <v>7.4422250000000005</v>
      </c>
      <c r="H1065" s="4">
        <f t="shared" si="29"/>
        <v>8.3729583333333348</v>
      </c>
      <c r="I1065" s="8">
        <f t="shared" si="29"/>
        <v>7.4234666666666662</v>
      </c>
      <c r="J1065" s="4">
        <f t="shared" si="29"/>
        <v>7.300416666666667</v>
      </c>
      <c r="K1065" s="4"/>
      <c r="L1065" s="5">
        <f t="shared" ref="L1065:Q1065" si="30">SUM(L197:L208)</f>
        <v>355.53689999999995</v>
      </c>
      <c r="M1065" s="5">
        <f t="shared" si="30"/>
        <v>142.0401</v>
      </c>
      <c r="N1065" s="5">
        <f t="shared" si="30"/>
        <v>58.217499999999994</v>
      </c>
      <c r="O1065" s="5">
        <f t="shared" si="30"/>
        <v>4.4046000000000003</v>
      </c>
      <c r="P1065" s="5">
        <f t="shared" si="30"/>
        <v>14.707600000000001</v>
      </c>
      <c r="Q1065" s="5">
        <f t="shared" si="30"/>
        <v>368.9276999999999</v>
      </c>
      <c r="R1065" s="5"/>
      <c r="S1065" s="4"/>
    </row>
    <row r="1066" spans="1:19" ht="15" customHeight="1">
      <c r="A1066" s="3">
        <v>2031</v>
      </c>
      <c r="B1066" s="8">
        <f t="shared" ref="B1066:J1066" si="31">AVERAGE(B209:B220)</f>
        <v>7.8461749999999997</v>
      </c>
      <c r="C1066" s="8">
        <f t="shared" si="31"/>
        <v>7.8568499999999988</v>
      </c>
      <c r="D1066" s="8">
        <f t="shared" si="31"/>
        <v>7.8706666666666676</v>
      </c>
      <c r="E1066" s="8">
        <f t="shared" si="31"/>
        <v>7.8645416666666668</v>
      </c>
      <c r="F1066" s="4">
        <f t="shared" si="31"/>
        <v>8.5518166666666655</v>
      </c>
      <c r="G1066" s="8">
        <f t="shared" si="31"/>
        <v>7.6645000000000003</v>
      </c>
      <c r="H1066" s="4">
        <f t="shared" si="31"/>
        <v>8.595225000000001</v>
      </c>
      <c r="I1066" s="8">
        <f t="shared" si="31"/>
        <v>7.6418499999999989</v>
      </c>
      <c r="J1066" s="4">
        <f t="shared" si="31"/>
        <v>7.5187083333333335</v>
      </c>
      <c r="K1066" s="4"/>
      <c r="L1066" s="5">
        <f t="shared" ref="L1066:Q1066" si="32">SUM(L209:L220)</f>
        <v>355.53689999999995</v>
      </c>
      <c r="M1066" s="5">
        <f t="shared" si="32"/>
        <v>142.0401</v>
      </c>
      <c r="N1066" s="5">
        <f t="shared" si="32"/>
        <v>58.217499999999994</v>
      </c>
      <c r="O1066" s="5">
        <f t="shared" si="32"/>
        <v>4.4046000000000003</v>
      </c>
      <c r="P1066" s="5">
        <f t="shared" si="32"/>
        <v>14.707600000000001</v>
      </c>
      <c r="Q1066" s="5">
        <f t="shared" si="32"/>
        <v>365.31420000000003</v>
      </c>
      <c r="R1066" s="5"/>
      <c r="S1066" s="4"/>
    </row>
    <row r="1067" spans="1:19" ht="15" customHeight="1">
      <c r="A1067" s="3">
        <v>2032</v>
      </c>
      <c r="B1067" s="8">
        <f t="shared" ref="B1067:J1067" si="33">AVERAGE(B221:B232)</f>
        <v>8.079558333333333</v>
      </c>
      <c r="C1067" s="8">
        <f t="shared" si="33"/>
        <v>8.0902499999999993</v>
      </c>
      <c r="D1067" s="8">
        <f t="shared" si="33"/>
        <v>8.1040583333333345</v>
      </c>
      <c r="E1067" s="8">
        <f t="shared" si="33"/>
        <v>8.0979416666666655</v>
      </c>
      <c r="F1067" s="4">
        <f t="shared" si="33"/>
        <v>8.7852166666666687</v>
      </c>
      <c r="G1067" s="8">
        <f t="shared" si="33"/>
        <v>7.8927000000000014</v>
      </c>
      <c r="H1067" s="4">
        <f t="shared" si="33"/>
        <v>8.8234166666666667</v>
      </c>
      <c r="I1067" s="8">
        <f t="shared" si="33"/>
        <v>7.8660333333333341</v>
      </c>
      <c r="J1067" s="4">
        <f t="shared" si="33"/>
        <v>7.7428083333333335</v>
      </c>
      <c r="K1067" s="4"/>
      <c r="L1067" s="5">
        <f t="shared" ref="L1067:Q1067" si="34">SUM(L221:L232)</f>
        <v>356.48229999999995</v>
      </c>
      <c r="M1067" s="5">
        <f t="shared" si="34"/>
        <v>142.42920000000001</v>
      </c>
      <c r="N1067" s="5">
        <f t="shared" si="34"/>
        <v>58.377000000000002</v>
      </c>
      <c r="O1067" s="5">
        <f t="shared" si="34"/>
        <v>4.4165999999999999</v>
      </c>
      <c r="P1067" s="5">
        <f t="shared" si="34"/>
        <v>14.7493</v>
      </c>
      <c r="Q1067" s="5">
        <f t="shared" si="34"/>
        <v>364.46999999999997</v>
      </c>
      <c r="R1067" s="5"/>
      <c r="S1067" s="4"/>
    </row>
    <row r="1068" spans="1:19" ht="15" customHeight="1">
      <c r="A1068" s="3">
        <v>2033</v>
      </c>
      <c r="B1068" s="8">
        <f t="shared" ref="B1068:J1068" si="35">AVERAGE(B233:B244)</f>
        <v>8.3191749999999995</v>
      </c>
      <c r="C1068" s="8">
        <f t="shared" si="35"/>
        <v>8.3298500000000004</v>
      </c>
      <c r="D1068" s="8">
        <f t="shared" si="35"/>
        <v>8.3436666666666657</v>
      </c>
      <c r="E1068" s="8">
        <f t="shared" si="35"/>
        <v>8.3375500000000002</v>
      </c>
      <c r="F1068" s="4">
        <f t="shared" si="35"/>
        <v>9.0248250000000017</v>
      </c>
      <c r="G1068" s="8">
        <f t="shared" si="35"/>
        <v>8.1269583333333344</v>
      </c>
      <c r="H1068" s="4">
        <f t="shared" si="35"/>
        <v>9.0576666666666679</v>
      </c>
      <c r="I1068" s="8">
        <f t="shared" si="35"/>
        <v>8.096208333333335</v>
      </c>
      <c r="J1068" s="4">
        <f t="shared" si="35"/>
        <v>7.9728333333333339</v>
      </c>
      <c r="K1068" s="4"/>
      <c r="L1068" s="5">
        <f t="shared" ref="L1068:Q1068" si="36">SUM(L233:L244)</f>
        <v>355.53689999999995</v>
      </c>
      <c r="M1068" s="5">
        <f t="shared" si="36"/>
        <v>142.0401</v>
      </c>
      <c r="N1068" s="5">
        <f t="shared" si="36"/>
        <v>58.217499999999994</v>
      </c>
      <c r="O1068" s="5">
        <f t="shared" si="36"/>
        <v>4.4046000000000003</v>
      </c>
      <c r="P1068" s="5">
        <f t="shared" si="36"/>
        <v>14.707600000000001</v>
      </c>
      <c r="Q1068" s="5">
        <f t="shared" si="36"/>
        <v>362.33550000000002</v>
      </c>
      <c r="R1068" s="5"/>
      <c r="S1068" s="4"/>
    </row>
    <row r="1069" spans="1:19" ht="15" customHeight="1">
      <c r="A1069" s="3">
        <v>2034</v>
      </c>
      <c r="B1069" s="8">
        <f t="shared" ref="B1069:J1069" si="37">AVERAGE(B245:B256)</f>
        <v>8.4852416666666652</v>
      </c>
      <c r="C1069" s="8">
        <f t="shared" si="37"/>
        <v>8.4959249999999997</v>
      </c>
      <c r="D1069" s="8">
        <f t="shared" si="37"/>
        <v>8.5097249999999995</v>
      </c>
      <c r="E1069" s="8">
        <f t="shared" si="37"/>
        <v>8.5036000000000005</v>
      </c>
      <c r="F1069" s="4">
        <f t="shared" si="37"/>
        <v>9.1908833333333337</v>
      </c>
      <c r="G1069" s="8">
        <f t="shared" si="37"/>
        <v>8.2893166666666662</v>
      </c>
      <c r="H1069" s="4">
        <f t="shared" si="37"/>
        <v>9.2200500000000005</v>
      </c>
      <c r="I1069" s="8">
        <f t="shared" si="37"/>
        <v>8.2557333333333336</v>
      </c>
      <c r="J1069" s="4">
        <f t="shared" si="37"/>
        <v>8.1322749999999999</v>
      </c>
      <c r="K1069" s="4"/>
      <c r="L1069" s="5">
        <f t="shared" ref="L1069:Q1069" si="38">SUM(L245:L256)</f>
        <v>355.53689999999995</v>
      </c>
      <c r="M1069" s="5">
        <f t="shared" si="38"/>
        <v>142.0401</v>
      </c>
      <c r="N1069" s="5">
        <f t="shared" si="38"/>
        <v>58.217499999999994</v>
      </c>
      <c r="O1069" s="5">
        <f t="shared" si="38"/>
        <v>4.4046000000000003</v>
      </c>
      <c r="P1069" s="5">
        <f t="shared" si="38"/>
        <v>14.707600000000001</v>
      </c>
      <c r="Q1069" s="5">
        <f t="shared" si="38"/>
        <v>361.59120000000007</v>
      </c>
      <c r="R1069" s="5"/>
      <c r="S1069" s="4"/>
    </row>
    <row r="1070" spans="1:19" ht="15" customHeight="1">
      <c r="A1070" s="3">
        <v>2035</v>
      </c>
      <c r="B1070" s="8">
        <f t="shared" ref="B1070:J1070" si="39">AVERAGE(B257:B268)</f>
        <v>8.6546083333333339</v>
      </c>
      <c r="C1070" s="8">
        <f t="shared" si="39"/>
        <v>8.6653083333333321</v>
      </c>
      <c r="D1070" s="8">
        <f t="shared" si="39"/>
        <v>8.6791083333333336</v>
      </c>
      <c r="E1070" s="8">
        <f t="shared" si="39"/>
        <v>8.6729916666666664</v>
      </c>
      <c r="F1070" s="4">
        <f t="shared" si="39"/>
        <v>9.3602749999999979</v>
      </c>
      <c r="G1070" s="8">
        <f t="shared" si="39"/>
        <v>8.4549249999999994</v>
      </c>
      <c r="H1070" s="4">
        <f t="shared" si="39"/>
        <v>9.3856583333333337</v>
      </c>
      <c r="I1070" s="8">
        <f t="shared" si="39"/>
        <v>8.4184249999999992</v>
      </c>
      <c r="J1070" s="4">
        <f t="shared" si="39"/>
        <v>8.2948916666666666</v>
      </c>
      <c r="K1070" s="4"/>
      <c r="L1070" s="5">
        <f t="shared" ref="L1070:Q1070" si="40">SUM(L257:L268)</f>
        <v>355.53689999999995</v>
      </c>
      <c r="M1070" s="5">
        <f t="shared" si="40"/>
        <v>142.0401</v>
      </c>
      <c r="N1070" s="5">
        <f t="shared" si="40"/>
        <v>58.217499999999994</v>
      </c>
      <c r="O1070" s="5">
        <f t="shared" si="40"/>
        <v>4.4046000000000003</v>
      </c>
      <c r="P1070" s="5">
        <f t="shared" si="40"/>
        <v>14.707600000000001</v>
      </c>
      <c r="Q1070" s="5">
        <f t="shared" si="40"/>
        <v>360.82469999999995</v>
      </c>
      <c r="R1070" s="5"/>
      <c r="S1070" s="4"/>
    </row>
    <row r="1071" spans="1:19" ht="15" customHeight="1">
      <c r="A1071" s="3">
        <v>2036</v>
      </c>
      <c r="B1071" s="8">
        <f t="shared" ref="B1071:J1071" si="41">AVERAGE(B269:B280)</f>
        <v>8.862191666666666</v>
      </c>
      <c r="C1071" s="8">
        <f t="shared" si="41"/>
        <v>8.8728583333333333</v>
      </c>
      <c r="D1071" s="8">
        <f t="shared" si="41"/>
        <v>8.8866833333333339</v>
      </c>
      <c r="E1071" s="8">
        <f t="shared" si="41"/>
        <v>8.8805499999999995</v>
      </c>
      <c r="F1071" s="4">
        <f t="shared" si="41"/>
        <v>9.5678249999999991</v>
      </c>
      <c r="G1071" s="8">
        <f t="shared" si="41"/>
        <v>8.6578666666666653</v>
      </c>
      <c r="H1071" s="4">
        <f t="shared" si="41"/>
        <v>9.5886000000000013</v>
      </c>
      <c r="I1071" s="8">
        <f t="shared" si="41"/>
        <v>8.617816666666668</v>
      </c>
      <c r="J1071" s="4">
        <f t="shared" si="41"/>
        <v>8.4941833333333339</v>
      </c>
      <c r="K1071" s="4"/>
      <c r="L1071" s="5">
        <f t="shared" ref="L1071:Q1071" si="42">SUM(L269:L280)</f>
        <v>356.48229999999995</v>
      </c>
      <c r="M1071" s="5">
        <f t="shared" si="42"/>
        <v>142.42920000000001</v>
      </c>
      <c r="N1071" s="5">
        <f t="shared" si="42"/>
        <v>58.377000000000002</v>
      </c>
      <c r="O1071" s="5">
        <f t="shared" si="42"/>
        <v>4.4165999999999999</v>
      </c>
      <c r="P1071" s="5">
        <f t="shared" si="42"/>
        <v>14.7493</v>
      </c>
      <c r="Q1071" s="5">
        <f t="shared" si="42"/>
        <v>361.0446</v>
      </c>
      <c r="R1071" s="5"/>
      <c r="S1071" s="4"/>
    </row>
    <row r="1072" spans="1:19" ht="15" customHeight="1">
      <c r="A1072" s="3">
        <v>2037</v>
      </c>
      <c r="B1072" s="8">
        <f t="shared" ref="B1072:J1072" si="43">AVERAGE(B281:B292)</f>
        <v>9.0747250000000008</v>
      </c>
      <c r="C1072" s="8">
        <f t="shared" si="43"/>
        <v>9.0854083333333318</v>
      </c>
      <c r="D1072" s="8">
        <f t="shared" si="43"/>
        <v>9.0992083333333333</v>
      </c>
      <c r="E1072" s="8">
        <f t="shared" si="43"/>
        <v>9.0930999999999997</v>
      </c>
      <c r="F1072" s="4">
        <f t="shared" si="43"/>
        <v>9.7803749999999994</v>
      </c>
      <c r="G1072" s="8">
        <f t="shared" si="43"/>
        <v>8.8656750000000013</v>
      </c>
      <c r="H1072" s="4">
        <f t="shared" si="43"/>
        <v>9.7964000000000002</v>
      </c>
      <c r="I1072" s="8">
        <f t="shared" si="43"/>
        <v>8.8219916666666656</v>
      </c>
      <c r="J1072" s="4">
        <f t="shared" si="43"/>
        <v>8.6982499999999998</v>
      </c>
      <c r="K1072" s="4"/>
      <c r="L1072" s="5">
        <f t="shared" ref="L1072:Q1072" si="44">SUM(L281:L292)</f>
        <v>355.53689999999995</v>
      </c>
      <c r="M1072" s="5">
        <f t="shared" si="44"/>
        <v>142.0401</v>
      </c>
      <c r="N1072" s="5">
        <f t="shared" si="44"/>
        <v>58.217499999999994</v>
      </c>
      <c r="O1072" s="5">
        <f t="shared" si="44"/>
        <v>4.4046000000000003</v>
      </c>
      <c r="P1072" s="5">
        <f t="shared" si="44"/>
        <v>14.707600000000001</v>
      </c>
      <c r="Q1072" s="5">
        <f t="shared" si="44"/>
        <v>359.29169999999999</v>
      </c>
      <c r="R1072" s="5"/>
      <c r="S1072" s="4"/>
    </row>
    <row r="1073" spans="1:19" ht="15" customHeight="1">
      <c r="A1073" s="3">
        <f t="shared" ref="A1073:A1104" si="45">A1072+1</f>
        <v>2038</v>
      </c>
      <c r="B1073" s="8">
        <f t="shared" ref="B1073:J1073" si="46">AVERAGE(B293:B304)</f>
        <v>9.2923833333333334</v>
      </c>
      <c r="C1073" s="8">
        <f t="shared" si="46"/>
        <v>9.3030666666666662</v>
      </c>
      <c r="D1073" s="8">
        <f t="shared" si="46"/>
        <v>9.3169000000000004</v>
      </c>
      <c r="E1073" s="8">
        <f t="shared" si="46"/>
        <v>9.3107583333333341</v>
      </c>
      <c r="F1073" s="4">
        <f t="shared" si="46"/>
        <v>9.9980416666666674</v>
      </c>
      <c r="G1073" s="8">
        <f t="shared" si="46"/>
        <v>9.0784749999999992</v>
      </c>
      <c r="H1073" s="4">
        <f t="shared" si="46"/>
        <v>10.009208333333332</v>
      </c>
      <c r="I1073" s="8">
        <f t="shared" si="46"/>
        <v>9.0310500000000022</v>
      </c>
      <c r="J1073" s="4">
        <f t="shared" si="46"/>
        <v>8.9072250000000004</v>
      </c>
      <c r="K1073" s="4"/>
      <c r="L1073" s="5">
        <f t="shared" ref="L1073:Q1073" si="47">SUM(L293:L304)</f>
        <v>355.53689999999995</v>
      </c>
      <c r="M1073" s="5">
        <f t="shared" si="47"/>
        <v>142.0401</v>
      </c>
      <c r="N1073" s="5">
        <f t="shared" si="47"/>
        <v>58.217499999999994</v>
      </c>
      <c r="O1073" s="5">
        <f t="shared" si="47"/>
        <v>4.4046000000000003</v>
      </c>
      <c r="P1073" s="5">
        <f t="shared" si="47"/>
        <v>14.707600000000001</v>
      </c>
      <c r="Q1073" s="5">
        <f t="shared" si="47"/>
        <v>358.54670000000004</v>
      </c>
      <c r="R1073" s="5"/>
      <c r="S1073" s="4"/>
    </row>
    <row r="1074" spans="1:19" ht="15" customHeight="1">
      <c r="A1074" s="3">
        <f t="shared" si="45"/>
        <v>2039</v>
      </c>
      <c r="B1074" s="8">
        <f t="shared" ref="B1074:J1074" si="48">AVERAGE(B305:B316)</f>
        <v>9.5152916666666663</v>
      </c>
      <c r="C1074" s="8">
        <f t="shared" si="48"/>
        <v>9.5259499999999999</v>
      </c>
      <c r="D1074" s="8">
        <f t="shared" si="48"/>
        <v>9.5397833333333306</v>
      </c>
      <c r="E1074" s="8">
        <f t="shared" si="48"/>
        <v>9.5336416666666661</v>
      </c>
      <c r="F1074" s="4">
        <f t="shared" si="48"/>
        <v>10.220925000000001</v>
      </c>
      <c r="G1074" s="8">
        <f t="shared" si="48"/>
        <v>9.296383333333333</v>
      </c>
      <c r="H1074" s="4">
        <f t="shared" si="48"/>
        <v>10.227125000000001</v>
      </c>
      <c r="I1074" s="8">
        <f t="shared" si="48"/>
        <v>9.2451666666666679</v>
      </c>
      <c r="J1074" s="4">
        <f t="shared" si="48"/>
        <v>9.1212083333333318</v>
      </c>
      <c r="K1074" s="7"/>
      <c r="L1074" s="5">
        <f t="shared" ref="L1074:Q1074" si="49">SUM(L305:L316)</f>
        <v>355.53689999999995</v>
      </c>
      <c r="M1074" s="5">
        <f t="shared" si="49"/>
        <v>142.0401</v>
      </c>
      <c r="N1074" s="5">
        <f t="shared" si="49"/>
        <v>58.217499999999994</v>
      </c>
      <c r="O1074" s="5">
        <f t="shared" si="49"/>
        <v>4.4046000000000003</v>
      </c>
      <c r="P1074" s="5">
        <f t="shared" si="49"/>
        <v>14.707600000000001</v>
      </c>
      <c r="Q1074" s="5">
        <f t="shared" si="49"/>
        <v>357.78019999999998</v>
      </c>
      <c r="R1074" s="5"/>
      <c r="S1074" s="6"/>
    </row>
    <row r="1075" spans="1:19" ht="15" customHeight="1">
      <c r="A1075" s="3">
        <f t="shared" si="45"/>
        <v>2040</v>
      </c>
      <c r="B1075" s="8">
        <f t="shared" ref="B1075:J1075" si="50">AVERAGE(B317:B328)</f>
        <v>9.743525</v>
      </c>
      <c r="C1075" s="8">
        <f t="shared" si="50"/>
        <v>9.7541999999999991</v>
      </c>
      <c r="D1075" s="8">
        <f t="shared" si="50"/>
        <v>9.7680166666666661</v>
      </c>
      <c r="E1075" s="8">
        <f t="shared" si="50"/>
        <v>9.7618833333333352</v>
      </c>
      <c r="F1075" s="4">
        <f t="shared" si="50"/>
        <v>10.449183333333334</v>
      </c>
      <c r="G1075" s="8">
        <f t="shared" si="50"/>
        <v>9.519541666666667</v>
      </c>
      <c r="H1075" s="4">
        <f t="shared" si="50"/>
        <v>10.450283333333331</v>
      </c>
      <c r="I1075" s="8">
        <f t="shared" si="50"/>
        <v>9.4643999999999995</v>
      </c>
      <c r="J1075" s="4">
        <f t="shared" si="50"/>
        <v>9.340325</v>
      </c>
      <c r="K1075" s="7"/>
      <c r="L1075" s="5">
        <f t="shared" ref="L1075:Q1075" si="51">SUM(L317:L328)</f>
        <v>356.48229999999995</v>
      </c>
      <c r="M1075" s="5">
        <f t="shared" si="51"/>
        <v>142.42920000000001</v>
      </c>
      <c r="N1075" s="5">
        <f t="shared" si="51"/>
        <v>58.377000000000002</v>
      </c>
      <c r="O1075" s="5">
        <f t="shared" si="51"/>
        <v>4.4165999999999999</v>
      </c>
      <c r="P1075" s="5">
        <f t="shared" si="51"/>
        <v>14.7493</v>
      </c>
      <c r="Q1075" s="5">
        <f t="shared" si="51"/>
        <v>357.99180000000001</v>
      </c>
      <c r="R1075" s="5"/>
      <c r="S1075" s="6"/>
    </row>
    <row r="1076" spans="1:19" ht="15" customHeight="1">
      <c r="A1076" s="3">
        <f t="shared" si="45"/>
        <v>2041</v>
      </c>
      <c r="B1076" s="8">
        <f t="shared" ref="B1076:J1076" si="52">AVERAGE(B329:B340)</f>
        <v>9.9772583333333333</v>
      </c>
      <c r="C1076" s="8">
        <f t="shared" si="52"/>
        <v>9.9879249999999988</v>
      </c>
      <c r="D1076" s="8">
        <f t="shared" si="52"/>
        <v>10.001724999999999</v>
      </c>
      <c r="E1076" s="8">
        <f t="shared" si="52"/>
        <v>9.995616666666665</v>
      </c>
      <c r="F1076" s="4">
        <f t="shared" si="52"/>
        <v>10.682908333333335</v>
      </c>
      <c r="G1076" s="8">
        <f t="shared" si="52"/>
        <v>9.7480666666666664</v>
      </c>
      <c r="H1076" s="4">
        <f t="shared" si="52"/>
        <v>10.678800000000001</v>
      </c>
      <c r="I1076" s="8">
        <f t="shared" si="52"/>
        <v>9.688933333333333</v>
      </c>
      <c r="J1076" s="4">
        <f t="shared" si="52"/>
        <v>9.5647416666666665</v>
      </c>
      <c r="K1076" s="7"/>
      <c r="L1076" s="5">
        <f t="shared" ref="L1076:Q1076" si="53">SUM(L329:L340)</f>
        <v>355.53689999999995</v>
      </c>
      <c r="M1076" s="5">
        <f t="shared" si="53"/>
        <v>142.0401</v>
      </c>
      <c r="N1076" s="5">
        <f t="shared" si="53"/>
        <v>58.217499999999994</v>
      </c>
      <c r="O1076" s="5">
        <f t="shared" si="53"/>
        <v>4.4046000000000003</v>
      </c>
      <c r="P1076" s="5">
        <f t="shared" si="53"/>
        <v>14.707600000000001</v>
      </c>
      <c r="Q1076" s="5">
        <f t="shared" si="53"/>
        <v>356.26930000000004</v>
      </c>
      <c r="R1076" s="5"/>
      <c r="S1076" s="6"/>
    </row>
    <row r="1077" spans="1:19" ht="15" customHeight="1">
      <c r="A1077" s="3">
        <f t="shared" si="45"/>
        <v>2042</v>
      </c>
      <c r="B1077" s="8">
        <f t="shared" ref="B1077:J1077" si="54">AVERAGE(B341:B352)</f>
        <v>10.216591666666666</v>
      </c>
      <c r="C1077" s="8">
        <f t="shared" si="54"/>
        <v>10.227275000000001</v>
      </c>
      <c r="D1077" s="8">
        <f t="shared" si="54"/>
        <v>10.241108333333333</v>
      </c>
      <c r="E1077" s="8">
        <f t="shared" si="54"/>
        <v>10.234966666666667</v>
      </c>
      <c r="F1077" s="4">
        <f t="shared" si="54"/>
        <v>10.922241666666666</v>
      </c>
      <c r="G1077" s="8">
        <f t="shared" si="54"/>
        <v>9.9820499999999992</v>
      </c>
      <c r="H1077" s="4">
        <f t="shared" si="54"/>
        <v>10.912791666666665</v>
      </c>
      <c r="I1077" s="8">
        <f t="shared" si="54"/>
        <v>9.9188333333333336</v>
      </c>
      <c r="J1077" s="4">
        <f t="shared" si="54"/>
        <v>9.794550000000001</v>
      </c>
      <c r="K1077" s="7"/>
      <c r="L1077" s="5">
        <f t="shared" ref="L1077:Q1077" si="55">SUM(L341:L352)</f>
        <v>355.53689999999995</v>
      </c>
      <c r="M1077" s="5">
        <f t="shared" si="55"/>
        <v>142.0401</v>
      </c>
      <c r="N1077" s="5">
        <f t="shared" si="55"/>
        <v>58.217499999999994</v>
      </c>
      <c r="O1077" s="5">
        <f t="shared" si="55"/>
        <v>4.4046000000000003</v>
      </c>
      <c r="P1077" s="5">
        <f t="shared" si="55"/>
        <v>14.707600000000001</v>
      </c>
      <c r="Q1077" s="5">
        <f t="shared" si="55"/>
        <v>242.47669999999997</v>
      </c>
      <c r="R1077" s="5"/>
      <c r="S1077" s="6"/>
    </row>
    <row r="1078" spans="1:19" ht="15" customHeight="1">
      <c r="A1078" s="3">
        <f t="shared" si="45"/>
        <v>2043</v>
      </c>
      <c r="B1078" s="8">
        <f t="shared" ref="B1078:J1078" si="56">AVERAGE(B353:B364)</f>
        <v>10.461691666666669</v>
      </c>
      <c r="C1078" s="8">
        <f t="shared" si="56"/>
        <v>10.472375</v>
      </c>
      <c r="D1078" s="8">
        <f t="shared" si="56"/>
        <v>10.486199999999998</v>
      </c>
      <c r="E1078" s="8">
        <f t="shared" si="56"/>
        <v>10.480058333333334</v>
      </c>
      <c r="F1078" s="4">
        <f t="shared" si="56"/>
        <v>11.167341666666667</v>
      </c>
      <c r="G1078" s="8">
        <f t="shared" si="56"/>
        <v>10.2217</v>
      </c>
      <c r="H1078" s="4">
        <f t="shared" si="56"/>
        <v>11.152408333333332</v>
      </c>
      <c r="I1078" s="8">
        <f t="shared" si="56"/>
        <v>10.154241666666666</v>
      </c>
      <c r="J1078" s="4">
        <f t="shared" si="56"/>
        <v>10.029850000000001</v>
      </c>
      <c r="K1078" s="7"/>
      <c r="L1078" s="5">
        <f t="shared" ref="L1078:Q1078" si="57">SUM(L353:L364)</f>
        <v>355.53689999999995</v>
      </c>
      <c r="M1078" s="5">
        <f t="shared" si="57"/>
        <v>142.0401</v>
      </c>
      <c r="N1078" s="5">
        <f t="shared" si="57"/>
        <v>58.217499999999994</v>
      </c>
      <c r="O1078" s="5">
        <f t="shared" si="57"/>
        <v>4.4046000000000003</v>
      </c>
      <c r="P1078" s="5">
        <f t="shared" si="57"/>
        <v>14.707600000000001</v>
      </c>
      <c r="Q1078" s="5">
        <f t="shared" si="57"/>
        <v>241.71019999999996</v>
      </c>
      <c r="R1078" s="5"/>
      <c r="S1078" s="6"/>
    </row>
    <row r="1079" spans="1:19" ht="15" customHeight="1">
      <c r="A1079" s="3">
        <f t="shared" si="45"/>
        <v>2044</v>
      </c>
      <c r="B1079" s="8">
        <f t="shared" ref="B1079:J1079" si="58">AVERAGE(B365:B376)</f>
        <v>10.712666666666665</v>
      </c>
      <c r="C1079" s="8">
        <f t="shared" si="58"/>
        <v>10.723333333333334</v>
      </c>
      <c r="D1079" s="8">
        <f t="shared" si="58"/>
        <v>10.737166666666667</v>
      </c>
      <c r="E1079" s="8">
        <f t="shared" si="58"/>
        <v>10.731016666666667</v>
      </c>
      <c r="F1079" s="4">
        <f t="shared" si="58"/>
        <v>11.418316666666669</v>
      </c>
      <c r="G1079" s="8">
        <f t="shared" si="58"/>
        <v>10.467075000000001</v>
      </c>
      <c r="H1079" s="4">
        <f t="shared" si="58"/>
        <v>11.397791666666668</v>
      </c>
      <c r="I1079" s="8">
        <f t="shared" si="58"/>
        <v>10.395341666666665</v>
      </c>
      <c r="J1079" s="4">
        <f t="shared" si="58"/>
        <v>10.270833333333334</v>
      </c>
      <c r="K1079" s="7"/>
      <c r="L1079" s="5">
        <f t="shared" ref="L1079:Q1079" si="59">SUM(L365:L376)</f>
        <v>356.48229999999995</v>
      </c>
      <c r="M1079" s="5">
        <f t="shared" si="59"/>
        <v>142.42920000000001</v>
      </c>
      <c r="N1079" s="5">
        <f t="shared" si="59"/>
        <v>58.377000000000002</v>
      </c>
      <c r="O1079" s="5">
        <f t="shared" si="59"/>
        <v>4.4165999999999999</v>
      </c>
      <c r="P1079" s="5">
        <f t="shared" si="59"/>
        <v>14.7493</v>
      </c>
      <c r="Q1079" s="5">
        <f t="shared" si="59"/>
        <v>241.58220000000006</v>
      </c>
      <c r="R1079" s="5"/>
      <c r="S1079" s="6"/>
    </row>
    <row r="1080" spans="1:19" ht="15" customHeight="1">
      <c r="A1080" s="3">
        <f t="shared" si="45"/>
        <v>2045</v>
      </c>
      <c r="B1080" s="8">
        <f t="shared" ref="B1080:J1080" si="60">AVERAGE(B377:B388)</f>
        <v>10.969666666666669</v>
      </c>
      <c r="C1080" s="8">
        <f t="shared" si="60"/>
        <v>10.980375</v>
      </c>
      <c r="D1080" s="8">
        <f t="shared" si="60"/>
        <v>10.994183333333332</v>
      </c>
      <c r="E1080" s="8">
        <f t="shared" si="60"/>
        <v>10.988066666666668</v>
      </c>
      <c r="F1080" s="4">
        <f t="shared" si="60"/>
        <v>11.675333333333333</v>
      </c>
      <c r="G1080" s="8">
        <f t="shared" si="60"/>
        <v>10.718350000000001</v>
      </c>
      <c r="H1080" s="4">
        <f t="shared" si="60"/>
        <v>11.649108333333333</v>
      </c>
      <c r="I1080" s="8">
        <f t="shared" si="60"/>
        <v>10.642241666666669</v>
      </c>
      <c r="J1080" s="4">
        <f t="shared" si="60"/>
        <v>10.5176</v>
      </c>
      <c r="K1080" s="7"/>
      <c r="L1080" s="5">
        <f t="shared" ref="L1080:Q1080" si="61">SUM(L377:L388)</f>
        <v>355.53689999999995</v>
      </c>
      <c r="M1080" s="5">
        <f t="shared" si="61"/>
        <v>142.0401</v>
      </c>
      <c r="N1080" s="5">
        <f t="shared" si="61"/>
        <v>58.217499999999994</v>
      </c>
      <c r="O1080" s="5">
        <f t="shared" si="61"/>
        <v>4.4046000000000003</v>
      </c>
      <c r="P1080" s="5">
        <f t="shared" si="61"/>
        <v>14.707600000000001</v>
      </c>
      <c r="Q1080" s="5">
        <f t="shared" si="61"/>
        <v>240.15570000000002</v>
      </c>
      <c r="R1080" s="5"/>
      <c r="S1080" s="6"/>
    </row>
    <row r="1081" spans="1:19" ht="15" customHeight="1">
      <c r="A1081" s="3">
        <f t="shared" si="45"/>
        <v>2046</v>
      </c>
      <c r="B1081" s="8">
        <f t="shared" ref="B1081:J1081" si="62">AVERAGE(B389:B400)</f>
        <v>11.232866666666666</v>
      </c>
      <c r="C1081" s="8">
        <f t="shared" si="62"/>
        <v>11.243541666666667</v>
      </c>
      <c r="D1081" s="8">
        <f t="shared" si="62"/>
        <v>11.257374999999998</v>
      </c>
      <c r="E1081" s="8">
        <f t="shared" si="62"/>
        <v>11.251225</v>
      </c>
      <c r="F1081" s="4">
        <f t="shared" si="62"/>
        <v>11.938541666666666</v>
      </c>
      <c r="G1081" s="8">
        <f t="shared" si="62"/>
        <v>10.975691666666668</v>
      </c>
      <c r="H1081" s="4">
        <f t="shared" si="62"/>
        <v>11.906416666666665</v>
      </c>
      <c r="I1081" s="8">
        <f t="shared" si="62"/>
        <v>10.895041666666666</v>
      </c>
      <c r="J1081" s="4">
        <f t="shared" si="62"/>
        <v>10.770275</v>
      </c>
      <c r="K1081" s="7"/>
      <c r="L1081" s="5">
        <f t="shared" ref="L1081:Q1081" si="63">SUM(L389:L400)</f>
        <v>355.53689999999995</v>
      </c>
      <c r="M1081" s="5">
        <f t="shared" si="63"/>
        <v>142.0401</v>
      </c>
      <c r="N1081" s="5">
        <f t="shared" si="63"/>
        <v>58.217499999999994</v>
      </c>
      <c r="O1081" s="5">
        <f t="shared" si="63"/>
        <v>4.4046000000000003</v>
      </c>
      <c r="P1081" s="5">
        <f t="shared" si="63"/>
        <v>14.707600000000001</v>
      </c>
      <c r="Q1081" s="5">
        <f t="shared" si="63"/>
        <v>239.38920000000005</v>
      </c>
      <c r="R1081" s="5"/>
      <c r="S1081" s="6"/>
    </row>
    <row r="1082" spans="1:19" ht="15" customHeight="1">
      <c r="A1082" s="3">
        <f t="shared" si="45"/>
        <v>2047</v>
      </c>
      <c r="B1082" s="8">
        <f t="shared" ref="B1082:J1082" si="64">AVERAGE(B401:B412)</f>
        <v>11.502391666666666</v>
      </c>
      <c r="C1082" s="8">
        <f t="shared" si="64"/>
        <v>11.513066666666665</v>
      </c>
      <c r="D1082" s="8">
        <f t="shared" si="64"/>
        <v>11.526883333333332</v>
      </c>
      <c r="E1082" s="8">
        <f t="shared" si="64"/>
        <v>11.520750000000001</v>
      </c>
      <c r="F1082" s="4">
        <f t="shared" si="64"/>
        <v>12.208049999999998</v>
      </c>
      <c r="G1082" s="8">
        <f t="shared" si="64"/>
        <v>11.239191666666665</v>
      </c>
      <c r="H1082" s="4">
        <f t="shared" si="64"/>
        <v>12.169916666666667</v>
      </c>
      <c r="I1082" s="8">
        <f t="shared" si="64"/>
        <v>11.153941666666666</v>
      </c>
      <c r="J1082" s="4">
        <f t="shared" si="64"/>
        <v>11.029041666666666</v>
      </c>
      <c r="K1082" s="7"/>
      <c r="L1082" s="5">
        <f t="shared" ref="L1082:Q1082" si="65">SUM(L401:L412)</f>
        <v>355.53689999999995</v>
      </c>
      <c r="M1082" s="5">
        <f t="shared" si="65"/>
        <v>142.0401</v>
      </c>
      <c r="N1082" s="5">
        <f t="shared" si="65"/>
        <v>58.217499999999994</v>
      </c>
      <c r="O1082" s="5">
        <f t="shared" si="65"/>
        <v>4.4046000000000003</v>
      </c>
      <c r="P1082" s="5">
        <f t="shared" si="65"/>
        <v>14.707600000000001</v>
      </c>
      <c r="Q1082" s="5">
        <f t="shared" si="65"/>
        <v>238.62270000000004</v>
      </c>
      <c r="R1082" s="5"/>
      <c r="S1082" s="6"/>
    </row>
    <row r="1083" spans="1:19" ht="15" customHeight="1">
      <c r="A1083" s="3">
        <f t="shared" si="45"/>
        <v>2048</v>
      </c>
      <c r="B1083" s="8">
        <f t="shared" ref="B1083:J1083" si="66">AVERAGE(B413:B424)</f>
        <v>11.778358333333335</v>
      </c>
      <c r="C1083" s="8">
        <f t="shared" si="66"/>
        <v>11.789050000000001</v>
      </c>
      <c r="D1083" s="8">
        <f t="shared" si="66"/>
        <v>11.802866666666667</v>
      </c>
      <c r="E1083" s="8">
        <f t="shared" si="66"/>
        <v>11.796741666666664</v>
      </c>
      <c r="F1083" s="4">
        <f t="shared" si="66"/>
        <v>12.484016666666667</v>
      </c>
      <c r="G1083" s="8">
        <f t="shared" si="66"/>
        <v>11.509</v>
      </c>
      <c r="H1083" s="4">
        <f t="shared" si="66"/>
        <v>12.439758333333332</v>
      </c>
      <c r="I1083" s="8">
        <f t="shared" si="66"/>
        <v>11.419033333333333</v>
      </c>
      <c r="J1083" s="4">
        <f t="shared" si="66"/>
        <v>11.293999999999999</v>
      </c>
      <c r="K1083" s="7"/>
      <c r="L1083" s="5">
        <f t="shared" ref="L1083:Q1083" si="67">SUM(L413:L424)</f>
        <v>356.48229999999995</v>
      </c>
      <c r="M1083" s="5">
        <f t="shared" si="67"/>
        <v>142.42920000000001</v>
      </c>
      <c r="N1083" s="5">
        <f t="shared" si="67"/>
        <v>58.377000000000002</v>
      </c>
      <c r="O1083" s="5">
        <f t="shared" si="67"/>
        <v>4.4165999999999999</v>
      </c>
      <c r="P1083" s="5">
        <f t="shared" si="67"/>
        <v>14.7493</v>
      </c>
      <c r="Q1083" s="5">
        <f t="shared" si="67"/>
        <v>238.50780000000003</v>
      </c>
      <c r="R1083" s="5"/>
      <c r="S1083" s="6"/>
    </row>
    <row r="1084" spans="1:19" ht="15" customHeight="1">
      <c r="A1084" s="3">
        <f t="shared" si="45"/>
        <v>2049</v>
      </c>
      <c r="B1084" s="8">
        <f t="shared" ref="B1084:J1084" si="68">AVERAGE(B425:B436)</f>
        <v>12.060983333333333</v>
      </c>
      <c r="C1084" s="8">
        <f t="shared" si="68"/>
        <v>12.071674999999999</v>
      </c>
      <c r="D1084" s="8">
        <f t="shared" si="68"/>
        <v>12.085475000000001</v>
      </c>
      <c r="E1084" s="8">
        <f t="shared" si="68"/>
        <v>12.079358333333333</v>
      </c>
      <c r="F1084" s="4">
        <f t="shared" si="68"/>
        <v>12.766658333333332</v>
      </c>
      <c r="G1084" s="8">
        <f t="shared" si="68"/>
        <v>11.785333333333334</v>
      </c>
      <c r="H1084" s="4">
        <f t="shared" si="68"/>
        <v>12.716075000000002</v>
      </c>
      <c r="I1084" s="8">
        <f t="shared" si="68"/>
        <v>11.690524999999999</v>
      </c>
      <c r="J1084" s="4">
        <f t="shared" si="68"/>
        <v>11.565358333333334</v>
      </c>
      <c r="K1084" s="7"/>
      <c r="L1084" s="5">
        <f t="shared" ref="L1084:Q1084" si="69">SUM(L425:L436)</f>
        <v>355.53689999999995</v>
      </c>
      <c r="M1084" s="5">
        <f t="shared" si="69"/>
        <v>142.0401</v>
      </c>
      <c r="N1084" s="5">
        <f t="shared" si="69"/>
        <v>58.217499999999994</v>
      </c>
      <c r="O1084" s="5">
        <f t="shared" si="69"/>
        <v>4.4046000000000003</v>
      </c>
      <c r="P1084" s="5">
        <f t="shared" si="69"/>
        <v>14.707600000000001</v>
      </c>
      <c r="Q1084" s="5">
        <f t="shared" si="69"/>
        <v>237.08969999999999</v>
      </c>
      <c r="R1084" s="5"/>
      <c r="S1084" s="6"/>
    </row>
    <row r="1085" spans="1:19" ht="15" customHeight="1">
      <c r="A1085" s="3">
        <f t="shared" si="45"/>
        <v>2050</v>
      </c>
      <c r="B1085" s="8">
        <f t="shared" ref="B1085:J1085" si="70">AVERAGE(B437:B448)</f>
        <v>12.350416666666668</v>
      </c>
      <c r="C1085" s="8">
        <f t="shared" si="70"/>
        <v>12.361091666666667</v>
      </c>
      <c r="D1085" s="8">
        <f t="shared" si="70"/>
        <v>12.374916666666666</v>
      </c>
      <c r="E1085" s="8">
        <f t="shared" si="70"/>
        <v>12.368783333333335</v>
      </c>
      <c r="F1085" s="4">
        <f t="shared" si="70"/>
        <v>13.056066666666666</v>
      </c>
      <c r="G1085" s="8">
        <f t="shared" si="70"/>
        <v>12.068299999999999</v>
      </c>
      <c r="H1085" s="4">
        <f t="shared" si="70"/>
        <v>12.999016666666668</v>
      </c>
      <c r="I1085" s="8">
        <f t="shared" si="70"/>
        <v>11.968516666666668</v>
      </c>
      <c r="J1085" s="4">
        <f t="shared" si="70"/>
        <v>11.843224999999999</v>
      </c>
      <c r="K1085" s="7"/>
      <c r="L1085" s="5">
        <f t="shared" ref="L1085:Q1085" si="71">SUM(L437:L448)</f>
        <v>355.53689999999995</v>
      </c>
      <c r="M1085" s="5">
        <f t="shared" si="71"/>
        <v>142.0401</v>
      </c>
      <c r="N1085" s="5">
        <f t="shared" si="71"/>
        <v>58.217499999999994</v>
      </c>
      <c r="O1085" s="5">
        <f t="shared" si="71"/>
        <v>4.4046000000000003</v>
      </c>
      <c r="P1085" s="5">
        <f t="shared" si="71"/>
        <v>14.707600000000001</v>
      </c>
      <c r="Q1085" s="5">
        <f t="shared" si="71"/>
        <v>236.32320000000004</v>
      </c>
      <c r="R1085" s="5"/>
      <c r="S1085" s="6"/>
    </row>
    <row r="1086" spans="1:19" ht="15" customHeight="1">
      <c r="A1086" s="3">
        <f t="shared" si="45"/>
        <v>2051</v>
      </c>
      <c r="B1086" s="8">
        <f t="shared" ref="B1086:J1086" si="72">AVERAGE(B449:B460)</f>
        <v>12.646775</v>
      </c>
      <c r="C1086" s="8">
        <f t="shared" si="72"/>
        <v>12.657441666666665</v>
      </c>
      <c r="D1086" s="8">
        <f t="shared" si="72"/>
        <v>12.671258333333334</v>
      </c>
      <c r="E1086" s="8">
        <f t="shared" si="72"/>
        <v>12.665125000000002</v>
      </c>
      <c r="F1086" s="4">
        <f t="shared" si="72"/>
        <v>13.352425000000002</v>
      </c>
      <c r="G1086" s="8">
        <f t="shared" si="72"/>
        <v>12.358033333333337</v>
      </c>
      <c r="H1086" s="4">
        <f t="shared" si="72"/>
        <v>13.288758333333332</v>
      </c>
      <c r="I1086" s="8">
        <f t="shared" si="72"/>
        <v>12.253208333333331</v>
      </c>
      <c r="J1086" s="4">
        <f t="shared" si="72"/>
        <v>12.127766666666666</v>
      </c>
      <c r="K1086" s="7"/>
      <c r="L1086" s="5">
        <f t="shared" ref="L1086:Q1086" si="73">SUM(L449:L460)</f>
        <v>355.53689999999995</v>
      </c>
      <c r="M1086" s="5">
        <f t="shared" si="73"/>
        <v>142.0401</v>
      </c>
      <c r="N1086" s="5">
        <f t="shared" si="73"/>
        <v>58.217499999999994</v>
      </c>
      <c r="O1086" s="5">
        <f t="shared" si="73"/>
        <v>4.4046000000000003</v>
      </c>
      <c r="P1086" s="5">
        <f t="shared" si="73"/>
        <v>14.707600000000001</v>
      </c>
      <c r="Q1086" s="5">
        <f t="shared" si="73"/>
        <v>235.57820000000007</v>
      </c>
      <c r="R1086" s="5"/>
      <c r="S1086" s="6"/>
    </row>
    <row r="1087" spans="1:19" ht="15" customHeight="1">
      <c r="A1087" s="3">
        <f t="shared" si="45"/>
        <v>2052</v>
      </c>
      <c r="B1087" s="8">
        <f t="shared" ref="B1087:J1087" si="74">AVERAGE(B461:B472)</f>
        <v>12.950258333333332</v>
      </c>
      <c r="C1087" s="8">
        <f t="shared" si="74"/>
        <v>12.960924999999998</v>
      </c>
      <c r="D1087" s="8">
        <f t="shared" si="74"/>
        <v>12.97475</v>
      </c>
      <c r="E1087" s="8">
        <f t="shared" si="74"/>
        <v>12.9686</v>
      </c>
      <c r="F1087" s="4">
        <f t="shared" si="74"/>
        <v>13.655908333333334</v>
      </c>
      <c r="G1087" s="8">
        <f t="shared" si="74"/>
        <v>12.654766666666665</v>
      </c>
      <c r="H1087" s="4">
        <f t="shared" si="74"/>
        <v>13.585500000000001</v>
      </c>
      <c r="I1087" s="8">
        <f t="shared" si="74"/>
        <v>12.544725</v>
      </c>
      <c r="J1087" s="4">
        <f t="shared" si="74"/>
        <v>12.419133333333333</v>
      </c>
      <c r="K1087" s="7"/>
      <c r="L1087" s="5">
        <f t="shared" ref="L1087:Q1087" si="75">SUM(L461:L472)</f>
        <v>356.48229999999995</v>
      </c>
      <c r="M1087" s="5">
        <f t="shared" si="75"/>
        <v>142.42920000000001</v>
      </c>
      <c r="N1087" s="5">
        <f t="shared" si="75"/>
        <v>58.377000000000002</v>
      </c>
      <c r="O1087" s="5">
        <f t="shared" si="75"/>
        <v>4.4165999999999999</v>
      </c>
      <c r="P1087" s="5">
        <f t="shared" si="75"/>
        <v>14.7493</v>
      </c>
      <c r="Q1087" s="5">
        <f t="shared" si="75"/>
        <v>235.45500000000004</v>
      </c>
      <c r="R1087" s="5"/>
      <c r="S1087" s="6"/>
    </row>
    <row r="1088" spans="1:19" ht="15" customHeight="1">
      <c r="A1088" s="3">
        <f t="shared" si="45"/>
        <v>2053</v>
      </c>
      <c r="B1088" s="8">
        <f t="shared" ref="B1088:J1088" si="76">AVERAGE(B473:B484)</f>
        <v>13.261024999999998</v>
      </c>
      <c r="C1088" s="8">
        <f t="shared" si="76"/>
        <v>13.271708333333335</v>
      </c>
      <c r="D1088" s="8">
        <f t="shared" si="76"/>
        <v>13.285533333333332</v>
      </c>
      <c r="E1088" s="8">
        <f t="shared" si="76"/>
        <v>13.279399999999997</v>
      </c>
      <c r="F1088" s="4">
        <f t="shared" si="76"/>
        <v>13.966675</v>
      </c>
      <c r="G1088" s="8">
        <f t="shared" si="76"/>
        <v>12.958608333333332</v>
      </c>
      <c r="H1088" s="4">
        <f t="shared" si="76"/>
        <v>13.889341666666668</v>
      </c>
      <c r="I1088" s="8">
        <f t="shared" si="76"/>
        <v>12.843258333333333</v>
      </c>
      <c r="J1088" s="4">
        <f t="shared" si="76"/>
        <v>12.717500000000001</v>
      </c>
      <c r="K1088" s="7"/>
      <c r="L1088" s="5">
        <f t="shared" ref="L1088:Q1088" si="77">SUM(L473:L484)</f>
        <v>355.53689999999995</v>
      </c>
      <c r="M1088" s="5">
        <f t="shared" si="77"/>
        <v>142.0401</v>
      </c>
      <c r="N1088" s="5">
        <f t="shared" si="77"/>
        <v>58.217499999999994</v>
      </c>
      <c r="O1088" s="5">
        <f t="shared" si="77"/>
        <v>4.4046000000000003</v>
      </c>
      <c r="P1088" s="5">
        <f t="shared" si="77"/>
        <v>14.707600000000001</v>
      </c>
      <c r="Q1088" s="5">
        <f t="shared" si="77"/>
        <v>234.04520000000002</v>
      </c>
      <c r="R1088" s="5"/>
      <c r="S1088" s="6"/>
    </row>
    <row r="1089" spans="1:19" ht="15" customHeight="1">
      <c r="A1089" s="3">
        <f t="shared" si="45"/>
        <v>2054</v>
      </c>
      <c r="B1089" s="8">
        <f t="shared" ref="B1089:J1089" si="78">AVERAGE(B485:B496)</f>
        <v>13.579275000000001</v>
      </c>
      <c r="C1089" s="8">
        <f t="shared" si="78"/>
        <v>13.589966666666669</v>
      </c>
      <c r="D1089" s="8">
        <f t="shared" si="78"/>
        <v>13.603783333333334</v>
      </c>
      <c r="E1089" s="8">
        <f t="shared" si="78"/>
        <v>13.597658333333335</v>
      </c>
      <c r="F1089" s="4">
        <f t="shared" si="78"/>
        <v>14.284933333333333</v>
      </c>
      <c r="G1089" s="8">
        <f t="shared" si="78"/>
        <v>13.269758333333334</v>
      </c>
      <c r="H1089" s="4">
        <f t="shared" si="78"/>
        <v>14.200483333333333</v>
      </c>
      <c r="I1089" s="8">
        <f t="shared" si="78"/>
        <v>13.148966666666666</v>
      </c>
      <c r="J1089" s="4">
        <f t="shared" si="78"/>
        <v>13.023074999999999</v>
      </c>
      <c r="K1089" s="7"/>
      <c r="L1089" s="5">
        <f t="shared" ref="L1089:Q1089" si="79">SUM(L485:L496)</f>
        <v>355.53689999999995</v>
      </c>
      <c r="M1089" s="5">
        <f t="shared" si="79"/>
        <v>142.0401</v>
      </c>
      <c r="N1089" s="5">
        <f t="shared" si="79"/>
        <v>58.217499999999994</v>
      </c>
      <c r="O1089" s="5">
        <f t="shared" si="79"/>
        <v>4.4046000000000003</v>
      </c>
      <c r="P1089" s="5">
        <f t="shared" si="79"/>
        <v>14.707600000000001</v>
      </c>
      <c r="Q1089" s="5">
        <f t="shared" si="79"/>
        <v>233.30079999999998</v>
      </c>
      <c r="R1089" s="5"/>
      <c r="S1089" s="6"/>
    </row>
    <row r="1090" spans="1:19" ht="15" customHeight="1">
      <c r="A1090" s="3">
        <f t="shared" si="45"/>
        <v>2055</v>
      </c>
      <c r="B1090" s="8">
        <f t="shared" ref="B1090:J1090" si="80">AVERAGE(B497:B508)</f>
        <v>13.905166666666664</v>
      </c>
      <c r="C1090" s="8">
        <f t="shared" si="80"/>
        <v>13.915841666666667</v>
      </c>
      <c r="D1090" s="8">
        <f t="shared" si="80"/>
        <v>13.929666666666668</v>
      </c>
      <c r="E1090" s="8">
        <f t="shared" si="80"/>
        <v>13.923525000000003</v>
      </c>
      <c r="F1090" s="4">
        <f t="shared" si="80"/>
        <v>14.610808333333331</v>
      </c>
      <c r="G1090" s="8">
        <f t="shared" si="80"/>
        <v>13.588366666666666</v>
      </c>
      <c r="H1090" s="4">
        <f t="shared" si="80"/>
        <v>14.5191</v>
      </c>
      <c r="I1090" s="8">
        <f t="shared" si="80"/>
        <v>13.462008333333332</v>
      </c>
      <c r="J1090" s="4">
        <f t="shared" si="80"/>
        <v>13.335949999999997</v>
      </c>
      <c r="K1090" s="7"/>
      <c r="L1090" s="5">
        <f t="shared" ref="L1090:Q1090" si="81">SUM(L497:L508)</f>
        <v>355.53689999999995</v>
      </c>
      <c r="M1090" s="5">
        <f t="shared" si="81"/>
        <v>142.0401</v>
      </c>
      <c r="N1090" s="5">
        <f t="shared" si="81"/>
        <v>58.217499999999994</v>
      </c>
      <c r="O1090" s="5">
        <f t="shared" si="81"/>
        <v>4.4046000000000003</v>
      </c>
      <c r="P1090" s="5">
        <f t="shared" si="81"/>
        <v>14.707600000000001</v>
      </c>
      <c r="Q1090" s="5">
        <f t="shared" si="81"/>
        <v>232.55579999999998</v>
      </c>
      <c r="R1090" s="5"/>
      <c r="S1090" s="6"/>
    </row>
    <row r="1091" spans="1:19" ht="15" customHeight="1">
      <c r="A1091" s="3">
        <f t="shared" si="45"/>
        <v>2056</v>
      </c>
      <c r="B1091" s="8">
        <f t="shared" ref="B1091:J1091" si="82">AVERAGE(B509:B520)</f>
        <v>14.238891666666667</v>
      </c>
      <c r="C1091" s="8">
        <f t="shared" si="82"/>
        <v>14.249574999999998</v>
      </c>
      <c r="D1091" s="8">
        <f t="shared" si="82"/>
        <v>14.263391666666665</v>
      </c>
      <c r="E1091" s="8">
        <f t="shared" si="82"/>
        <v>14.257249999999999</v>
      </c>
      <c r="F1091" s="4">
        <f t="shared" si="82"/>
        <v>14.944533333333334</v>
      </c>
      <c r="G1091" s="8">
        <f t="shared" si="82"/>
        <v>13.914666666666667</v>
      </c>
      <c r="H1091" s="4">
        <f t="shared" si="82"/>
        <v>14.845391666666666</v>
      </c>
      <c r="I1091" s="8">
        <f t="shared" si="82"/>
        <v>13.782575</v>
      </c>
      <c r="J1091" s="4">
        <f t="shared" si="82"/>
        <v>13.656341666666668</v>
      </c>
      <c r="K1091" s="7"/>
      <c r="L1091" s="5">
        <f t="shared" ref="L1091:Q1091" si="83">SUM(L509:L520)</f>
        <v>356.48229999999995</v>
      </c>
      <c r="M1091" s="5">
        <f t="shared" si="83"/>
        <v>142.42920000000001</v>
      </c>
      <c r="N1091" s="5">
        <f t="shared" si="83"/>
        <v>58.377000000000002</v>
      </c>
      <c r="O1091" s="5">
        <f t="shared" si="83"/>
        <v>4.4165999999999999</v>
      </c>
      <c r="P1091" s="5">
        <f t="shared" si="83"/>
        <v>14.7493</v>
      </c>
      <c r="Q1091" s="5">
        <f t="shared" si="83"/>
        <v>232.44659999999996</v>
      </c>
      <c r="R1091" s="5"/>
      <c r="S1091" s="6"/>
    </row>
    <row r="1092" spans="1:19" ht="15" customHeight="1">
      <c r="A1092" s="3">
        <f t="shared" si="45"/>
        <v>2057</v>
      </c>
      <c r="B1092" s="8">
        <f t="shared" ref="B1092:J1092" si="84">AVERAGE(B521:B532)</f>
        <v>14.580625</v>
      </c>
      <c r="C1092" s="8">
        <f t="shared" si="84"/>
        <v>14.591308333333336</v>
      </c>
      <c r="D1092" s="8">
        <f t="shared" si="84"/>
        <v>14.6051</v>
      </c>
      <c r="E1092" s="8">
        <f t="shared" si="84"/>
        <v>14.598999999999997</v>
      </c>
      <c r="F1092" s="4">
        <f t="shared" si="84"/>
        <v>15.28628333333333</v>
      </c>
      <c r="G1092" s="8">
        <f t="shared" si="84"/>
        <v>14.248775000000002</v>
      </c>
      <c r="H1092" s="4">
        <f t="shared" si="84"/>
        <v>15.179499999999999</v>
      </c>
      <c r="I1092" s="8">
        <f t="shared" si="84"/>
        <v>14.110841666666666</v>
      </c>
      <c r="J1092" s="4">
        <f t="shared" si="84"/>
        <v>13.984458333333334</v>
      </c>
      <c r="K1092" s="7"/>
      <c r="L1092" s="5">
        <f t="shared" ref="L1092:Q1092" si="85">SUM(L521:L532)</f>
        <v>355.53689999999995</v>
      </c>
      <c r="M1092" s="5">
        <f t="shared" si="85"/>
        <v>142.0401</v>
      </c>
      <c r="N1092" s="5">
        <f t="shared" si="85"/>
        <v>58.217499999999994</v>
      </c>
      <c r="O1092" s="5">
        <f t="shared" si="85"/>
        <v>4.4046000000000003</v>
      </c>
      <c r="P1092" s="5">
        <f t="shared" si="85"/>
        <v>14.707600000000001</v>
      </c>
      <c r="Q1092" s="5">
        <f t="shared" si="85"/>
        <v>231.81149999999997</v>
      </c>
      <c r="R1092" s="5"/>
      <c r="S1092" s="6"/>
    </row>
    <row r="1093" spans="1:19" ht="15" customHeight="1">
      <c r="A1093" s="3">
        <f t="shared" si="45"/>
        <v>2058</v>
      </c>
      <c r="B1093" s="8">
        <f t="shared" ref="B1093:J1093" si="86">AVERAGE(B533:B544)</f>
        <v>14.930583333333331</v>
      </c>
      <c r="C1093" s="8">
        <f t="shared" si="86"/>
        <v>14.941275000000003</v>
      </c>
      <c r="D1093" s="8">
        <f t="shared" si="86"/>
        <v>14.955066666666667</v>
      </c>
      <c r="E1093" s="8">
        <f t="shared" si="86"/>
        <v>14.948950000000004</v>
      </c>
      <c r="F1093" s="4">
        <f t="shared" si="86"/>
        <v>15.636258333333332</v>
      </c>
      <c r="G1093" s="8">
        <f t="shared" si="86"/>
        <v>14.590924999999999</v>
      </c>
      <c r="H1093" s="4">
        <f t="shared" si="86"/>
        <v>15.521650000000001</v>
      </c>
      <c r="I1093" s="8">
        <f t="shared" si="86"/>
        <v>14.446983333333334</v>
      </c>
      <c r="J1093" s="4">
        <f t="shared" si="86"/>
        <v>14.320441666666667</v>
      </c>
      <c r="K1093" s="7"/>
      <c r="L1093" s="5">
        <f t="shared" ref="L1093:Q1093" si="87">SUM(L533:L544)</f>
        <v>355.53689999999995</v>
      </c>
      <c r="M1093" s="5">
        <f t="shared" si="87"/>
        <v>142.0401</v>
      </c>
      <c r="N1093" s="5">
        <f t="shared" si="87"/>
        <v>58.217499999999994</v>
      </c>
      <c r="O1093" s="5">
        <f t="shared" si="87"/>
        <v>4.4046000000000003</v>
      </c>
      <c r="P1093" s="5">
        <f t="shared" si="87"/>
        <v>14.707600000000001</v>
      </c>
      <c r="Q1093" s="5">
        <f t="shared" si="87"/>
        <v>231.81149999999997</v>
      </c>
      <c r="R1093" s="5"/>
      <c r="S1093" s="6"/>
    </row>
    <row r="1094" spans="1:19" ht="15" customHeight="1">
      <c r="A1094" s="3">
        <f t="shared" si="45"/>
        <v>2059</v>
      </c>
      <c r="B1094" s="8">
        <f t="shared" ref="B1094:J1094" si="88">AVERAGE(B545:B556)</f>
        <v>15.288925000000001</v>
      </c>
      <c r="C1094" s="8">
        <f t="shared" si="88"/>
        <v>15.299641666666668</v>
      </c>
      <c r="D1094" s="8">
        <f t="shared" si="88"/>
        <v>15.313425000000001</v>
      </c>
      <c r="E1094" s="8">
        <f t="shared" si="88"/>
        <v>15.307308333333333</v>
      </c>
      <c r="F1094" s="4">
        <f t="shared" si="88"/>
        <v>15.994599999999997</v>
      </c>
      <c r="G1094" s="8">
        <f t="shared" si="88"/>
        <v>14.941291666666665</v>
      </c>
      <c r="H1094" s="4">
        <f t="shared" si="88"/>
        <v>15.872016666666667</v>
      </c>
      <c r="I1094" s="8">
        <f t="shared" si="88"/>
        <v>14.791233333333333</v>
      </c>
      <c r="J1094" s="4">
        <f t="shared" si="88"/>
        <v>14.664508333333332</v>
      </c>
      <c r="K1094" s="4"/>
      <c r="L1094" s="5">
        <f>SUM(L545:L556)</f>
        <v>355.53689999999995</v>
      </c>
      <c r="M1094" s="5">
        <f>SUM(M545:M556)</f>
        <v>142.0401</v>
      </c>
      <c r="N1094" s="5">
        <f>SUM(N545:N556)</f>
        <v>58.217499999999994</v>
      </c>
      <c r="O1094" s="5">
        <f>SUM(O534:O545)</f>
        <v>4.4046000000000003</v>
      </c>
      <c r="P1094" s="5">
        <f>SUM(P545:P556)</f>
        <v>14.707600000000001</v>
      </c>
      <c r="Q1094" s="5">
        <f>SUM(Q545:Q556)</f>
        <v>231.81149999999997</v>
      </c>
      <c r="R1094" s="5"/>
      <c r="S1094" s="4"/>
    </row>
    <row r="1095" spans="1:19" ht="15" customHeight="1">
      <c r="A1095" s="3">
        <f t="shared" si="45"/>
        <v>2060</v>
      </c>
      <c r="B1095" s="8">
        <f t="shared" ref="B1095:J1095" si="89">AVERAGE(B557:B568)</f>
        <v>15.655900000000001</v>
      </c>
      <c r="C1095" s="8">
        <f t="shared" si="89"/>
        <v>15.666591666666664</v>
      </c>
      <c r="D1095" s="8">
        <f t="shared" si="89"/>
        <v>15.680408333333332</v>
      </c>
      <c r="E1095" s="8">
        <f t="shared" si="89"/>
        <v>15.674275000000002</v>
      </c>
      <c r="F1095" s="4">
        <f t="shared" si="89"/>
        <v>16.361558333333335</v>
      </c>
      <c r="G1095" s="8">
        <f t="shared" si="89"/>
        <v>15.300075000000001</v>
      </c>
      <c r="H1095" s="4">
        <f t="shared" si="89"/>
        <v>16.230816666666666</v>
      </c>
      <c r="I1095" s="8">
        <f t="shared" si="89"/>
        <v>15.143733333333332</v>
      </c>
      <c r="J1095" s="4">
        <f t="shared" si="89"/>
        <v>15.016841666666666</v>
      </c>
      <c r="K1095" s="7"/>
      <c r="L1095" s="5">
        <f>SUM(L557:L568)</f>
        <v>356.48229999999995</v>
      </c>
      <c r="M1095" s="5">
        <f>SUM(M557:M568)</f>
        <v>142.42920000000001</v>
      </c>
      <c r="N1095" s="5">
        <f>SUM(N557:N568)</f>
        <v>58.377000000000002</v>
      </c>
      <c r="O1095" s="5">
        <f>SUM(O535:O546)</f>
        <v>4.4046000000000003</v>
      </c>
      <c r="P1095" s="5">
        <f>SUM(P557:P568)</f>
        <v>14.7493</v>
      </c>
      <c r="Q1095" s="5">
        <f>SUM(Q557:Q568)</f>
        <v>232.44659999999996</v>
      </c>
      <c r="R1095" s="5"/>
      <c r="S1095" s="6"/>
    </row>
    <row r="1096" spans="1:19" ht="15" customHeight="1">
      <c r="A1096" s="3">
        <f t="shared" si="45"/>
        <v>2061</v>
      </c>
      <c r="B1096" s="8">
        <f t="shared" ref="B1096:J1096" si="90">AVERAGE(B569:B580)</f>
        <v>16.031708333333331</v>
      </c>
      <c r="C1096" s="8">
        <f t="shared" si="90"/>
        <v>16.042383333333333</v>
      </c>
      <c r="D1096" s="8">
        <f t="shared" si="90"/>
        <v>16.056191666666667</v>
      </c>
      <c r="E1096" s="8">
        <f t="shared" si="90"/>
        <v>16.050058333333329</v>
      </c>
      <c r="F1096" s="4">
        <f t="shared" si="90"/>
        <v>16.737358333333333</v>
      </c>
      <c r="G1096" s="8">
        <f t="shared" si="90"/>
        <v>15.667483333333335</v>
      </c>
      <c r="H1096" s="4">
        <f t="shared" si="90"/>
        <v>16.598233333333337</v>
      </c>
      <c r="I1096" s="8">
        <f t="shared" si="90"/>
        <v>15.504716666666667</v>
      </c>
      <c r="J1096" s="4">
        <f t="shared" si="90"/>
        <v>15.377633333333334</v>
      </c>
      <c r="K1096" s="7"/>
      <c r="L1096" s="5">
        <f>SUM(L569:L580)</f>
        <v>355.53689999999995</v>
      </c>
      <c r="M1096" s="5">
        <f>SUM(M569:M580)</f>
        <v>142.0401</v>
      </c>
      <c r="N1096" s="5">
        <f>SUM(N569:N580)</f>
        <v>58.217499999999994</v>
      </c>
      <c r="O1096" s="5">
        <f>SUM(O536:O547)</f>
        <v>4.4046000000000003</v>
      </c>
      <c r="P1096" s="5">
        <f>SUM(P569:P580)</f>
        <v>14.707600000000001</v>
      </c>
      <c r="Q1096" s="5">
        <f>SUM(Q569:Q580)</f>
        <v>231.81149999999997</v>
      </c>
      <c r="R1096" s="5"/>
      <c r="S1096" s="6"/>
    </row>
    <row r="1097" spans="1:19" ht="15" customHeight="1">
      <c r="A1097" s="3">
        <f t="shared" si="45"/>
        <v>2062</v>
      </c>
      <c r="B1097" s="4">
        <f t="shared" ref="B1097:J1106" ca="1" si="91">AVERAGE(OFFSET(B$581,($A1097-$A$1097)*12,0,12,1))</f>
        <v>16.416500000000003</v>
      </c>
      <c r="C1097" s="4">
        <f t="shared" ca="1" si="91"/>
        <v>16.427183333333332</v>
      </c>
      <c r="D1097" s="4">
        <f t="shared" ca="1" si="91"/>
        <v>16.441008333333333</v>
      </c>
      <c r="E1097" s="4">
        <f t="shared" ca="1" si="91"/>
        <v>16.434866666666665</v>
      </c>
      <c r="F1097" s="4">
        <f t="shared" ca="1" si="91"/>
        <v>17.122166666666665</v>
      </c>
      <c r="G1097" s="4">
        <f t="shared" ca="1" si="91"/>
        <v>16.043725000000002</v>
      </c>
      <c r="H1097" s="4">
        <f t="shared" ca="1" si="91"/>
        <v>16.974433333333334</v>
      </c>
      <c r="I1097" s="4">
        <f t="shared" ca="1" si="91"/>
        <v>15.874341666666664</v>
      </c>
      <c r="J1097" s="4">
        <f t="shared" ca="1" si="91"/>
        <v>15.747083333333334</v>
      </c>
      <c r="K1097" s="4"/>
      <c r="L1097" s="5">
        <f t="shared" ref="L1097:Q1106" ca="1" si="92">SUM(OFFSET(L$581,($A1097-$A$1097)*12,0,12,1))</f>
        <v>355.53689999999995</v>
      </c>
      <c r="M1097" s="5">
        <f t="shared" ca="1" si="92"/>
        <v>142.0401</v>
      </c>
      <c r="N1097" s="5">
        <f t="shared" ca="1" si="92"/>
        <v>58.217499999999994</v>
      </c>
      <c r="O1097" s="5">
        <f t="shared" ca="1" si="92"/>
        <v>4.4046000000000003</v>
      </c>
      <c r="P1097" s="5">
        <f t="shared" ca="1" si="92"/>
        <v>14.707600000000001</v>
      </c>
      <c r="Q1097" s="5">
        <f t="shared" ca="1" si="92"/>
        <v>231.81149999999997</v>
      </c>
      <c r="R1097" s="4"/>
      <c r="S1097" s="4"/>
    </row>
    <row r="1098" spans="1:19" ht="15" customHeight="1">
      <c r="A1098" s="3">
        <f t="shared" si="45"/>
        <v>2063</v>
      </c>
      <c r="B1098" s="4">
        <f t="shared" ca="1" si="91"/>
        <v>16.810566666666666</v>
      </c>
      <c r="C1098" s="4">
        <f t="shared" ca="1" si="91"/>
        <v>16.821250000000003</v>
      </c>
      <c r="D1098" s="4">
        <f t="shared" ca="1" si="91"/>
        <v>16.835075</v>
      </c>
      <c r="E1098" s="4">
        <f t="shared" ca="1" si="91"/>
        <v>16.828941666666669</v>
      </c>
      <c r="F1098" s="4">
        <f t="shared" ca="1" si="91"/>
        <v>17.516233333333332</v>
      </c>
      <c r="G1098" s="4">
        <f t="shared" ca="1" si="91"/>
        <v>16.428991666666668</v>
      </c>
      <c r="H1098" s="4">
        <f t="shared" ca="1" si="91"/>
        <v>17.359724999999997</v>
      </c>
      <c r="I1098" s="4">
        <f t="shared" ca="1" si="91"/>
        <v>16.252866666666666</v>
      </c>
      <c r="J1098" s="4">
        <f t="shared" ca="1" si="91"/>
        <v>16.125441666666671</v>
      </c>
      <c r="K1098" s="4"/>
      <c r="L1098" s="5">
        <f t="shared" ca="1" si="92"/>
        <v>355.53689999999995</v>
      </c>
      <c r="M1098" s="5">
        <f t="shared" ca="1" si="92"/>
        <v>142.0401</v>
      </c>
      <c r="N1098" s="5">
        <f t="shared" ca="1" si="92"/>
        <v>58.217499999999994</v>
      </c>
      <c r="O1098" s="5">
        <f t="shared" ca="1" si="92"/>
        <v>4.4046000000000003</v>
      </c>
      <c r="P1098" s="5">
        <f t="shared" ca="1" si="92"/>
        <v>14.707600000000001</v>
      </c>
      <c r="Q1098" s="5">
        <f t="shared" ca="1" si="92"/>
        <v>231.81149999999997</v>
      </c>
      <c r="R1098" s="4"/>
      <c r="S1098" s="4"/>
    </row>
    <row r="1099" spans="1:19" ht="15" customHeight="1">
      <c r="A1099" s="3">
        <f t="shared" si="45"/>
        <v>2064</v>
      </c>
      <c r="B1099" s="4">
        <f t="shared" ca="1" si="91"/>
        <v>17.214108333333332</v>
      </c>
      <c r="C1099" s="4">
        <f t="shared" ca="1" si="91"/>
        <v>17.224783333333335</v>
      </c>
      <c r="D1099" s="4">
        <f t="shared" ca="1" si="91"/>
        <v>17.238608333333335</v>
      </c>
      <c r="E1099" s="4">
        <f t="shared" ca="1" si="91"/>
        <v>17.232475000000001</v>
      </c>
      <c r="F1099" s="4">
        <f t="shared" ca="1" si="91"/>
        <v>17.919758333333334</v>
      </c>
      <c r="G1099" s="4">
        <f t="shared" ca="1" si="91"/>
        <v>16.823525</v>
      </c>
      <c r="H1099" s="4">
        <f t="shared" ca="1" si="91"/>
        <v>17.754249999999995</v>
      </c>
      <c r="I1099" s="4">
        <f t="shared" ca="1" si="91"/>
        <v>16.640500000000003</v>
      </c>
      <c r="J1099" s="4">
        <f t="shared" ca="1" si="91"/>
        <v>16.51285833333333</v>
      </c>
      <c r="K1099" s="4"/>
      <c r="L1099" s="5">
        <f t="shared" ca="1" si="92"/>
        <v>356.48229999999995</v>
      </c>
      <c r="M1099" s="5">
        <f t="shared" ca="1" si="92"/>
        <v>142.42920000000001</v>
      </c>
      <c r="N1099" s="5">
        <f t="shared" ca="1" si="92"/>
        <v>58.377000000000002</v>
      </c>
      <c r="O1099" s="5">
        <f t="shared" ca="1" si="92"/>
        <v>4.4165999999999999</v>
      </c>
      <c r="P1099" s="5">
        <f t="shared" ca="1" si="92"/>
        <v>14.7493</v>
      </c>
      <c r="Q1099" s="5">
        <f t="shared" ca="1" si="92"/>
        <v>232.44659999999996</v>
      </c>
      <c r="R1099" s="4"/>
      <c r="S1099" s="4"/>
    </row>
    <row r="1100" spans="1:19" ht="15" customHeight="1">
      <c r="A1100" s="3">
        <f t="shared" si="45"/>
        <v>2065</v>
      </c>
      <c r="B1100" s="4">
        <f t="shared" ca="1" si="91"/>
        <v>17.627325000000003</v>
      </c>
      <c r="C1100" s="4">
        <f t="shared" ca="1" si="91"/>
        <v>17.638016666666669</v>
      </c>
      <c r="D1100" s="4">
        <f t="shared" ca="1" si="91"/>
        <v>17.651816666666665</v>
      </c>
      <c r="E1100" s="4">
        <f t="shared" ca="1" si="91"/>
        <v>17.645700000000001</v>
      </c>
      <c r="F1100" s="4">
        <f t="shared" ca="1" si="91"/>
        <v>18.332975000000005</v>
      </c>
      <c r="G1100" s="4">
        <f t="shared" ca="1" si="91"/>
        <v>17.227516666666666</v>
      </c>
      <c r="H1100" s="4">
        <f t="shared" ca="1" si="91"/>
        <v>18.158249999999999</v>
      </c>
      <c r="I1100" s="4">
        <f t="shared" ca="1" si="91"/>
        <v>17.037441666666666</v>
      </c>
      <c r="J1100" s="4">
        <f t="shared" ca="1" si="91"/>
        <v>16.909583333333334</v>
      </c>
      <c r="K1100" s="4"/>
      <c r="L1100" s="5">
        <f t="shared" ca="1" si="92"/>
        <v>355.53689999999995</v>
      </c>
      <c r="M1100" s="5">
        <f t="shared" ca="1" si="92"/>
        <v>142.0401</v>
      </c>
      <c r="N1100" s="5">
        <f t="shared" ca="1" si="92"/>
        <v>58.217499999999994</v>
      </c>
      <c r="O1100" s="5">
        <f t="shared" ca="1" si="92"/>
        <v>4.4046000000000003</v>
      </c>
      <c r="P1100" s="5">
        <f t="shared" ca="1" si="92"/>
        <v>14.707600000000001</v>
      </c>
      <c r="Q1100" s="5">
        <f t="shared" ca="1" si="92"/>
        <v>231.81149999999997</v>
      </c>
      <c r="R1100" s="4"/>
      <c r="S1100" s="4"/>
    </row>
    <row r="1101" spans="1:19" ht="15" customHeight="1">
      <c r="A1101" s="3">
        <f t="shared" si="45"/>
        <v>2066</v>
      </c>
      <c r="B1101" s="4">
        <f t="shared" ca="1" si="91"/>
        <v>18.050483333333332</v>
      </c>
      <c r="C1101" s="4">
        <f t="shared" ca="1" si="91"/>
        <v>18.061166666666665</v>
      </c>
      <c r="D1101" s="4">
        <f t="shared" ca="1" si="91"/>
        <v>18.074991666666666</v>
      </c>
      <c r="E1101" s="4">
        <f t="shared" ca="1" si="91"/>
        <v>18.068858333333331</v>
      </c>
      <c r="F1101" s="4">
        <f t="shared" ca="1" si="91"/>
        <v>18.756125000000001</v>
      </c>
      <c r="G1101" s="4">
        <f t="shared" ca="1" si="91"/>
        <v>17.641266666666663</v>
      </c>
      <c r="H1101" s="4">
        <f t="shared" ca="1" si="91"/>
        <v>18.571983333333336</v>
      </c>
      <c r="I1101" s="4">
        <f t="shared" ca="1" si="91"/>
        <v>17.443916666666667</v>
      </c>
      <c r="J1101" s="4">
        <f t="shared" ca="1" si="91"/>
        <v>17.315866666666668</v>
      </c>
      <c r="K1101" s="4"/>
      <c r="L1101" s="5">
        <f t="shared" ca="1" si="92"/>
        <v>355.53689999999995</v>
      </c>
      <c r="M1101" s="5">
        <f t="shared" ca="1" si="92"/>
        <v>142.0401</v>
      </c>
      <c r="N1101" s="5">
        <f t="shared" ca="1" si="92"/>
        <v>58.217499999999994</v>
      </c>
      <c r="O1101" s="5">
        <f t="shared" ca="1" si="92"/>
        <v>4.4046000000000003</v>
      </c>
      <c r="P1101" s="5">
        <f t="shared" ca="1" si="92"/>
        <v>14.707600000000001</v>
      </c>
      <c r="Q1101" s="5">
        <f t="shared" ca="1" si="92"/>
        <v>231.81149999999997</v>
      </c>
      <c r="R1101" s="4"/>
      <c r="S1101" s="4"/>
    </row>
    <row r="1102" spans="1:19" ht="15" customHeight="1">
      <c r="A1102" s="3">
        <f t="shared" si="45"/>
        <v>2067</v>
      </c>
      <c r="B1102" s="4">
        <f t="shared" ca="1" si="91"/>
        <v>18.483833333333333</v>
      </c>
      <c r="C1102" s="4">
        <f t="shared" ca="1" si="91"/>
        <v>18.494483333333335</v>
      </c>
      <c r="D1102" s="4">
        <f t="shared" ca="1" si="91"/>
        <v>18.508325000000003</v>
      </c>
      <c r="E1102" s="4">
        <f t="shared" ca="1" si="91"/>
        <v>18.502174999999998</v>
      </c>
      <c r="F1102" s="4">
        <f t="shared" ca="1" si="91"/>
        <v>19.189466666666664</v>
      </c>
      <c r="G1102" s="4">
        <f t="shared" ca="1" si="91"/>
        <v>18.064908333333332</v>
      </c>
      <c r="H1102" s="4">
        <f t="shared" ca="1" si="91"/>
        <v>18.995641666666668</v>
      </c>
      <c r="I1102" s="4">
        <f t="shared" ca="1" si="91"/>
        <v>17.860158333333334</v>
      </c>
      <c r="J1102" s="4">
        <f t="shared" ca="1" si="91"/>
        <v>17.73190833333333</v>
      </c>
      <c r="K1102" s="4"/>
      <c r="L1102" s="5">
        <f t="shared" ca="1" si="92"/>
        <v>355.53689999999995</v>
      </c>
      <c r="M1102" s="5">
        <f t="shared" ca="1" si="92"/>
        <v>142.0401</v>
      </c>
      <c r="N1102" s="5">
        <f t="shared" ca="1" si="92"/>
        <v>58.217499999999994</v>
      </c>
      <c r="O1102" s="5">
        <f t="shared" ca="1" si="92"/>
        <v>4.4046000000000003</v>
      </c>
      <c r="P1102" s="5">
        <f t="shared" ca="1" si="92"/>
        <v>14.707600000000001</v>
      </c>
      <c r="Q1102" s="5">
        <f t="shared" ca="1" si="92"/>
        <v>231.81149999999997</v>
      </c>
      <c r="R1102" s="4"/>
      <c r="S1102" s="4"/>
    </row>
    <row r="1103" spans="1:19" ht="15" customHeight="1">
      <c r="A1103" s="3">
        <f t="shared" si="45"/>
        <v>2068</v>
      </c>
      <c r="B1103" s="4">
        <f t="shared" ca="1" si="91"/>
        <v>18.92755</v>
      </c>
      <c r="C1103" s="4">
        <f t="shared" ca="1" si="91"/>
        <v>18.938233333333336</v>
      </c>
      <c r="D1103" s="4">
        <f t="shared" ca="1" si="91"/>
        <v>18.952033333333333</v>
      </c>
      <c r="E1103" s="4">
        <f t="shared" ca="1" si="91"/>
        <v>18.945924999999999</v>
      </c>
      <c r="F1103" s="4">
        <f t="shared" ca="1" si="91"/>
        <v>19.633208333333332</v>
      </c>
      <c r="G1103" s="4">
        <f t="shared" ca="1" si="91"/>
        <v>18.498775000000006</v>
      </c>
      <c r="H1103" s="4">
        <f t="shared" ca="1" si="91"/>
        <v>19.429483333333334</v>
      </c>
      <c r="I1103" s="4">
        <f t="shared" ca="1" si="91"/>
        <v>18.2864</v>
      </c>
      <c r="J1103" s="4">
        <f t="shared" ca="1" si="91"/>
        <v>18.157924999999999</v>
      </c>
      <c r="K1103" s="4"/>
      <c r="L1103" s="5">
        <f t="shared" ca="1" si="92"/>
        <v>356.48229999999995</v>
      </c>
      <c r="M1103" s="5">
        <f t="shared" ca="1" si="92"/>
        <v>142.42920000000001</v>
      </c>
      <c r="N1103" s="5">
        <f t="shared" ca="1" si="92"/>
        <v>58.377000000000002</v>
      </c>
      <c r="O1103" s="5">
        <f t="shared" ca="1" si="92"/>
        <v>4.4165999999999999</v>
      </c>
      <c r="P1103" s="5">
        <f t="shared" ca="1" si="92"/>
        <v>14.7493</v>
      </c>
      <c r="Q1103" s="5">
        <f t="shared" ca="1" si="92"/>
        <v>232.44659999999996</v>
      </c>
      <c r="R1103" s="4"/>
      <c r="S1103" s="4"/>
    </row>
    <row r="1104" spans="1:19" ht="15" customHeight="1">
      <c r="A1104" s="3">
        <f t="shared" si="45"/>
        <v>2069</v>
      </c>
      <c r="B1104" s="4">
        <f t="shared" ca="1" si="91"/>
        <v>19.381933333333333</v>
      </c>
      <c r="C1104" s="4">
        <f t="shared" ca="1" si="91"/>
        <v>19.392624999999999</v>
      </c>
      <c r="D1104" s="4">
        <f t="shared" ca="1" si="91"/>
        <v>19.406433333333336</v>
      </c>
      <c r="E1104" s="4">
        <f t="shared" ca="1" si="91"/>
        <v>19.400308333333331</v>
      </c>
      <c r="F1104" s="4">
        <f t="shared" ca="1" si="91"/>
        <v>20.087591666666668</v>
      </c>
      <c r="G1104" s="4">
        <f t="shared" ca="1" si="91"/>
        <v>18.943024999999999</v>
      </c>
      <c r="H1104" s="4">
        <f t="shared" ca="1" si="91"/>
        <v>19.873766666666665</v>
      </c>
      <c r="I1104" s="4">
        <f t="shared" ca="1" si="91"/>
        <v>18.722875000000002</v>
      </c>
      <c r="J1104" s="4">
        <f t="shared" ca="1" si="91"/>
        <v>18.594200000000001</v>
      </c>
      <c r="K1104" s="4"/>
      <c r="L1104" s="5">
        <f t="shared" ca="1" si="92"/>
        <v>355.53689999999995</v>
      </c>
      <c r="M1104" s="5">
        <f t="shared" ca="1" si="92"/>
        <v>142.0401</v>
      </c>
      <c r="N1104" s="5">
        <f t="shared" ca="1" si="92"/>
        <v>58.217499999999994</v>
      </c>
      <c r="O1104" s="5">
        <f t="shared" ca="1" si="92"/>
        <v>4.4046000000000003</v>
      </c>
      <c r="P1104" s="5">
        <f t="shared" ca="1" si="92"/>
        <v>14.707600000000001</v>
      </c>
      <c r="Q1104" s="5">
        <f t="shared" ca="1" si="92"/>
        <v>231.81149999999997</v>
      </c>
      <c r="R1104" s="4"/>
      <c r="S1104" s="4"/>
    </row>
    <row r="1105" spans="1:19" ht="15" customHeight="1">
      <c r="A1105" s="3">
        <f t="shared" ref="A1105:A1135" si="93">A1104+1</f>
        <v>2070</v>
      </c>
      <c r="B1105" s="4">
        <f t="shared" ca="1" si="91"/>
        <v>19.847258333333333</v>
      </c>
      <c r="C1105" s="4">
        <f t="shared" ca="1" si="91"/>
        <v>19.857933333333332</v>
      </c>
      <c r="D1105" s="4">
        <f t="shared" ca="1" si="91"/>
        <v>19.871750000000002</v>
      </c>
      <c r="E1105" s="4">
        <f t="shared" ca="1" si="91"/>
        <v>19.865624999999998</v>
      </c>
      <c r="F1105" s="4">
        <f t="shared" ca="1" si="91"/>
        <v>20.552908333333335</v>
      </c>
      <c r="G1105" s="4">
        <f t="shared" ca="1" si="91"/>
        <v>19.397966666666665</v>
      </c>
      <c r="H1105" s="4">
        <f t="shared" ca="1" si="91"/>
        <v>20.328699999999998</v>
      </c>
      <c r="I1105" s="4">
        <f t="shared" ca="1" si="91"/>
        <v>19.169858333333334</v>
      </c>
      <c r="J1105" s="4">
        <f t="shared" ca="1" si="91"/>
        <v>19.040949999999999</v>
      </c>
      <c r="K1105" s="4"/>
      <c r="L1105" s="5">
        <f t="shared" ca="1" si="92"/>
        <v>355.53689999999995</v>
      </c>
      <c r="M1105" s="5">
        <f t="shared" ca="1" si="92"/>
        <v>142.0401</v>
      </c>
      <c r="N1105" s="5">
        <f t="shared" ca="1" si="92"/>
        <v>58.217499999999994</v>
      </c>
      <c r="O1105" s="5">
        <f t="shared" ca="1" si="92"/>
        <v>4.4046000000000003</v>
      </c>
      <c r="P1105" s="5">
        <f t="shared" ca="1" si="92"/>
        <v>14.707600000000001</v>
      </c>
      <c r="Q1105" s="5">
        <f t="shared" ca="1" si="92"/>
        <v>231.81149999999997</v>
      </c>
      <c r="R1105" s="4"/>
      <c r="S1105" s="4"/>
    </row>
    <row r="1106" spans="1:19" ht="15" customHeight="1">
      <c r="A1106" s="3">
        <f t="shared" si="93"/>
        <v>2071</v>
      </c>
      <c r="B1106" s="4">
        <f t="shared" ca="1" si="91"/>
        <v>20.323741666666667</v>
      </c>
      <c r="C1106" s="4">
        <f t="shared" ca="1" si="91"/>
        <v>20.334441666666667</v>
      </c>
      <c r="D1106" s="4">
        <f t="shared" ca="1" si="91"/>
        <v>20.348249999999997</v>
      </c>
      <c r="E1106" s="4">
        <f t="shared" ca="1" si="91"/>
        <v>20.342124999999996</v>
      </c>
      <c r="F1106" s="4">
        <f t="shared" ca="1" si="91"/>
        <v>21.029399999999999</v>
      </c>
      <c r="G1106" s="4">
        <f t="shared" ca="1" si="91"/>
        <v>19.863816666666668</v>
      </c>
      <c r="H1106" s="4">
        <f t="shared" ca="1" si="91"/>
        <v>20.794541666666667</v>
      </c>
      <c r="I1106" s="4">
        <f t="shared" ca="1" si="91"/>
        <v>19.627566666666667</v>
      </c>
      <c r="J1106" s="4">
        <f t="shared" ca="1" si="91"/>
        <v>19.498433333333335</v>
      </c>
      <c r="K1106" s="4"/>
      <c r="L1106" s="5">
        <f t="shared" ca="1" si="92"/>
        <v>355.53689999999995</v>
      </c>
      <c r="M1106" s="5">
        <f t="shared" ca="1" si="92"/>
        <v>142.0401</v>
      </c>
      <c r="N1106" s="5">
        <f t="shared" ca="1" si="92"/>
        <v>58.217499999999994</v>
      </c>
      <c r="O1106" s="5">
        <f t="shared" ca="1" si="92"/>
        <v>4.4046000000000003</v>
      </c>
      <c r="P1106" s="5">
        <f t="shared" ca="1" si="92"/>
        <v>14.707600000000001</v>
      </c>
      <c r="Q1106" s="5">
        <f t="shared" ca="1" si="92"/>
        <v>231.81149999999997</v>
      </c>
      <c r="R1106" s="4"/>
      <c r="S1106" s="4"/>
    </row>
    <row r="1107" spans="1:19" ht="15" customHeight="1">
      <c r="A1107" s="3">
        <f t="shared" si="93"/>
        <v>2072</v>
      </c>
      <c r="B1107" s="4">
        <f t="shared" ref="B1107:J1116" ca="1" si="94">AVERAGE(OFFSET(B$581,($A1107-$A$1097)*12,0,12,1))</f>
        <v>20.811691666666672</v>
      </c>
      <c r="C1107" s="4">
        <f t="shared" ca="1" si="94"/>
        <v>20.822374999999997</v>
      </c>
      <c r="D1107" s="4">
        <f t="shared" ca="1" si="94"/>
        <v>20.836183333333334</v>
      </c>
      <c r="E1107" s="4">
        <f t="shared" ca="1" si="94"/>
        <v>20.830066666666664</v>
      </c>
      <c r="F1107" s="4">
        <f t="shared" ca="1" si="94"/>
        <v>21.51733333333333</v>
      </c>
      <c r="G1107" s="4">
        <f t="shared" ca="1" si="94"/>
        <v>20.340883333333334</v>
      </c>
      <c r="H1107" s="4">
        <f t="shared" ca="1" si="94"/>
        <v>21.271608333333333</v>
      </c>
      <c r="I1107" s="4">
        <f t="shared" ca="1" si="94"/>
        <v>20.096283333333329</v>
      </c>
      <c r="J1107" s="4">
        <f t="shared" ca="1" si="94"/>
        <v>19.966908333333333</v>
      </c>
      <c r="K1107" s="4"/>
      <c r="L1107" s="5">
        <f t="shared" ref="L1107:Q1116" ca="1" si="95">SUM(OFFSET(L$581,($A1107-$A$1097)*12,0,12,1))</f>
        <v>356.48229999999995</v>
      </c>
      <c r="M1107" s="5">
        <f t="shared" ca="1" si="95"/>
        <v>142.42920000000001</v>
      </c>
      <c r="N1107" s="5">
        <f t="shared" ca="1" si="95"/>
        <v>58.377000000000002</v>
      </c>
      <c r="O1107" s="5">
        <f t="shared" ca="1" si="95"/>
        <v>4.4165999999999999</v>
      </c>
      <c r="P1107" s="5">
        <f t="shared" ca="1" si="95"/>
        <v>14.7493</v>
      </c>
      <c r="Q1107" s="5">
        <f t="shared" ca="1" si="95"/>
        <v>232.44659999999996</v>
      </c>
      <c r="R1107" s="4"/>
      <c r="S1107" s="4"/>
    </row>
    <row r="1108" spans="1:19" ht="15" customHeight="1">
      <c r="A1108" s="3">
        <f t="shared" si="93"/>
        <v>2073</v>
      </c>
      <c r="B1108" s="4">
        <f t="shared" ca="1" si="94"/>
        <v>21.311358333333335</v>
      </c>
      <c r="C1108" s="4">
        <f t="shared" ca="1" si="94"/>
        <v>21.322041666666667</v>
      </c>
      <c r="D1108" s="4">
        <f t="shared" ca="1" si="94"/>
        <v>21.335849999999997</v>
      </c>
      <c r="E1108" s="4">
        <f t="shared" ca="1" si="94"/>
        <v>21.329741666666667</v>
      </c>
      <c r="F1108" s="4">
        <f t="shared" ca="1" si="94"/>
        <v>22.016999999999999</v>
      </c>
      <c r="G1108" s="4">
        <f t="shared" ca="1" si="94"/>
        <v>20.829408333333333</v>
      </c>
      <c r="H1108" s="4">
        <f t="shared" ca="1" si="94"/>
        <v>21.760133333333332</v>
      </c>
      <c r="I1108" s="4">
        <f t="shared" ca="1" si="94"/>
        <v>20.576241666666668</v>
      </c>
      <c r="J1108" s="4">
        <f t="shared" ca="1" si="94"/>
        <v>20.446633333333335</v>
      </c>
      <c r="K1108" s="4"/>
      <c r="L1108" s="5">
        <f t="shared" ca="1" si="95"/>
        <v>355.53689999999995</v>
      </c>
      <c r="M1108" s="5">
        <f t="shared" ca="1" si="95"/>
        <v>142.0401</v>
      </c>
      <c r="N1108" s="5">
        <f t="shared" ca="1" si="95"/>
        <v>58.217499999999994</v>
      </c>
      <c r="O1108" s="5">
        <f t="shared" ca="1" si="95"/>
        <v>4.4046000000000003</v>
      </c>
      <c r="P1108" s="5">
        <f t="shared" ca="1" si="95"/>
        <v>14.707600000000001</v>
      </c>
      <c r="Q1108" s="5">
        <f t="shared" ca="1" si="95"/>
        <v>231.81149999999997</v>
      </c>
      <c r="R1108" s="4"/>
      <c r="S1108" s="4"/>
    </row>
    <row r="1109" spans="1:19" ht="15" customHeight="1">
      <c r="A1109" s="3">
        <f t="shared" si="93"/>
        <v>2074</v>
      </c>
      <c r="B1109" s="4">
        <f t="shared" ca="1" si="94"/>
        <v>21.823041666666668</v>
      </c>
      <c r="C1109" s="4">
        <f t="shared" ca="1" si="94"/>
        <v>21.833699999999997</v>
      </c>
      <c r="D1109" s="4">
        <f t="shared" ca="1" si="94"/>
        <v>21.847525000000005</v>
      </c>
      <c r="E1109" s="4">
        <f t="shared" ca="1" si="94"/>
        <v>21.841399999999997</v>
      </c>
      <c r="F1109" s="4">
        <f t="shared" ca="1" si="94"/>
        <v>22.528675000000003</v>
      </c>
      <c r="G1109" s="4">
        <f t="shared" ca="1" si="94"/>
        <v>21.329666666666665</v>
      </c>
      <c r="H1109" s="4">
        <f t="shared" ca="1" si="94"/>
        <v>22.260416666666671</v>
      </c>
      <c r="I1109" s="4">
        <f t="shared" ca="1" si="94"/>
        <v>21.067733333333329</v>
      </c>
      <c r="J1109" s="4">
        <f t="shared" ca="1" si="94"/>
        <v>20.937891666666665</v>
      </c>
      <c r="K1109" s="4"/>
      <c r="L1109" s="5">
        <f t="shared" ca="1" si="95"/>
        <v>355.53689999999995</v>
      </c>
      <c r="M1109" s="5">
        <f t="shared" ca="1" si="95"/>
        <v>142.0401</v>
      </c>
      <c r="N1109" s="5">
        <f t="shared" ca="1" si="95"/>
        <v>58.217499999999994</v>
      </c>
      <c r="O1109" s="5">
        <f t="shared" ca="1" si="95"/>
        <v>4.4046000000000003</v>
      </c>
      <c r="P1109" s="5">
        <f t="shared" ca="1" si="95"/>
        <v>14.707600000000001</v>
      </c>
      <c r="Q1109" s="5">
        <f t="shared" ca="1" si="95"/>
        <v>231.81149999999997</v>
      </c>
      <c r="R1109" s="4"/>
      <c r="S1109" s="4"/>
    </row>
    <row r="1110" spans="1:19" ht="15" customHeight="1">
      <c r="A1110" s="3">
        <f t="shared" si="93"/>
        <v>2075</v>
      </c>
      <c r="B1110" s="4">
        <f t="shared" ca="1" si="94"/>
        <v>22.346999999999998</v>
      </c>
      <c r="C1110" s="4">
        <f t="shared" ca="1" si="94"/>
        <v>22.357675</v>
      </c>
      <c r="D1110" s="4">
        <f t="shared" ca="1" si="94"/>
        <v>22.371491666666667</v>
      </c>
      <c r="E1110" s="4">
        <f t="shared" ca="1" si="94"/>
        <v>22.36536666666667</v>
      </c>
      <c r="F1110" s="4">
        <f t="shared" ca="1" si="94"/>
        <v>23.05265</v>
      </c>
      <c r="G1110" s="4">
        <f t="shared" ca="1" si="94"/>
        <v>21.841958333333334</v>
      </c>
      <c r="H1110" s="4">
        <f t="shared" ca="1" si="94"/>
        <v>22.7727</v>
      </c>
      <c r="I1110" s="4">
        <f t="shared" ca="1" si="94"/>
        <v>21.571058333333337</v>
      </c>
      <c r="J1110" s="4">
        <f t="shared" ca="1" si="94"/>
        <v>21.440941666666664</v>
      </c>
      <c r="K1110" s="4"/>
      <c r="L1110" s="5">
        <f t="shared" ca="1" si="95"/>
        <v>355.53689999999995</v>
      </c>
      <c r="M1110" s="5">
        <f t="shared" ca="1" si="95"/>
        <v>142.0401</v>
      </c>
      <c r="N1110" s="5">
        <f t="shared" ca="1" si="95"/>
        <v>58.217499999999994</v>
      </c>
      <c r="O1110" s="5">
        <f t="shared" ca="1" si="95"/>
        <v>4.4046000000000003</v>
      </c>
      <c r="P1110" s="5">
        <f t="shared" ca="1" si="95"/>
        <v>14.707600000000001</v>
      </c>
      <c r="Q1110" s="5">
        <f t="shared" ca="1" si="95"/>
        <v>231.81149999999997</v>
      </c>
      <c r="R1110" s="4"/>
      <c r="S1110" s="4"/>
    </row>
    <row r="1111" spans="1:19" ht="15" customHeight="1">
      <c r="A1111" s="3">
        <f t="shared" si="93"/>
        <v>2076</v>
      </c>
      <c r="B1111" s="4">
        <f t="shared" ca="1" si="94"/>
        <v>22.883558333333337</v>
      </c>
      <c r="C1111" s="4">
        <f t="shared" ca="1" si="94"/>
        <v>22.894241666666669</v>
      </c>
      <c r="D1111" s="4">
        <f t="shared" ca="1" si="94"/>
        <v>22.908058333333333</v>
      </c>
      <c r="E1111" s="4">
        <f t="shared" ca="1" si="94"/>
        <v>22.901941666666669</v>
      </c>
      <c r="F1111" s="4">
        <f t="shared" ca="1" si="94"/>
        <v>23.589208333333332</v>
      </c>
      <c r="G1111" s="4">
        <f t="shared" ca="1" si="94"/>
        <v>22.366533333333333</v>
      </c>
      <c r="H1111" s="4">
        <f t="shared" ca="1" si="94"/>
        <v>23.297291666666666</v>
      </c>
      <c r="I1111" s="4">
        <f t="shared" ca="1" si="94"/>
        <v>22.086475000000004</v>
      </c>
      <c r="J1111" s="4">
        <f t="shared" ca="1" si="94"/>
        <v>21.956100000000003</v>
      </c>
      <c r="K1111" s="4"/>
      <c r="L1111" s="5">
        <f t="shared" ca="1" si="95"/>
        <v>356.48229999999995</v>
      </c>
      <c r="M1111" s="5">
        <f t="shared" ca="1" si="95"/>
        <v>142.42920000000001</v>
      </c>
      <c r="N1111" s="5">
        <f t="shared" ca="1" si="95"/>
        <v>58.377000000000002</v>
      </c>
      <c r="O1111" s="5">
        <f t="shared" ca="1" si="95"/>
        <v>4.4165999999999999</v>
      </c>
      <c r="P1111" s="5">
        <f t="shared" ca="1" si="95"/>
        <v>14.7493</v>
      </c>
      <c r="Q1111" s="5">
        <f t="shared" ca="1" si="95"/>
        <v>232.44659999999996</v>
      </c>
      <c r="R1111" s="4"/>
      <c r="S1111" s="4"/>
    </row>
    <row r="1112" spans="1:19" ht="15" customHeight="1">
      <c r="A1112" s="3">
        <f t="shared" si="93"/>
        <v>2077</v>
      </c>
      <c r="B1112" s="4">
        <f t="shared" ca="1" si="94"/>
        <v>23.433016666666663</v>
      </c>
      <c r="C1112" s="4">
        <f t="shared" ca="1" si="94"/>
        <v>23.443699999999996</v>
      </c>
      <c r="D1112" s="4">
        <f t="shared" ca="1" si="94"/>
        <v>23.457508333333333</v>
      </c>
      <c r="E1112" s="4">
        <f t="shared" ca="1" si="94"/>
        <v>23.451400000000003</v>
      </c>
      <c r="F1112" s="4">
        <f t="shared" ca="1" si="94"/>
        <v>24.138650000000002</v>
      </c>
      <c r="G1112" s="4">
        <f t="shared" ca="1" si="94"/>
        <v>22.903733333333335</v>
      </c>
      <c r="H1112" s="4">
        <f t="shared" ca="1" si="94"/>
        <v>23.834474999999998</v>
      </c>
      <c r="I1112" s="4">
        <f t="shared" ca="1" si="94"/>
        <v>22.614258333333336</v>
      </c>
      <c r="J1112" s="4">
        <f t="shared" ca="1" si="94"/>
        <v>22.48363333333333</v>
      </c>
      <c r="K1112" s="4"/>
      <c r="L1112" s="5">
        <f t="shared" ca="1" si="95"/>
        <v>355.53689999999995</v>
      </c>
      <c r="M1112" s="5">
        <f t="shared" ca="1" si="95"/>
        <v>142.0401</v>
      </c>
      <c r="N1112" s="5">
        <f t="shared" ca="1" si="95"/>
        <v>58.217499999999994</v>
      </c>
      <c r="O1112" s="5">
        <f t="shared" ca="1" si="95"/>
        <v>4.4046000000000003</v>
      </c>
      <c r="P1112" s="5">
        <f t="shared" ca="1" si="95"/>
        <v>14.707600000000001</v>
      </c>
      <c r="Q1112" s="5">
        <f t="shared" ca="1" si="95"/>
        <v>231.81149999999997</v>
      </c>
      <c r="R1112" s="4"/>
      <c r="S1112" s="4"/>
    </row>
    <row r="1113" spans="1:19" ht="15" customHeight="1">
      <c r="A1113" s="3">
        <f t="shared" si="93"/>
        <v>2078</v>
      </c>
      <c r="B1113" s="4">
        <f t="shared" ca="1" si="94"/>
        <v>23.995658333333335</v>
      </c>
      <c r="C1113" s="4">
        <f t="shared" ca="1" si="94"/>
        <v>24.006333333333334</v>
      </c>
      <c r="D1113" s="4">
        <f t="shared" ca="1" si="94"/>
        <v>24.020158333333331</v>
      </c>
      <c r="E1113" s="4">
        <f t="shared" ca="1" si="94"/>
        <v>24.014016666666663</v>
      </c>
      <c r="F1113" s="4">
        <f t="shared" ca="1" si="94"/>
        <v>24.701316666666667</v>
      </c>
      <c r="G1113" s="4">
        <f t="shared" ca="1" si="94"/>
        <v>23.453841666666666</v>
      </c>
      <c r="H1113" s="4">
        <f t="shared" ca="1" si="94"/>
        <v>24.384583333333335</v>
      </c>
      <c r="I1113" s="4">
        <f t="shared" ca="1" si="94"/>
        <v>23.154725000000003</v>
      </c>
      <c r="J1113" s="4">
        <f t="shared" ca="1" si="94"/>
        <v>23.023824999999999</v>
      </c>
      <c r="K1113" s="4"/>
      <c r="L1113" s="5">
        <f t="shared" ca="1" si="95"/>
        <v>355.53689999999995</v>
      </c>
      <c r="M1113" s="5">
        <f t="shared" ca="1" si="95"/>
        <v>142.0401</v>
      </c>
      <c r="N1113" s="5">
        <f t="shared" ca="1" si="95"/>
        <v>58.217499999999994</v>
      </c>
      <c r="O1113" s="5">
        <f t="shared" ca="1" si="95"/>
        <v>4.4046000000000003</v>
      </c>
      <c r="P1113" s="5">
        <f t="shared" ca="1" si="95"/>
        <v>14.707600000000001</v>
      </c>
      <c r="Q1113" s="5">
        <f t="shared" ca="1" si="95"/>
        <v>231.81149999999997</v>
      </c>
      <c r="R1113" s="4"/>
      <c r="S1113" s="4"/>
    </row>
    <row r="1114" spans="1:19" ht="15" customHeight="1">
      <c r="A1114" s="3">
        <f t="shared" si="93"/>
        <v>2079</v>
      </c>
      <c r="B1114" s="4">
        <f t="shared" ca="1" si="94"/>
        <v>24.571841666666668</v>
      </c>
      <c r="C1114" s="4">
        <f t="shared" ca="1" si="94"/>
        <v>24.58250833333334</v>
      </c>
      <c r="D1114" s="4">
        <f t="shared" ca="1" si="94"/>
        <v>24.596333333333334</v>
      </c>
      <c r="E1114" s="4">
        <f t="shared" ca="1" si="94"/>
        <v>24.590199999999999</v>
      </c>
      <c r="F1114" s="4">
        <f t="shared" ca="1" si="94"/>
        <v>25.277483333333336</v>
      </c>
      <c r="G1114" s="4">
        <f t="shared" ca="1" si="94"/>
        <v>24.017166666666668</v>
      </c>
      <c r="H1114" s="4">
        <f t="shared" ca="1" si="94"/>
        <v>24.947900000000001</v>
      </c>
      <c r="I1114" s="4">
        <f t="shared" ca="1" si="94"/>
        <v>23.708191666666664</v>
      </c>
      <c r="J1114" s="4">
        <f t="shared" ca="1" si="94"/>
        <v>23.577016666666669</v>
      </c>
      <c r="K1114" s="4"/>
      <c r="L1114" s="5">
        <f t="shared" ca="1" si="95"/>
        <v>355.53689999999995</v>
      </c>
      <c r="M1114" s="5">
        <f t="shared" ca="1" si="95"/>
        <v>142.0401</v>
      </c>
      <c r="N1114" s="5">
        <f t="shared" ca="1" si="95"/>
        <v>58.217499999999994</v>
      </c>
      <c r="O1114" s="5">
        <f t="shared" ca="1" si="95"/>
        <v>4.4046000000000003</v>
      </c>
      <c r="P1114" s="5">
        <f t="shared" ca="1" si="95"/>
        <v>14.707600000000001</v>
      </c>
      <c r="Q1114" s="5">
        <f t="shared" ca="1" si="95"/>
        <v>231.81149999999997</v>
      </c>
      <c r="R1114" s="4"/>
      <c r="S1114" s="4"/>
    </row>
    <row r="1115" spans="1:19" ht="15" customHeight="1">
      <c r="A1115" s="3">
        <f t="shared" si="93"/>
        <v>2080</v>
      </c>
      <c r="B1115" s="4">
        <f t="shared" ca="1" si="94"/>
        <v>25.161841666666671</v>
      </c>
      <c r="C1115" s="4">
        <f t="shared" ca="1" si="94"/>
        <v>25.172508333333337</v>
      </c>
      <c r="D1115" s="4">
        <f t="shared" ca="1" si="94"/>
        <v>25.186333333333327</v>
      </c>
      <c r="E1115" s="4">
        <f t="shared" ca="1" si="94"/>
        <v>25.180199999999999</v>
      </c>
      <c r="F1115" s="4">
        <f t="shared" ca="1" si="94"/>
        <v>25.867500000000003</v>
      </c>
      <c r="G1115" s="4">
        <f t="shared" ca="1" si="94"/>
        <v>24.594025000000002</v>
      </c>
      <c r="H1115" s="4">
        <f t="shared" ca="1" si="94"/>
        <v>25.524750000000001</v>
      </c>
      <c r="I1115" s="4">
        <f t="shared" ca="1" si="94"/>
        <v>24.27495</v>
      </c>
      <c r="J1115" s="4">
        <f t="shared" ca="1" si="94"/>
        <v>24.143483333333336</v>
      </c>
      <c r="K1115" s="4"/>
      <c r="L1115" s="5">
        <f t="shared" ca="1" si="95"/>
        <v>356.48229999999995</v>
      </c>
      <c r="M1115" s="5">
        <f t="shared" ca="1" si="95"/>
        <v>142.42920000000001</v>
      </c>
      <c r="N1115" s="5">
        <f t="shared" ca="1" si="95"/>
        <v>58.377000000000002</v>
      </c>
      <c r="O1115" s="5">
        <f t="shared" ca="1" si="95"/>
        <v>4.4165999999999999</v>
      </c>
      <c r="P1115" s="5">
        <f t="shared" ca="1" si="95"/>
        <v>14.7493</v>
      </c>
      <c r="Q1115" s="5">
        <f t="shared" ca="1" si="95"/>
        <v>232.44659999999996</v>
      </c>
      <c r="R1115" s="4"/>
      <c r="S1115" s="4"/>
    </row>
    <row r="1116" spans="1:19" ht="15" customHeight="1">
      <c r="A1116" s="3">
        <f t="shared" si="93"/>
        <v>2081</v>
      </c>
      <c r="B1116" s="4">
        <f t="shared" ca="1" si="94"/>
        <v>25.766033333333329</v>
      </c>
      <c r="C1116" s="4">
        <f t="shared" ca="1" si="94"/>
        <v>25.776708333333335</v>
      </c>
      <c r="D1116" s="4">
        <f t="shared" ca="1" si="94"/>
        <v>25.790541666666666</v>
      </c>
      <c r="E1116" s="4">
        <f t="shared" ca="1" si="94"/>
        <v>25.784391666666664</v>
      </c>
      <c r="F1116" s="4">
        <f t="shared" ca="1" si="94"/>
        <v>26.471683333333331</v>
      </c>
      <c r="G1116" s="4">
        <f t="shared" ca="1" si="94"/>
        <v>25.184733333333337</v>
      </c>
      <c r="H1116" s="4">
        <f t="shared" ca="1" si="94"/>
        <v>26.11548333333333</v>
      </c>
      <c r="I1116" s="4">
        <f t="shared" ca="1" si="94"/>
        <v>24.855308333333337</v>
      </c>
      <c r="J1116" s="4">
        <f t="shared" ca="1" si="94"/>
        <v>24.723566666666667</v>
      </c>
      <c r="K1116" s="4"/>
      <c r="L1116" s="5">
        <f t="shared" ca="1" si="95"/>
        <v>355.53689999999995</v>
      </c>
      <c r="M1116" s="5">
        <f t="shared" ca="1" si="95"/>
        <v>142.0401</v>
      </c>
      <c r="N1116" s="5">
        <f t="shared" ca="1" si="95"/>
        <v>58.217499999999994</v>
      </c>
      <c r="O1116" s="5">
        <f t="shared" ca="1" si="95"/>
        <v>4.4046000000000003</v>
      </c>
      <c r="P1116" s="5">
        <f t="shared" ca="1" si="95"/>
        <v>14.707600000000001</v>
      </c>
      <c r="Q1116" s="5">
        <f t="shared" ca="1" si="95"/>
        <v>231.81149999999997</v>
      </c>
      <c r="R1116" s="4"/>
      <c r="S1116" s="4"/>
    </row>
    <row r="1117" spans="1:19" ht="15" customHeight="1">
      <c r="A1117" s="3">
        <f t="shared" si="93"/>
        <v>2082</v>
      </c>
      <c r="B1117" s="4">
        <f t="shared" ref="B1117:J1126" ca="1" si="96">AVERAGE(OFFSET(B$581,($A1117-$A$1097)*12,0,12,1))</f>
        <v>26.384749999999997</v>
      </c>
      <c r="C1117" s="4">
        <f t="shared" ca="1" si="96"/>
        <v>26.395416666666673</v>
      </c>
      <c r="D1117" s="4">
        <f t="shared" ca="1" si="96"/>
        <v>26.409250000000004</v>
      </c>
      <c r="E1117" s="4">
        <f t="shared" ca="1" si="96"/>
        <v>26.403108333333336</v>
      </c>
      <c r="F1117" s="4">
        <f t="shared" ca="1" si="96"/>
        <v>27.090383333333335</v>
      </c>
      <c r="G1117" s="4">
        <f t="shared" ca="1" si="96"/>
        <v>25.789641666666668</v>
      </c>
      <c r="H1117" s="4">
        <f t="shared" ca="1" si="96"/>
        <v>26.720383333333334</v>
      </c>
      <c r="I1117" s="4">
        <f t="shared" ca="1" si="96"/>
        <v>25.449641666666665</v>
      </c>
      <c r="J1117" s="4">
        <f t="shared" ca="1" si="96"/>
        <v>25.317583333333335</v>
      </c>
      <c r="K1117" s="4"/>
      <c r="L1117" s="5">
        <f t="shared" ref="L1117:Q1126" ca="1" si="97">SUM(OFFSET(L$581,($A1117-$A$1097)*12,0,12,1))</f>
        <v>355.53689999999995</v>
      </c>
      <c r="M1117" s="5">
        <f t="shared" ca="1" si="97"/>
        <v>142.0401</v>
      </c>
      <c r="N1117" s="5">
        <f t="shared" ca="1" si="97"/>
        <v>58.217499999999994</v>
      </c>
      <c r="O1117" s="5">
        <f t="shared" ca="1" si="97"/>
        <v>4.4046000000000003</v>
      </c>
      <c r="P1117" s="5">
        <f t="shared" ca="1" si="97"/>
        <v>14.707600000000001</v>
      </c>
      <c r="Q1117" s="5">
        <f t="shared" ca="1" si="97"/>
        <v>231.81149999999997</v>
      </c>
      <c r="R1117" s="4"/>
      <c r="S1117" s="4"/>
    </row>
    <row r="1118" spans="1:19" ht="15" customHeight="1">
      <c r="A1118" s="3">
        <f t="shared" si="93"/>
        <v>2083</v>
      </c>
      <c r="B1118" s="4">
        <f t="shared" ca="1" si="96"/>
        <v>27.018333333333334</v>
      </c>
      <c r="C1118" s="4">
        <f t="shared" ca="1" si="96"/>
        <v>27.028991666666659</v>
      </c>
      <c r="D1118" s="4">
        <f t="shared" ca="1" si="96"/>
        <v>27.042825000000004</v>
      </c>
      <c r="E1118" s="4">
        <f t="shared" ca="1" si="96"/>
        <v>27.03669166666667</v>
      </c>
      <c r="F1118" s="4">
        <f t="shared" ca="1" si="96"/>
        <v>27.723966666666666</v>
      </c>
      <c r="G1118" s="4">
        <f t="shared" ca="1" si="96"/>
        <v>26.409083333333331</v>
      </c>
      <c r="H1118" s="4">
        <f t="shared" ca="1" si="96"/>
        <v>27.339816666666668</v>
      </c>
      <c r="I1118" s="4">
        <f t="shared" ca="1" si="96"/>
        <v>26.058241666666671</v>
      </c>
      <c r="J1118" s="4">
        <f t="shared" ca="1" si="96"/>
        <v>25.925891666666669</v>
      </c>
      <c r="K1118" s="4"/>
      <c r="L1118" s="5">
        <f t="shared" ca="1" si="97"/>
        <v>355.53689999999995</v>
      </c>
      <c r="M1118" s="5">
        <f t="shared" ca="1" si="97"/>
        <v>142.0401</v>
      </c>
      <c r="N1118" s="5">
        <f t="shared" ca="1" si="97"/>
        <v>58.217499999999994</v>
      </c>
      <c r="O1118" s="5">
        <f t="shared" ca="1" si="97"/>
        <v>4.4046000000000003</v>
      </c>
      <c r="P1118" s="5">
        <f t="shared" ca="1" si="97"/>
        <v>14.707600000000001</v>
      </c>
      <c r="Q1118" s="5">
        <f t="shared" ca="1" si="97"/>
        <v>231.81149999999997</v>
      </c>
      <c r="R1118" s="4"/>
      <c r="S1118" s="4"/>
    </row>
    <row r="1119" spans="1:19" ht="15" customHeight="1">
      <c r="A1119" s="3">
        <f t="shared" si="93"/>
        <v>2084</v>
      </c>
      <c r="B1119" s="4">
        <f t="shared" ca="1" si="96"/>
        <v>27.667108333333331</v>
      </c>
      <c r="C1119" s="4">
        <f t="shared" ca="1" si="96"/>
        <v>27.677791666666668</v>
      </c>
      <c r="D1119" s="4">
        <f t="shared" ca="1" si="96"/>
        <v>27.691608333333335</v>
      </c>
      <c r="E1119" s="4">
        <f t="shared" ca="1" si="96"/>
        <v>27.685475</v>
      </c>
      <c r="F1119" s="4">
        <f t="shared" ca="1" si="96"/>
        <v>28.372758333333326</v>
      </c>
      <c r="G1119" s="4">
        <f t="shared" ca="1" si="96"/>
        <v>27.043416666666669</v>
      </c>
      <c r="H1119" s="4">
        <f t="shared" ca="1" si="96"/>
        <v>27.974141666666668</v>
      </c>
      <c r="I1119" s="4">
        <f t="shared" ca="1" si="96"/>
        <v>26.681458333333335</v>
      </c>
      <c r="J1119" s="4">
        <f t="shared" ca="1" si="96"/>
        <v>26.5488</v>
      </c>
      <c r="K1119" s="4"/>
      <c r="L1119" s="5">
        <f t="shared" ca="1" si="97"/>
        <v>356.48229999999995</v>
      </c>
      <c r="M1119" s="5">
        <f t="shared" ca="1" si="97"/>
        <v>142.42920000000001</v>
      </c>
      <c r="N1119" s="5">
        <f t="shared" ca="1" si="97"/>
        <v>58.377000000000002</v>
      </c>
      <c r="O1119" s="5">
        <f t="shared" ca="1" si="97"/>
        <v>4.4165999999999999</v>
      </c>
      <c r="P1119" s="5">
        <f t="shared" ca="1" si="97"/>
        <v>14.7493</v>
      </c>
      <c r="Q1119" s="5">
        <f t="shared" ca="1" si="97"/>
        <v>232.44659999999996</v>
      </c>
      <c r="R1119" s="4"/>
      <c r="S1119" s="4"/>
    </row>
    <row r="1120" spans="1:19" ht="15" customHeight="1">
      <c r="A1120" s="3">
        <f t="shared" si="93"/>
        <v>2085</v>
      </c>
      <c r="B1120" s="4">
        <f t="shared" ca="1" si="96"/>
        <v>28.331491666666665</v>
      </c>
      <c r="C1120" s="4">
        <f t="shared" ca="1" si="96"/>
        <v>28.342183333333335</v>
      </c>
      <c r="D1120" s="4">
        <f t="shared" ca="1" si="96"/>
        <v>28.355991666666668</v>
      </c>
      <c r="E1120" s="4">
        <f t="shared" ca="1" si="96"/>
        <v>28.349866666666667</v>
      </c>
      <c r="F1120" s="4">
        <f t="shared" ca="1" si="96"/>
        <v>29.03715</v>
      </c>
      <c r="G1120" s="4">
        <f t="shared" ca="1" si="96"/>
        <v>27.692975000000001</v>
      </c>
      <c r="H1120" s="4">
        <f t="shared" ca="1" si="96"/>
        <v>28.623724999999997</v>
      </c>
      <c r="I1120" s="4">
        <f t="shared" ca="1" si="96"/>
        <v>27.319649999999999</v>
      </c>
      <c r="J1120" s="4">
        <f t="shared" ca="1" si="96"/>
        <v>27.186683333333335</v>
      </c>
      <c r="K1120" s="4"/>
      <c r="L1120" s="5">
        <f t="shared" ca="1" si="97"/>
        <v>355.53689999999995</v>
      </c>
      <c r="M1120" s="5">
        <f t="shared" ca="1" si="97"/>
        <v>142.0401</v>
      </c>
      <c r="N1120" s="5">
        <f t="shared" ca="1" si="97"/>
        <v>58.217499999999994</v>
      </c>
      <c r="O1120" s="5">
        <f t="shared" ca="1" si="97"/>
        <v>4.4046000000000003</v>
      </c>
      <c r="P1120" s="5">
        <f t="shared" ca="1" si="97"/>
        <v>14.707600000000001</v>
      </c>
      <c r="Q1120" s="5">
        <f t="shared" ca="1" si="97"/>
        <v>231.81149999999997</v>
      </c>
      <c r="R1120" s="4"/>
      <c r="S1120" s="4"/>
    </row>
    <row r="1121" spans="1:19" ht="15" customHeight="1">
      <c r="A1121" s="3">
        <f t="shared" si="93"/>
        <v>2086</v>
      </c>
      <c r="B1121" s="4">
        <f t="shared" ca="1" si="96"/>
        <v>29.011841666666665</v>
      </c>
      <c r="C1121" s="4">
        <f t="shared" ca="1" si="96"/>
        <v>29.022533333333339</v>
      </c>
      <c r="D1121" s="4">
        <f t="shared" ca="1" si="96"/>
        <v>29.036350000000002</v>
      </c>
      <c r="E1121" s="4">
        <f t="shared" ca="1" si="96"/>
        <v>29.030225000000005</v>
      </c>
      <c r="F1121" s="4">
        <f t="shared" ca="1" si="96"/>
        <v>29.717500000000001</v>
      </c>
      <c r="G1121" s="4">
        <f t="shared" ca="1" si="96"/>
        <v>28.358166666666662</v>
      </c>
      <c r="H1121" s="4">
        <f t="shared" ca="1" si="96"/>
        <v>29.288883333333331</v>
      </c>
      <c r="I1121" s="4">
        <f t="shared" ca="1" si="96"/>
        <v>27.973191666666665</v>
      </c>
      <c r="J1121" s="4">
        <f t="shared" ca="1" si="96"/>
        <v>27.839883333333333</v>
      </c>
      <c r="K1121" s="4"/>
      <c r="L1121" s="5">
        <f t="shared" ca="1" si="97"/>
        <v>355.53689999999995</v>
      </c>
      <c r="M1121" s="5">
        <f t="shared" ca="1" si="97"/>
        <v>142.0401</v>
      </c>
      <c r="N1121" s="5">
        <f t="shared" ca="1" si="97"/>
        <v>58.217499999999994</v>
      </c>
      <c r="O1121" s="5">
        <f t="shared" ca="1" si="97"/>
        <v>4.4046000000000003</v>
      </c>
      <c r="P1121" s="5">
        <f t="shared" ca="1" si="97"/>
        <v>14.707600000000001</v>
      </c>
      <c r="Q1121" s="5">
        <f t="shared" ca="1" si="97"/>
        <v>231.81149999999997</v>
      </c>
      <c r="R1121" s="4"/>
      <c r="S1121" s="4"/>
    </row>
    <row r="1122" spans="1:19" ht="15" customHeight="1">
      <c r="A1122" s="3">
        <f t="shared" si="93"/>
        <v>2087</v>
      </c>
      <c r="B1122" s="4">
        <f t="shared" ca="1" si="96"/>
        <v>29.708549999999999</v>
      </c>
      <c r="C1122" s="4">
        <f t="shared" ca="1" si="96"/>
        <v>29.719216666666664</v>
      </c>
      <c r="D1122" s="4">
        <f t="shared" ca="1" si="96"/>
        <v>29.733041666666665</v>
      </c>
      <c r="E1122" s="4">
        <f t="shared" ca="1" si="96"/>
        <v>29.726900000000001</v>
      </c>
      <c r="F1122" s="4">
        <f t="shared" ca="1" si="96"/>
        <v>30.414208333333324</v>
      </c>
      <c r="G1122" s="4">
        <f t="shared" ca="1" si="96"/>
        <v>29.039325000000002</v>
      </c>
      <c r="H1122" s="4">
        <f t="shared" ca="1" si="96"/>
        <v>29.970041666666663</v>
      </c>
      <c r="I1122" s="4">
        <f t="shared" ca="1" si="96"/>
        <v>28.642408333333332</v>
      </c>
      <c r="J1122" s="4">
        <f t="shared" ca="1" si="96"/>
        <v>28.50878333333333</v>
      </c>
      <c r="K1122" s="4"/>
      <c r="L1122" s="5">
        <f t="shared" ca="1" si="97"/>
        <v>355.53689999999995</v>
      </c>
      <c r="M1122" s="5">
        <f t="shared" ca="1" si="97"/>
        <v>142.0401</v>
      </c>
      <c r="N1122" s="5">
        <f t="shared" ca="1" si="97"/>
        <v>58.217499999999994</v>
      </c>
      <c r="O1122" s="5">
        <f t="shared" ca="1" si="97"/>
        <v>4.4046000000000003</v>
      </c>
      <c r="P1122" s="5">
        <f t="shared" ca="1" si="97"/>
        <v>14.707600000000001</v>
      </c>
      <c r="Q1122" s="5">
        <f t="shared" ca="1" si="97"/>
        <v>231.81149999999997</v>
      </c>
      <c r="R1122" s="4"/>
      <c r="S1122" s="4"/>
    </row>
    <row r="1123" spans="1:19" ht="15" customHeight="1">
      <c r="A1123" s="3">
        <f t="shared" si="93"/>
        <v>2088</v>
      </c>
      <c r="B1123" s="4">
        <f t="shared" ca="1" si="96"/>
        <v>30.421991666666667</v>
      </c>
      <c r="C1123" s="4">
        <f t="shared" ca="1" si="96"/>
        <v>30.432658333333336</v>
      </c>
      <c r="D1123" s="4">
        <f t="shared" ca="1" si="96"/>
        <v>30.446475000000003</v>
      </c>
      <c r="E1123" s="4">
        <f t="shared" ca="1" si="96"/>
        <v>30.440358333333332</v>
      </c>
      <c r="F1123" s="4">
        <f t="shared" ca="1" si="96"/>
        <v>31.127624999999998</v>
      </c>
      <c r="G1123" s="4">
        <f t="shared" ca="1" si="96"/>
        <v>29.736841666666674</v>
      </c>
      <c r="H1123" s="4">
        <f t="shared" ca="1" si="96"/>
        <v>30.667583333333337</v>
      </c>
      <c r="I1123" s="4">
        <f t="shared" ca="1" si="96"/>
        <v>29.327733333333338</v>
      </c>
      <c r="J1123" s="4">
        <f t="shared" ca="1" si="96"/>
        <v>29.193749999999998</v>
      </c>
      <c r="K1123" s="4"/>
      <c r="L1123" s="5">
        <f t="shared" ca="1" si="97"/>
        <v>356.48229999999995</v>
      </c>
      <c r="M1123" s="5">
        <f t="shared" ca="1" si="97"/>
        <v>142.42920000000001</v>
      </c>
      <c r="N1123" s="5">
        <f t="shared" ca="1" si="97"/>
        <v>58.377000000000002</v>
      </c>
      <c r="O1123" s="5">
        <f t="shared" ca="1" si="97"/>
        <v>4.4165999999999999</v>
      </c>
      <c r="P1123" s="5">
        <f t="shared" ca="1" si="97"/>
        <v>14.7493</v>
      </c>
      <c r="Q1123" s="5">
        <f t="shared" ca="1" si="97"/>
        <v>232.44659999999996</v>
      </c>
      <c r="R1123" s="4"/>
      <c r="S1123" s="4"/>
    </row>
    <row r="1124" spans="1:19" ht="15" customHeight="1">
      <c r="A1124" s="3">
        <f t="shared" si="93"/>
        <v>2089</v>
      </c>
      <c r="B1124" s="4">
        <f t="shared" ca="1" si="96"/>
        <v>31.152558333333332</v>
      </c>
      <c r="C1124" s="4">
        <f t="shared" ca="1" si="96"/>
        <v>31.163258333333332</v>
      </c>
      <c r="D1124" s="4">
        <f t="shared" ca="1" si="96"/>
        <v>31.177058333333335</v>
      </c>
      <c r="E1124" s="4">
        <f t="shared" ca="1" si="96"/>
        <v>31.170950000000001</v>
      </c>
      <c r="F1124" s="4">
        <f t="shared" ca="1" si="96"/>
        <v>31.858208333333327</v>
      </c>
      <c r="G1124" s="4">
        <f t="shared" ca="1" si="96"/>
        <v>30.451149999999998</v>
      </c>
      <c r="H1124" s="4">
        <f t="shared" ca="1" si="96"/>
        <v>31.381866666666667</v>
      </c>
      <c r="I1124" s="4">
        <f t="shared" ca="1" si="96"/>
        <v>30.029508333333329</v>
      </c>
      <c r="J1124" s="4">
        <f t="shared" ca="1" si="96"/>
        <v>29.895174999999998</v>
      </c>
      <c r="K1124" s="4"/>
      <c r="L1124" s="5">
        <f t="shared" ca="1" si="97"/>
        <v>355.53689999999995</v>
      </c>
      <c r="M1124" s="5">
        <f t="shared" ca="1" si="97"/>
        <v>142.0401</v>
      </c>
      <c r="N1124" s="5">
        <f t="shared" ca="1" si="97"/>
        <v>58.217499999999994</v>
      </c>
      <c r="O1124" s="5">
        <f t="shared" ca="1" si="97"/>
        <v>4.4046000000000003</v>
      </c>
      <c r="P1124" s="5">
        <f t="shared" ca="1" si="97"/>
        <v>14.707600000000001</v>
      </c>
      <c r="Q1124" s="5">
        <f t="shared" ca="1" si="97"/>
        <v>231.81149999999997</v>
      </c>
      <c r="R1124" s="4"/>
      <c r="S1124" s="4"/>
    </row>
    <row r="1125" spans="1:19" ht="15" customHeight="1">
      <c r="A1125" s="3">
        <f t="shared" si="93"/>
        <v>2090</v>
      </c>
      <c r="B1125" s="4">
        <f t="shared" ca="1" si="96"/>
        <v>31.900683333333333</v>
      </c>
      <c r="C1125" s="4">
        <f t="shared" ca="1" si="96"/>
        <v>31.911375000000003</v>
      </c>
      <c r="D1125" s="4">
        <f t="shared" ca="1" si="96"/>
        <v>31.925191666666667</v>
      </c>
      <c r="E1125" s="4">
        <f t="shared" ca="1" si="96"/>
        <v>31.919066666666662</v>
      </c>
      <c r="F1125" s="4">
        <f t="shared" ca="1" si="96"/>
        <v>32.606341666666665</v>
      </c>
      <c r="G1125" s="4">
        <f t="shared" ca="1" si="96"/>
        <v>31.182574999999996</v>
      </c>
      <c r="H1125" s="4">
        <f t="shared" ca="1" si="96"/>
        <v>32.113325000000003</v>
      </c>
      <c r="I1125" s="4">
        <f t="shared" ca="1" si="96"/>
        <v>30.748149999999995</v>
      </c>
      <c r="J1125" s="4">
        <f t="shared" ca="1" si="96"/>
        <v>30.61345833333333</v>
      </c>
      <c r="K1125" s="4"/>
      <c r="L1125" s="5">
        <f t="shared" ca="1" si="97"/>
        <v>355.53689999999995</v>
      </c>
      <c r="M1125" s="5">
        <f t="shared" ca="1" si="97"/>
        <v>142.0401</v>
      </c>
      <c r="N1125" s="5">
        <f t="shared" ca="1" si="97"/>
        <v>58.217499999999994</v>
      </c>
      <c r="O1125" s="5">
        <f t="shared" ca="1" si="97"/>
        <v>4.4046000000000003</v>
      </c>
      <c r="P1125" s="5">
        <f t="shared" ca="1" si="97"/>
        <v>14.707600000000001</v>
      </c>
      <c r="Q1125" s="5">
        <f t="shared" ca="1" si="97"/>
        <v>231.81149999999997</v>
      </c>
      <c r="R1125" s="4"/>
      <c r="S1125" s="4"/>
    </row>
    <row r="1126" spans="1:19" ht="15" customHeight="1">
      <c r="A1126" s="3">
        <f t="shared" si="93"/>
        <v>2091</v>
      </c>
      <c r="B1126" s="4">
        <f t="shared" ca="1" si="96"/>
        <v>32.666799999999995</v>
      </c>
      <c r="C1126" s="4">
        <f t="shared" ca="1" si="96"/>
        <v>32.677475000000001</v>
      </c>
      <c r="D1126" s="4">
        <f t="shared" ca="1" si="96"/>
        <v>32.691274999999997</v>
      </c>
      <c r="E1126" s="4">
        <f t="shared" ca="1" si="96"/>
        <v>32.685158333333334</v>
      </c>
      <c r="F1126" s="4">
        <f t="shared" ca="1" si="96"/>
        <v>33.372466666666668</v>
      </c>
      <c r="G1126" s="4">
        <f t="shared" ca="1" si="96"/>
        <v>31.93160833333333</v>
      </c>
      <c r="H1126" s="4">
        <f t="shared" ca="1" si="96"/>
        <v>32.862341666666666</v>
      </c>
      <c r="I1126" s="4">
        <f t="shared" ca="1" si="96"/>
        <v>31.484049999999996</v>
      </c>
      <c r="J1126" s="4">
        <f t="shared" ca="1" si="96"/>
        <v>31.348991666666667</v>
      </c>
      <c r="K1126" s="4"/>
      <c r="L1126" s="5">
        <f t="shared" ca="1" si="97"/>
        <v>355.53689999999995</v>
      </c>
      <c r="M1126" s="5">
        <f t="shared" ca="1" si="97"/>
        <v>142.0401</v>
      </c>
      <c r="N1126" s="5">
        <f t="shared" ca="1" si="97"/>
        <v>58.217499999999994</v>
      </c>
      <c r="O1126" s="5">
        <f t="shared" ca="1" si="97"/>
        <v>4.4046000000000003</v>
      </c>
      <c r="P1126" s="5">
        <f t="shared" ca="1" si="97"/>
        <v>14.707600000000001</v>
      </c>
      <c r="Q1126" s="5">
        <f t="shared" ca="1" si="97"/>
        <v>231.81149999999997</v>
      </c>
      <c r="R1126" s="4"/>
      <c r="S1126" s="4"/>
    </row>
    <row r="1127" spans="1:19" ht="15" customHeight="1">
      <c r="A1127" s="3">
        <f t="shared" si="93"/>
        <v>2092</v>
      </c>
      <c r="B1127" s="4">
        <f t="shared" ref="B1127:J1135" ca="1" si="98">AVERAGE(OFFSET(B$581,($A1127-$A$1097)*12,0,12,1))</f>
        <v>33.451308333333337</v>
      </c>
      <c r="C1127" s="4">
        <f t="shared" ca="1" si="98"/>
        <v>33.462025000000004</v>
      </c>
      <c r="D1127" s="4">
        <f t="shared" ca="1" si="98"/>
        <v>33.475816666666667</v>
      </c>
      <c r="E1127" s="4">
        <f t="shared" ca="1" si="98"/>
        <v>33.469708333333337</v>
      </c>
      <c r="F1127" s="4">
        <f t="shared" ca="1" si="98"/>
        <v>34.156966666666669</v>
      </c>
      <c r="G1127" s="4">
        <f t="shared" ca="1" si="98"/>
        <v>32.698625</v>
      </c>
      <c r="H1127" s="4">
        <f t="shared" ca="1" si="98"/>
        <v>33.629358333333336</v>
      </c>
      <c r="I1127" s="4">
        <f t="shared" ca="1" si="98"/>
        <v>32.237641666666669</v>
      </c>
      <c r="J1127" s="4">
        <f t="shared" ca="1" si="98"/>
        <v>32.10220833333333</v>
      </c>
      <c r="K1127" s="4"/>
      <c r="L1127" s="5">
        <f t="shared" ref="L1127:Q1135" ca="1" si="99">SUM(OFFSET(L$581,($A1127-$A$1097)*12,0,12,1))</f>
        <v>356.48229999999995</v>
      </c>
      <c r="M1127" s="5">
        <f t="shared" ca="1" si="99"/>
        <v>142.42920000000001</v>
      </c>
      <c r="N1127" s="5">
        <f t="shared" ca="1" si="99"/>
        <v>58.377000000000002</v>
      </c>
      <c r="O1127" s="5">
        <f t="shared" ca="1" si="99"/>
        <v>4.4165999999999999</v>
      </c>
      <c r="P1127" s="5">
        <f t="shared" ca="1" si="99"/>
        <v>14.7493</v>
      </c>
      <c r="Q1127" s="5">
        <f t="shared" ca="1" si="99"/>
        <v>232.44659999999996</v>
      </c>
      <c r="R1127" s="4"/>
      <c r="S1127" s="4"/>
    </row>
    <row r="1128" spans="1:19" ht="15" customHeight="1">
      <c r="A1128" s="3">
        <f t="shared" si="93"/>
        <v>2093</v>
      </c>
      <c r="B1128" s="4">
        <f t="shared" ca="1" si="98"/>
        <v>34.254691666666666</v>
      </c>
      <c r="C1128" s="4">
        <f t="shared" ca="1" si="98"/>
        <v>34.265366666666665</v>
      </c>
      <c r="D1128" s="4">
        <f t="shared" ca="1" si="98"/>
        <v>34.279175000000002</v>
      </c>
      <c r="E1128" s="4">
        <f t="shared" ca="1" si="98"/>
        <v>34.273041666666671</v>
      </c>
      <c r="F1128" s="4">
        <f t="shared" ca="1" si="98"/>
        <v>34.960333333333338</v>
      </c>
      <c r="G1128" s="4">
        <f t="shared" ca="1" si="98"/>
        <v>33.484066666666664</v>
      </c>
      <c r="H1128" s="4">
        <f t="shared" ca="1" si="98"/>
        <v>34.41481666666666</v>
      </c>
      <c r="I1128" s="4">
        <f t="shared" ca="1" si="98"/>
        <v>33.009341666666664</v>
      </c>
      <c r="J1128" s="4">
        <f t="shared" ca="1" si="98"/>
        <v>32.873525000000001</v>
      </c>
      <c r="K1128" s="4"/>
      <c r="L1128" s="5">
        <f t="shared" ca="1" si="99"/>
        <v>355.53689999999995</v>
      </c>
      <c r="M1128" s="5">
        <f t="shared" ca="1" si="99"/>
        <v>142.0401</v>
      </c>
      <c r="N1128" s="5">
        <f t="shared" ca="1" si="99"/>
        <v>58.217499999999994</v>
      </c>
      <c r="O1128" s="5">
        <f t="shared" ca="1" si="99"/>
        <v>4.4046000000000003</v>
      </c>
      <c r="P1128" s="5">
        <f t="shared" ca="1" si="99"/>
        <v>14.707600000000001</v>
      </c>
      <c r="Q1128" s="5">
        <f t="shared" ca="1" si="99"/>
        <v>231.81149999999997</v>
      </c>
      <c r="R1128" s="4"/>
      <c r="S1128" s="4"/>
    </row>
    <row r="1129" spans="1:19" ht="15" customHeight="1">
      <c r="A1129" s="3">
        <f t="shared" si="93"/>
        <v>2094</v>
      </c>
      <c r="B1129" s="4">
        <f t="shared" ca="1" si="98"/>
        <v>35.077341666666669</v>
      </c>
      <c r="C1129" s="4">
        <f t="shared" ca="1" si="98"/>
        <v>35.088033333333335</v>
      </c>
      <c r="D1129" s="4">
        <f t="shared" ca="1" si="98"/>
        <v>35.101849999999999</v>
      </c>
      <c r="E1129" s="4">
        <f t="shared" ca="1" si="98"/>
        <v>35.095725000000009</v>
      </c>
      <c r="F1129" s="4">
        <f t="shared" ca="1" si="98"/>
        <v>35.782991666666668</v>
      </c>
      <c r="G1129" s="4">
        <f t="shared" ca="1" si="98"/>
        <v>34.288383333333336</v>
      </c>
      <c r="H1129" s="4">
        <f t="shared" ca="1" si="98"/>
        <v>35.219133333333332</v>
      </c>
      <c r="I1129" s="4">
        <f t="shared" ca="1" si="98"/>
        <v>33.799599999999998</v>
      </c>
      <c r="J1129" s="4">
        <f t="shared" ca="1" si="98"/>
        <v>33.663366666666668</v>
      </c>
      <c r="K1129" s="4"/>
      <c r="L1129" s="5">
        <f t="shared" ca="1" si="99"/>
        <v>355.53689999999995</v>
      </c>
      <c r="M1129" s="5">
        <f t="shared" ca="1" si="99"/>
        <v>142.0401</v>
      </c>
      <c r="N1129" s="5">
        <f t="shared" ca="1" si="99"/>
        <v>58.217499999999994</v>
      </c>
      <c r="O1129" s="5">
        <f t="shared" ca="1" si="99"/>
        <v>4.4046000000000003</v>
      </c>
      <c r="P1129" s="5">
        <f t="shared" ca="1" si="99"/>
        <v>14.707600000000001</v>
      </c>
      <c r="Q1129" s="5">
        <f t="shared" ca="1" si="99"/>
        <v>231.81149999999997</v>
      </c>
      <c r="R1129" s="4"/>
      <c r="S1129" s="4"/>
    </row>
    <row r="1130" spans="1:19" ht="15" customHeight="1">
      <c r="A1130" s="3">
        <f t="shared" si="93"/>
        <v>2095</v>
      </c>
      <c r="B1130" s="4">
        <f t="shared" ca="1" si="98"/>
        <v>35.919791666666669</v>
      </c>
      <c r="C1130" s="4">
        <f t="shared" ca="1" si="98"/>
        <v>35.930458333333341</v>
      </c>
      <c r="D1130" s="4">
        <f t="shared" ca="1" si="98"/>
        <v>35.944275000000005</v>
      </c>
      <c r="E1130" s="4">
        <f t="shared" ca="1" si="98"/>
        <v>35.938158333333334</v>
      </c>
      <c r="F1130" s="4">
        <f t="shared" ca="1" si="98"/>
        <v>36.625449999999994</v>
      </c>
      <c r="G1130" s="4">
        <f t="shared" ca="1" si="98"/>
        <v>35.11204166666667</v>
      </c>
      <c r="H1130" s="4">
        <f t="shared" ca="1" si="98"/>
        <v>36.042774999999999</v>
      </c>
      <c r="I1130" s="4">
        <f t="shared" ca="1" si="98"/>
        <v>34.608816666666669</v>
      </c>
      <c r="J1130" s="4">
        <f t="shared" ca="1" si="98"/>
        <v>34.472183333333334</v>
      </c>
      <c r="K1130" s="4"/>
      <c r="L1130" s="5">
        <f t="shared" ca="1" si="99"/>
        <v>355.53689999999995</v>
      </c>
      <c r="M1130" s="5">
        <f t="shared" ca="1" si="99"/>
        <v>142.0401</v>
      </c>
      <c r="N1130" s="5">
        <f t="shared" ca="1" si="99"/>
        <v>58.217499999999994</v>
      </c>
      <c r="O1130" s="5">
        <f t="shared" ca="1" si="99"/>
        <v>4.4046000000000003</v>
      </c>
      <c r="P1130" s="5">
        <f t="shared" ca="1" si="99"/>
        <v>14.707600000000001</v>
      </c>
      <c r="Q1130" s="5">
        <f t="shared" ca="1" si="99"/>
        <v>231.81149999999997</v>
      </c>
      <c r="R1130" s="4"/>
      <c r="S1130" s="4"/>
    </row>
    <row r="1131" spans="1:19" ht="15" customHeight="1">
      <c r="A1131" s="3">
        <f t="shared" si="93"/>
        <v>2096</v>
      </c>
      <c r="B1131" s="4">
        <f t="shared" ca="1" si="98"/>
        <v>36.782466666666664</v>
      </c>
      <c r="C1131" s="4">
        <f t="shared" ca="1" si="98"/>
        <v>36.793141666666664</v>
      </c>
      <c r="D1131" s="4">
        <f t="shared" ca="1" si="98"/>
        <v>36.806966666666661</v>
      </c>
      <c r="E1131" s="4">
        <f t="shared" ca="1" si="98"/>
        <v>36.800833333333337</v>
      </c>
      <c r="F1131" s="4">
        <f t="shared" ca="1" si="98"/>
        <v>37.488108333333336</v>
      </c>
      <c r="G1131" s="4">
        <f t="shared" ca="1" si="98"/>
        <v>35.955491666666667</v>
      </c>
      <c r="H1131" s="4">
        <f t="shared" ca="1" si="98"/>
        <v>36.886225000000003</v>
      </c>
      <c r="I1131" s="4">
        <f t="shared" ca="1" si="98"/>
        <v>35.437483333333326</v>
      </c>
      <c r="J1131" s="4">
        <f t="shared" ca="1" si="98"/>
        <v>35.300433333333338</v>
      </c>
      <c r="K1131" s="4"/>
      <c r="L1131" s="5">
        <f t="shared" ca="1" si="99"/>
        <v>356.48229999999995</v>
      </c>
      <c r="M1131" s="5">
        <f t="shared" ca="1" si="99"/>
        <v>142.42920000000001</v>
      </c>
      <c r="N1131" s="5">
        <f t="shared" ca="1" si="99"/>
        <v>58.377000000000002</v>
      </c>
      <c r="O1131" s="5">
        <f t="shared" ca="1" si="99"/>
        <v>4.4165999999999999</v>
      </c>
      <c r="P1131" s="5">
        <f t="shared" ca="1" si="99"/>
        <v>14.7493</v>
      </c>
      <c r="Q1131" s="5">
        <f t="shared" ca="1" si="99"/>
        <v>232.44659999999996</v>
      </c>
      <c r="R1131" s="4"/>
      <c r="S1131" s="4"/>
    </row>
    <row r="1132" spans="1:19" ht="15" customHeight="1">
      <c r="A1132" s="3">
        <f t="shared" si="93"/>
        <v>2097</v>
      </c>
      <c r="B1132" s="4">
        <f t="shared" ca="1" si="98"/>
        <v>37.665883333333326</v>
      </c>
      <c r="C1132" s="4">
        <f t="shared" ca="1" si="98"/>
        <v>37.676541666666665</v>
      </c>
      <c r="D1132" s="4">
        <f t="shared" ca="1" si="98"/>
        <v>37.690391666666663</v>
      </c>
      <c r="E1132" s="4">
        <f t="shared" ca="1" si="98"/>
        <v>37.684241666666658</v>
      </c>
      <c r="F1132" s="4">
        <f t="shared" ca="1" si="98"/>
        <v>38.371516666666672</v>
      </c>
      <c r="G1132" s="4">
        <f t="shared" ca="1" si="98"/>
        <v>36.819183333333335</v>
      </c>
      <c r="H1132" s="4">
        <f t="shared" ca="1" si="98"/>
        <v>37.749924999999998</v>
      </c>
      <c r="I1132" s="4">
        <f t="shared" ca="1" si="98"/>
        <v>36.286074999999997</v>
      </c>
      <c r="J1132" s="4">
        <f t="shared" ca="1" si="98"/>
        <v>36.148608333333328</v>
      </c>
      <c r="K1132" s="4"/>
      <c r="L1132" s="5">
        <f t="shared" ca="1" si="99"/>
        <v>355.53689999999995</v>
      </c>
      <c r="M1132" s="5">
        <f t="shared" ca="1" si="99"/>
        <v>142.0401</v>
      </c>
      <c r="N1132" s="5">
        <f t="shared" ca="1" si="99"/>
        <v>58.217499999999994</v>
      </c>
      <c r="O1132" s="5">
        <f t="shared" ca="1" si="99"/>
        <v>4.4046000000000003</v>
      </c>
      <c r="P1132" s="5">
        <f t="shared" ca="1" si="99"/>
        <v>14.707600000000001</v>
      </c>
      <c r="Q1132" s="5">
        <f t="shared" ca="1" si="99"/>
        <v>231.81149999999997</v>
      </c>
      <c r="R1132" s="4"/>
      <c r="S1132" s="4"/>
    </row>
    <row r="1133" spans="1:19" ht="15" customHeight="1">
      <c r="A1133" s="3">
        <f t="shared" si="93"/>
        <v>2098</v>
      </c>
      <c r="B1133" s="4">
        <f t="shared" ca="1" si="98"/>
        <v>38.570500000000003</v>
      </c>
      <c r="C1133" s="4">
        <f t="shared" ca="1" si="98"/>
        <v>38.581183333333328</v>
      </c>
      <c r="D1133" s="4">
        <f t="shared" ca="1" si="98"/>
        <v>38.594991666666665</v>
      </c>
      <c r="E1133" s="4">
        <f t="shared" ca="1" si="98"/>
        <v>38.588866666666668</v>
      </c>
      <c r="F1133" s="4">
        <f t="shared" ca="1" si="98"/>
        <v>39.276150000000001</v>
      </c>
      <c r="G1133" s="4">
        <f t="shared" ca="1" si="98"/>
        <v>37.703633333333336</v>
      </c>
      <c r="H1133" s="4">
        <f t="shared" ca="1" si="98"/>
        <v>38.634374999999999</v>
      </c>
      <c r="I1133" s="4">
        <f t="shared" ca="1" si="98"/>
        <v>37.155025000000002</v>
      </c>
      <c r="J1133" s="4">
        <f t="shared" ca="1" si="98"/>
        <v>37.017133333333327</v>
      </c>
      <c r="K1133" s="4"/>
      <c r="L1133" s="5">
        <f t="shared" ca="1" si="99"/>
        <v>355.53689999999995</v>
      </c>
      <c r="M1133" s="5">
        <f t="shared" ca="1" si="99"/>
        <v>142.0401</v>
      </c>
      <c r="N1133" s="5">
        <f t="shared" ca="1" si="99"/>
        <v>58.217499999999994</v>
      </c>
      <c r="O1133" s="5">
        <f t="shared" ca="1" si="99"/>
        <v>4.4046000000000003</v>
      </c>
      <c r="P1133" s="5">
        <f t="shared" ca="1" si="99"/>
        <v>14.707600000000001</v>
      </c>
      <c r="Q1133" s="5">
        <f t="shared" ca="1" si="99"/>
        <v>231.81149999999997</v>
      </c>
      <c r="R1133" s="4"/>
      <c r="S1133" s="4"/>
    </row>
    <row r="1134" spans="1:19" ht="15" customHeight="1">
      <c r="A1134" s="3">
        <f t="shared" si="93"/>
        <v>2099</v>
      </c>
      <c r="B1134" s="4">
        <f t="shared" ca="1" si="98"/>
        <v>39.496866666666669</v>
      </c>
      <c r="C1134" s="4">
        <f t="shared" ca="1" si="98"/>
        <v>39.507558333333328</v>
      </c>
      <c r="D1134" s="4">
        <f t="shared" ca="1" si="98"/>
        <v>39.521374999999999</v>
      </c>
      <c r="E1134" s="4">
        <f t="shared" ca="1" si="98"/>
        <v>39.515241666666661</v>
      </c>
      <c r="F1134" s="4">
        <f t="shared" ca="1" si="98"/>
        <v>40.202516666666668</v>
      </c>
      <c r="G1134" s="4">
        <f t="shared" ca="1" si="98"/>
        <v>38.609341666666658</v>
      </c>
      <c r="H1134" s="4">
        <f t="shared" ca="1" si="98"/>
        <v>39.540066666666668</v>
      </c>
      <c r="I1134" s="4">
        <f t="shared" ca="1" si="98"/>
        <v>38.044874999999998</v>
      </c>
      <c r="J1134" s="4">
        <f t="shared" ca="1" si="98"/>
        <v>37.906541666666669</v>
      </c>
      <c r="K1134" s="4"/>
      <c r="L1134" s="5">
        <f t="shared" ca="1" si="99"/>
        <v>355.53689999999995</v>
      </c>
      <c r="M1134" s="5">
        <f t="shared" ca="1" si="99"/>
        <v>142.0401</v>
      </c>
      <c r="N1134" s="5">
        <f t="shared" ca="1" si="99"/>
        <v>58.217499999999994</v>
      </c>
      <c r="O1134" s="5">
        <f t="shared" ca="1" si="99"/>
        <v>4.4046000000000003</v>
      </c>
      <c r="P1134" s="5">
        <f t="shared" ca="1" si="99"/>
        <v>14.707600000000001</v>
      </c>
      <c r="Q1134" s="5">
        <f t="shared" ca="1" si="99"/>
        <v>231.81149999999997</v>
      </c>
      <c r="R1134" s="4"/>
      <c r="S1134" s="4"/>
    </row>
    <row r="1135" spans="1:19" ht="15" customHeight="1">
      <c r="A1135" s="3">
        <f t="shared" si="93"/>
        <v>2100</v>
      </c>
      <c r="B1135" s="4">
        <f t="shared" ca="1" si="98"/>
        <v>40.445500000000003</v>
      </c>
      <c r="C1135" s="4">
        <f t="shared" ca="1" si="98"/>
        <v>40.456158333333327</v>
      </c>
      <c r="D1135" s="4">
        <f t="shared" ca="1" si="98"/>
        <v>40.469983333333339</v>
      </c>
      <c r="E1135" s="4">
        <f t="shared" ca="1" si="98"/>
        <v>40.463858333333334</v>
      </c>
      <c r="F1135" s="4">
        <f t="shared" ca="1" si="98"/>
        <v>41.151133333333341</v>
      </c>
      <c r="G1135" s="4">
        <f t="shared" ca="1" si="98"/>
        <v>39.536808333333333</v>
      </c>
      <c r="H1135" s="4">
        <f t="shared" ca="1" si="98"/>
        <v>40.46755000000001</v>
      </c>
      <c r="I1135" s="4">
        <f t="shared" ca="1" si="98"/>
        <v>38.956116666666667</v>
      </c>
      <c r="J1135" s="4">
        <f t="shared" ca="1" si="98"/>
        <v>38.817299999999996</v>
      </c>
      <c r="K1135" s="4"/>
      <c r="L1135" s="5">
        <f t="shared" ca="1" si="99"/>
        <v>355.53689999999995</v>
      </c>
      <c r="M1135" s="5">
        <f t="shared" ca="1" si="99"/>
        <v>142.0401</v>
      </c>
      <c r="N1135" s="5">
        <f t="shared" ca="1" si="99"/>
        <v>58.217499999999994</v>
      </c>
      <c r="O1135" s="5">
        <f t="shared" ca="1" si="99"/>
        <v>4.4046000000000003</v>
      </c>
      <c r="P1135" s="5">
        <f t="shared" ca="1" si="99"/>
        <v>14.707600000000001</v>
      </c>
      <c r="Q1135" s="5">
        <f t="shared" ca="1" si="99"/>
        <v>231.81149999999997</v>
      </c>
      <c r="R1135" s="4"/>
      <c r="S1135" s="4"/>
    </row>
    <row r="1136" spans="1:19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</sheetData>
  <mergeCells count="2">
    <mergeCell ref="L13:S13"/>
    <mergeCell ref="L14:S14"/>
  </mergeCells>
  <pageMargins left="0.25" right="0.25" top="0.5" bottom="0.5" header="0.25" footer="0.25"/>
  <pageSetup paperSize="119" scale="90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11</xdr:row>
                    <xdr:rowOff>171450</xdr:rowOff>
                  </from>
                  <to>
                    <xdr:col>4</xdr:col>
                    <xdr:colOff>533400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4</xdr:col>
                    <xdr:colOff>533400</xdr:colOff>
                    <xdr:row>11</xdr:row>
                    <xdr:rowOff>171450</xdr:rowOff>
                  </from>
                  <to>
                    <xdr:col>6</xdr:col>
                    <xdr:colOff>257175</xdr:colOff>
                    <xdr:row>13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T1155"/>
  <sheetViews>
    <sheetView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A7" sqref="A7"/>
    </sheetView>
  </sheetViews>
  <sheetFormatPr defaultColWidth="7.109375" defaultRowHeight="12.75"/>
  <cols>
    <col min="1" max="1" width="7.5546875" style="33" bestFit="1" customWidth="1"/>
    <col min="2" max="2" width="7.88671875" style="33" customWidth="1"/>
    <col min="3" max="7" width="11.33203125" style="32" customWidth="1"/>
    <col min="8" max="8" width="12.77734375" style="32" bestFit="1" customWidth="1"/>
    <col min="9" max="9" width="13.21875" style="32" customWidth="1"/>
    <col min="10" max="10" width="12.77734375" style="32" customWidth="1"/>
    <col min="11" max="11" width="7.77734375" style="32" customWidth="1"/>
    <col min="12" max="16384" width="7.109375" style="32"/>
  </cols>
  <sheetData>
    <row r="1" spans="1:10" ht="15.75">
      <c r="A1" s="84" t="s">
        <v>64</v>
      </c>
    </row>
    <row r="2" spans="1:10" ht="15.75">
      <c r="A2" s="84" t="s">
        <v>65</v>
      </c>
    </row>
    <row r="3" spans="1:10" ht="15.75">
      <c r="A3" s="84" t="s">
        <v>66</v>
      </c>
    </row>
    <row r="4" spans="1:10" ht="15.75">
      <c r="A4" s="84" t="s">
        <v>67</v>
      </c>
    </row>
    <row r="5" spans="1:10" ht="15.75">
      <c r="A5" s="84" t="s">
        <v>69</v>
      </c>
    </row>
    <row r="6" spans="1:10" ht="15.75">
      <c r="A6" s="84" t="s">
        <v>70</v>
      </c>
    </row>
    <row r="8" spans="1:10" ht="20.25">
      <c r="A8" s="31" t="s">
        <v>35</v>
      </c>
    </row>
    <row r="9" spans="1:10" ht="15.75">
      <c r="A9" s="30" t="s">
        <v>25</v>
      </c>
    </row>
    <row r="11" spans="1:10">
      <c r="A11" s="32"/>
    </row>
    <row r="12" spans="1:10" ht="15.75">
      <c r="A12" s="32"/>
      <c r="B12" s="30"/>
      <c r="C12" s="53"/>
      <c r="I12" s="24"/>
    </row>
    <row r="13" spans="1:10" ht="15.75">
      <c r="A13" s="30"/>
      <c r="B13" s="30"/>
      <c r="C13" s="53"/>
      <c r="I13" s="24"/>
    </row>
    <row r="14" spans="1:10" ht="15.75">
      <c r="A14" s="30"/>
      <c r="C14" s="86" t="s">
        <v>34</v>
      </c>
      <c r="D14" s="86"/>
      <c r="E14" s="86"/>
      <c r="F14" s="52"/>
      <c r="G14" s="51"/>
      <c r="H14" s="50"/>
      <c r="I14" s="49"/>
    </row>
    <row r="15" spans="1:10" ht="97.9" customHeight="1">
      <c r="A15" s="18"/>
      <c r="B15" s="18"/>
      <c r="C15" s="21" t="s">
        <v>20</v>
      </c>
      <c r="D15" s="48" t="s">
        <v>19</v>
      </c>
      <c r="E15" s="21" t="s">
        <v>33</v>
      </c>
      <c r="F15" s="21" t="s">
        <v>32</v>
      </c>
      <c r="G15" s="21" t="s">
        <v>16</v>
      </c>
      <c r="H15" s="47" t="s">
        <v>31</v>
      </c>
      <c r="I15" s="21" t="s">
        <v>30</v>
      </c>
      <c r="J15" s="21" t="s">
        <v>29</v>
      </c>
    </row>
    <row r="16" spans="1:10" ht="15.75">
      <c r="A16" s="20" t="s">
        <v>2</v>
      </c>
      <c r="B16" s="20" t="s">
        <v>28</v>
      </c>
      <c r="C16" s="20" t="s">
        <v>27</v>
      </c>
      <c r="D16" s="20" t="s">
        <v>27</v>
      </c>
      <c r="E16" s="20" t="s">
        <v>27</v>
      </c>
      <c r="F16" s="20" t="s">
        <v>27</v>
      </c>
      <c r="G16" s="20" t="s">
        <v>27</v>
      </c>
      <c r="H16" s="46" t="s">
        <v>27</v>
      </c>
      <c r="I16" s="20" t="s">
        <v>27</v>
      </c>
      <c r="J16" s="20" t="s">
        <v>27</v>
      </c>
    </row>
    <row r="17" spans="1:20" ht="15.75">
      <c r="A17" s="13">
        <v>42005</v>
      </c>
      <c r="B17" s="44">
        <v>31</v>
      </c>
      <c r="C17" s="35">
        <v>122.58</v>
      </c>
      <c r="D17" s="35">
        <v>297.94099999999997</v>
      </c>
      <c r="E17" s="41">
        <v>729.47900000000004</v>
      </c>
      <c r="F17" s="35">
        <v>1150</v>
      </c>
      <c r="G17" s="35">
        <v>100</v>
      </c>
      <c r="H17" s="43"/>
      <c r="I17" s="35">
        <v>695</v>
      </c>
      <c r="J17" s="35">
        <v>50</v>
      </c>
      <c r="K17" s="36"/>
      <c r="L17" s="45"/>
      <c r="M17" s="36"/>
      <c r="N17" s="36"/>
      <c r="O17" s="36"/>
      <c r="P17" s="36"/>
      <c r="Q17" s="36"/>
      <c r="R17" s="36"/>
      <c r="S17" s="36"/>
      <c r="T17" s="36"/>
    </row>
    <row r="18" spans="1:20" ht="15.75">
      <c r="A18" s="13">
        <v>42036</v>
      </c>
      <c r="B18" s="44">
        <v>28</v>
      </c>
      <c r="C18" s="35">
        <v>122.58</v>
      </c>
      <c r="D18" s="35">
        <v>297.94099999999997</v>
      </c>
      <c r="E18" s="41">
        <v>729.47900000000004</v>
      </c>
      <c r="F18" s="35">
        <v>1150</v>
      </c>
      <c r="G18" s="35">
        <v>100</v>
      </c>
      <c r="H18" s="43"/>
      <c r="I18" s="35">
        <v>695</v>
      </c>
      <c r="J18" s="35">
        <v>50</v>
      </c>
      <c r="K18" s="36"/>
      <c r="L18" s="45"/>
      <c r="M18" s="36"/>
      <c r="N18" s="36"/>
      <c r="O18" s="36"/>
      <c r="P18" s="36"/>
      <c r="Q18" s="36"/>
      <c r="R18" s="36"/>
      <c r="S18" s="36"/>
      <c r="T18" s="36"/>
    </row>
    <row r="19" spans="1:20" ht="15.75">
      <c r="A19" s="13">
        <v>42064</v>
      </c>
      <c r="B19" s="44">
        <v>31</v>
      </c>
      <c r="C19" s="35">
        <v>122.58</v>
      </c>
      <c r="D19" s="35">
        <v>297.94099999999997</v>
      </c>
      <c r="E19" s="41">
        <v>729.47900000000004</v>
      </c>
      <c r="F19" s="35">
        <v>1150</v>
      </c>
      <c r="G19" s="35">
        <v>100</v>
      </c>
      <c r="H19" s="43"/>
      <c r="I19" s="35">
        <v>695</v>
      </c>
      <c r="J19" s="35">
        <v>50</v>
      </c>
      <c r="K19" s="36"/>
      <c r="L19" s="45"/>
      <c r="M19" s="36"/>
      <c r="N19" s="36"/>
      <c r="O19" s="36"/>
      <c r="P19" s="36"/>
      <c r="Q19" s="36"/>
      <c r="R19" s="36"/>
      <c r="S19" s="36"/>
      <c r="T19" s="36"/>
    </row>
    <row r="20" spans="1:20" ht="15.75">
      <c r="A20" s="13">
        <v>42095</v>
      </c>
      <c r="B20" s="44">
        <v>30</v>
      </c>
      <c r="C20" s="35">
        <v>141.29300000000001</v>
      </c>
      <c r="D20" s="35">
        <v>267.99299999999999</v>
      </c>
      <c r="E20" s="41">
        <v>829.71400000000006</v>
      </c>
      <c r="F20" s="35">
        <v>1239</v>
      </c>
      <c r="G20" s="35">
        <v>100</v>
      </c>
      <c r="H20" s="43"/>
      <c r="I20" s="35">
        <v>695</v>
      </c>
      <c r="J20" s="35">
        <v>50</v>
      </c>
      <c r="K20" s="36"/>
      <c r="L20" s="45"/>
      <c r="M20" s="36"/>
      <c r="N20" s="36"/>
      <c r="O20" s="36"/>
      <c r="P20" s="36"/>
      <c r="Q20" s="36"/>
      <c r="R20" s="36"/>
      <c r="S20" s="36"/>
      <c r="T20" s="36"/>
    </row>
    <row r="21" spans="1:20" ht="15.75">
      <c r="A21" s="13">
        <v>42125</v>
      </c>
      <c r="B21" s="44">
        <v>31</v>
      </c>
      <c r="C21" s="35">
        <v>194.20500000000001</v>
      </c>
      <c r="D21" s="35">
        <v>267.46600000000001</v>
      </c>
      <c r="E21" s="41">
        <v>912.32899999999995</v>
      </c>
      <c r="F21" s="35">
        <v>1374</v>
      </c>
      <c r="G21" s="35">
        <v>75</v>
      </c>
      <c r="H21" s="43"/>
      <c r="I21" s="35">
        <v>695</v>
      </c>
      <c r="J21" s="35">
        <v>50</v>
      </c>
      <c r="K21" s="36"/>
      <c r="L21" s="45"/>
      <c r="M21" s="36"/>
      <c r="N21" s="36"/>
      <c r="O21" s="36"/>
      <c r="P21" s="36"/>
      <c r="Q21" s="36"/>
      <c r="R21" s="36"/>
      <c r="S21" s="36"/>
      <c r="T21" s="36"/>
    </row>
    <row r="22" spans="1:20" ht="15.75">
      <c r="A22" s="13">
        <v>42156</v>
      </c>
      <c r="B22" s="44">
        <v>30</v>
      </c>
      <c r="C22" s="35">
        <v>194.20500000000001</v>
      </c>
      <c r="D22" s="35">
        <v>267.46600000000001</v>
      </c>
      <c r="E22" s="41">
        <v>912.32899999999995</v>
      </c>
      <c r="F22" s="35">
        <v>1374</v>
      </c>
      <c r="G22" s="35">
        <v>50</v>
      </c>
      <c r="H22" s="43"/>
      <c r="I22" s="35">
        <v>695</v>
      </c>
      <c r="J22" s="35">
        <v>50</v>
      </c>
      <c r="K22" s="36"/>
      <c r="L22" s="45"/>
      <c r="M22" s="36"/>
      <c r="N22" s="36"/>
      <c r="O22" s="36"/>
      <c r="P22" s="36"/>
      <c r="Q22" s="36"/>
      <c r="R22" s="36"/>
      <c r="S22" s="36"/>
      <c r="T22" s="36"/>
    </row>
    <row r="23" spans="1:20" ht="15.75">
      <c r="A23" s="13">
        <v>42186</v>
      </c>
      <c r="B23" s="44">
        <v>31</v>
      </c>
      <c r="C23" s="35">
        <v>194.20500000000001</v>
      </c>
      <c r="D23" s="35">
        <v>267.46600000000001</v>
      </c>
      <c r="E23" s="41">
        <v>912.32899999999995</v>
      </c>
      <c r="F23" s="35">
        <v>1374</v>
      </c>
      <c r="G23" s="35">
        <v>50</v>
      </c>
      <c r="H23" s="43"/>
      <c r="I23" s="35">
        <v>695</v>
      </c>
      <c r="J23" s="35">
        <v>0</v>
      </c>
      <c r="K23" s="36"/>
      <c r="L23" s="45"/>
      <c r="M23" s="36"/>
      <c r="N23" s="36"/>
      <c r="O23" s="36"/>
      <c r="P23" s="36"/>
      <c r="Q23" s="36"/>
      <c r="R23" s="36"/>
      <c r="S23" s="36"/>
      <c r="T23" s="36"/>
    </row>
    <row r="24" spans="1:20" ht="15.75">
      <c r="A24" s="13">
        <v>42217</v>
      </c>
      <c r="B24" s="44">
        <v>31</v>
      </c>
      <c r="C24" s="35">
        <v>194.20500000000001</v>
      </c>
      <c r="D24" s="35">
        <v>267.46600000000001</v>
      </c>
      <c r="E24" s="41">
        <v>912.32899999999995</v>
      </c>
      <c r="F24" s="35">
        <v>1374</v>
      </c>
      <c r="G24" s="35">
        <v>50</v>
      </c>
      <c r="H24" s="43"/>
      <c r="I24" s="35">
        <v>695</v>
      </c>
      <c r="J24" s="35">
        <v>0</v>
      </c>
      <c r="K24" s="36"/>
      <c r="L24" s="45"/>
      <c r="M24" s="36"/>
      <c r="N24" s="36"/>
      <c r="O24" s="36"/>
      <c r="P24" s="36"/>
      <c r="Q24" s="36"/>
      <c r="R24" s="36"/>
      <c r="S24" s="36"/>
      <c r="T24" s="36"/>
    </row>
    <row r="25" spans="1:20" ht="15.75">
      <c r="A25" s="13">
        <v>42248</v>
      </c>
      <c r="B25" s="44">
        <v>30</v>
      </c>
      <c r="C25" s="35">
        <v>194.20500000000001</v>
      </c>
      <c r="D25" s="35">
        <v>267.46600000000001</v>
      </c>
      <c r="E25" s="41">
        <v>912.32899999999995</v>
      </c>
      <c r="F25" s="35">
        <v>1374</v>
      </c>
      <c r="G25" s="35">
        <v>50</v>
      </c>
      <c r="H25" s="43"/>
      <c r="I25" s="35">
        <v>695</v>
      </c>
      <c r="J25" s="35">
        <v>0</v>
      </c>
      <c r="K25" s="36"/>
      <c r="L25" s="45"/>
      <c r="M25" s="36"/>
      <c r="N25" s="36"/>
      <c r="O25" s="36"/>
      <c r="P25" s="36"/>
      <c r="Q25" s="36"/>
      <c r="R25" s="36"/>
      <c r="S25" s="36"/>
      <c r="T25" s="36"/>
    </row>
    <row r="26" spans="1:20" ht="15.75">
      <c r="A26" s="13">
        <v>42278</v>
      </c>
      <c r="B26" s="44">
        <v>31</v>
      </c>
      <c r="C26" s="35">
        <v>131.881</v>
      </c>
      <c r="D26" s="35">
        <v>277.16699999999997</v>
      </c>
      <c r="E26" s="41">
        <v>829.952</v>
      </c>
      <c r="F26" s="35">
        <v>1239</v>
      </c>
      <c r="G26" s="35">
        <v>75</v>
      </c>
      <c r="H26" s="43"/>
      <c r="I26" s="35">
        <v>695</v>
      </c>
      <c r="J26" s="35">
        <v>0</v>
      </c>
      <c r="K26" s="36"/>
      <c r="L26" s="45"/>
      <c r="M26" s="36"/>
      <c r="N26" s="36"/>
      <c r="O26" s="36"/>
      <c r="P26" s="36"/>
      <c r="Q26" s="36"/>
      <c r="R26" s="36"/>
      <c r="S26" s="36"/>
      <c r="T26" s="36"/>
    </row>
    <row r="27" spans="1:20" ht="15.75">
      <c r="A27" s="13">
        <v>42309</v>
      </c>
      <c r="B27" s="44">
        <v>30</v>
      </c>
      <c r="C27" s="35">
        <v>122.58</v>
      </c>
      <c r="D27" s="35">
        <v>297.94099999999997</v>
      </c>
      <c r="E27" s="41">
        <v>729.47900000000004</v>
      </c>
      <c r="F27" s="35">
        <v>1150</v>
      </c>
      <c r="G27" s="35">
        <v>100</v>
      </c>
      <c r="H27" s="43"/>
      <c r="I27" s="35">
        <v>695</v>
      </c>
      <c r="J27" s="35">
        <v>50</v>
      </c>
      <c r="K27" s="36"/>
      <c r="L27" s="45"/>
      <c r="M27" s="36"/>
      <c r="N27" s="36"/>
      <c r="O27" s="36"/>
      <c r="P27" s="36"/>
      <c r="Q27" s="36"/>
      <c r="R27" s="36"/>
      <c r="S27" s="36"/>
      <c r="T27" s="36"/>
    </row>
    <row r="28" spans="1:20" ht="15.75">
      <c r="A28" s="13">
        <v>42339</v>
      </c>
      <c r="B28" s="44">
        <v>31</v>
      </c>
      <c r="C28" s="35">
        <v>122.58</v>
      </c>
      <c r="D28" s="35">
        <v>297.94099999999997</v>
      </c>
      <c r="E28" s="41">
        <v>729.47900000000004</v>
      </c>
      <c r="F28" s="35">
        <v>1150</v>
      </c>
      <c r="G28" s="35">
        <v>100</v>
      </c>
      <c r="H28" s="43"/>
      <c r="I28" s="35">
        <v>695</v>
      </c>
      <c r="J28" s="35">
        <v>50</v>
      </c>
      <c r="K28" s="36"/>
      <c r="L28" s="45"/>
      <c r="M28" s="36"/>
      <c r="N28" s="36"/>
      <c r="O28" s="36"/>
      <c r="P28" s="36"/>
      <c r="Q28" s="36"/>
      <c r="R28" s="36"/>
      <c r="S28" s="36"/>
      <c r="T28" s="36"/>
    </row>
    <row r="29" spans="1:20" ht="15.75">
      <c r="A29" s="13">
        <v>42370</v>
      </c>
      <c r="B29" s="44">
        <v>31</v>
      </c>
      <c r="C29" s="35">
        <v>122.58</v>
      </c>
      <c r="D29" s="35">
        <v>297.94099999999997</v>
      </c>
      <c r="E29" s="41">
        <v>729.47900000000004</v>
      </c>
      <c r="F29" s="35">
        <v>1150</v>
      </c>
      <c r="G29" s="35">
        <v>100</v>
      </c>
      <c r="H29" s="43"/>
      <c r="I29" s="35">
        <v>695</v>
      </c>
      <c r="J29" s="35">
        <v>50</v>
      </c>
      <c r="K29" s="36"/>
      <c r="L29" s="45"/>
      <c r="M29" s="36"/>
      <c r="N29" s="36"/>
      <c r="O29" s="36"/>
      <c r="P29" s="36"/>
      <c r="Q29" s="36"/>
      <c r="R29" s="36"/>
      <c r="S29" s="36"/>
      <c r="T29" s="36"/>
    </row>
    <row r="30" spans="1:20" ht="15.75">
      <c r="A30" s="13">
        <v>42401</v>
      </c>
      <c r="B30" s="44">
        <v>29</v>
      </c>
      <c r="C30" s="35">
        <v>122.58</v>
      </c>
      <c r="D30" s="35">
        <v>297.94099999999997</v>
      </c>
      <c r="E30" s="41">
        <v>729.47900000000004</v>
      </c>
      <c r="F30" s="35">
        <v>1150</v>
      </c>
      <c r="G30" s="35">
        <v>100</v>
      </c>
      <c r="H30" s="43"/>
      <c r="I30" s="35">
        <v>695</v>
      </c>
      <c r="J30" s="35">
        <v>50</v>
      </c>
      <c r="K30" s="36"/>
      <c r="L30" s="45"/>
      <c r="M30" s="36"/>
      <c r="N30" s="36"/>
      <c r="O30" s="36"/>
      <c r="P30" s="36"/>
      <c r="Q30" s="36"/>
      <c r="R30" s="36"/>
      <c r="S30" s="36"/>
      <c r="T30" s="36"/>
    </row>
    <row r="31" spans="1:20" ht="15.75">
      <c r="A31" s="13">
        <v>42430</v>
      </c>
      <c r="B31" s="44">
        <v>31</v>
      </c>
      <c r="C31" s="35">
        <v>122.58</v>
      </c>
      <c r="D31" s="35">
        <v>297.94099999999997</v>
      </c>
      <c r="E31" s="41">
        <v>729.47900000000004</v>
      </c>
      <c r="F31" s="35">
        <v>1150</v>
      </c>
      <c r="G31" s="35">
        <v>100</v>
      </c>
      <c r="H31" s="43"/>
      <c r="I31" s="35">
        <v>695</v>
      </c>
      <c r="J31" s="35">
        <v>50</v>
      </c>
      <c r="K31" s="36"/>
      <c r="L31" s="45"/>
      <c r="M31" s="36"/>
      <c r="N31" s="36"/>
      <c r="O31" s="36"/>
      <c r="P31" s="36"/>
      <c r="Q31" s="36"/>
      <c r="R31" s="36"/>
      <c r="S31" s="36"/>
      <c r="T31" s="36"/>
    </row>
    <row r="32" spans="1:20" ht="15.75">
      <c r="A32" s="13">
        <v>42461</v>
      </c>
      <c r="B32" s="44">
        <v>30</v>
      </c>
      <c r="C32" s="35">
        <v>141.29300000000001</v>
      </c>
      <c r="D32" s="35">
        <v>267.99299999999999</v>
      </c>
      <c r="E32" s="41">
        <v>829.71400000000006</v>
      </c>
      <c r="F32" s="35">
        <v>1239</v>
      </c>
      <c r="G32" s="35">
        <v>100</v>
      </c>
      <c r="H32" s="43"/>
      <c r="I32" s="35">
        <v>695</v>
      </c>
      <c r="J32" s="35">
        <v>50</v>
      </c>
      <c r="K32" s="36"/>
      <c r="L32" s="45"/>
      <c r="M32" s="36"/>
      <c r="N32" s="36"/>
      <c r="O32" s="36"/>
      <c r="P32" s="36"/>
      <c r="Q32" s="36"/>
      <c r="R32" s="36"/>
      <c r="S32" s="36"/>
      <c r="T32" s="36"/>
    </row>
    <row r="33" spans="1:20" ht="15.75">
      <c r="A33" s="13">
        <v>42491</v>
      </c>
      <c r="B33" s="44">
        <v>31</v>
      </c>
      <c r="C33" s="35">
        <v>194.20500000000001</v>
      </c>
      <c r="D33" s="35">
        <v>267.46600000000001</v>
      </c>
      <c r="E33" s="41">
        <v>912.32899999999995</v>
      </c>
      <c r="F33" s="35">
        <v>1374</v>
      </c>
      <c r="G33" s="35">
        <v>75</v>
      </c>
      <c r="H33" s="43"/>
      <c r="I33" s="35">
        <v>695</v>
      </c>
      <c r="J33" s="35">
        <v>50</v>
      </c>
      <c r="K33" s="36"/>
      <c r="L33" s="45"/>
      <c r="M33" s="36"/>
      <c r="N33" s="36"/>
      <c r="O33" s="36"/>
      <c r="P33" s="36"/>
      <c r="Q33" s="36"/>
      <c r="R33" s="36"/>
      <c r="S33" s="36"/>
      <c r="T33" s="36"/>
    </row>
    <row r="34" spans="1:20" ht="15.75">
      <c r="A34" s="13">
        <v>42522</v>
      </c>
      <c r="B34" s="44">
        <v>30</v>
      </c>
      <c r="C34" s="35">
        <v>194.20500000000001</v>
      </c>
      <c r="D34" s="35">
        <v>267.46600000000001</v>
      </c>
      <c r="E34" s="41">
        <v>912.32899999999995</v>
      </c>
      <c r="F34" s="35">
        <v>1374</v>
      </c>
      <c r="G34" s="35">
        <v>50</v>
      </c>
      <c r="H34" s="43"/>
      <c r="I34" s="35">
        <v>695</v>
      </c>
      <c r="J34" s="35">
        <v>50</v>
      </c>
      <c r="K34" s="36"/>
      <c r="L34" s="45"/>
      <c r="M34" s="36"/>
      <c r="N34" s="36"/>
      <c r="O34" s="36"/>
      <c r="P34" s="36"/>
      <c r="Q34" s="36"/>
      <c r="R34" s="36"/>
      <c r="S34" s="36"/>
      <c r="T34" s="36"/>
    </row>
    <row r="35" spans="1:20" ht="15.75">
      <c r="A35" s="13">
        <v>42552</v>
      </c>
      <c r="B35" s="44">
        <v>31</v>
      </c>
      <c r="C35" s="35">
        <v>194.20500000000001</v>
      </c>
      <c r="D35" s="35">
        <v>267.46600000000001</v>
      </c>
      <c r="E35" s="41">
        <v>912.32899999999995</v>
      </c>
      <c r="F35" s="35">
        <v>1374</v>
      </c>
      <c r="G35" s="35">
        <v>50</v>
      </c>
      <c r="H35" s="43"/>
      <c r="I35" s="35">
        <v>695</v>
      </c>
      <c r="J35" s="35">
        <v>0</v>
      </c>
      <c r="K35" s="36"/>
      <c r="L35" s="45"/>
      <c r="M35" s="36"/>
      <c r="N35" s="36"/>
      <c r="O35" s="36"/>
      <c r="P35" s="36"/>
      <c r="Q35" s="36"/>
      <c r="R35" s="36"/>
      <c r="S35" s="36"/>
      <c r="T35" s="36"/>
    </row>
    <row r="36" spans="1:20" ht="15.75">
      <c r="A36" s="13">
        <v>42583</v>
      </c>
      <c r="B36" s="44">
        <v>31</v>
      </c>
      <c r="C36" s="35">
        <v>194.20500000000001</v>
      </c>
      <c r="D36" s="35">
        <v>267.46600000000001</v>
      </c>
      <c r="E36" s="41">
        <v>912.32899999999995</v>
      </c>
      <c r="F36" s="35">
        <v>1374</v>
      </c>
      <c r="G36" s="35">
        <v>50</v>
      </c>
      <c r="H36" s="43"/>
      <c r="I36" s="35">
        <v>695</v>
      </c>
      <c r="J36" s="35">
        <v>0</v>
      </c>
      <c r="K36" s="36"/>
      <c r="L36" s="45"/>
      <c r="M36" s="36"/>
      <c r="N36" s="36"/>
      <c r="O36" s="36"/>
      <c r="P36" s="36"/>
      <c r="Q36" s="36"/>
      <c r="R36" s="36"/>
      <c r="S36" s="36"/>
      <c r="T36" s="36"/>
    </row>
    <row r="37" spans="1:20" ht="15.75">
      <c r="A37" s="13">
        <v>42614</v>
      </c>
      <c r="B37" s="44">
        <v>30</v>
      </c>
      <c r="C37" s="35">
        <v>194.20500000000001</v>
      </c>
      <c r="D37" s="35">
        <v>267.46600000000001</v>
      </c>
      <c r="E37" s="41">
        <v>912.32899999999995</v>
      </c>
      <c r="F37" s="35">
        <v>1374</v>
      </c>
      <c r="G37" s="35">
        <v>50</v>
      </c>
      <c r="H37" s="43"/>
      <c r="I37" s="35">
        <v>695</v>
      </c>
      <c r="J37" s="35">
        <v>0</v>
      </c>
      <c r="K37" s="36"/>
      <c r="L37" s="45"/>
      <c r="M37" s="36"/>
      <c r="N37" s="36"/>
      <c r="O37" s="36"/>
      <c r="P37" s="36"/>
      <c r="Q37" s="36"/>
      <c r="R37" s="36"/>
      <c r="S37" s="36"/>
      <c r="T37" s="36"/>
    </row>
    <row r="38" spans="1:20" ht="15.75">
      <c r="A38" s="13">
        <v>42644</v>
      </c>
      <c r="B38" s="44">
        <v>31</v>
      </c>
      <c r="C38" s="35">
        <v>131.881</v>
      </c>
      <c r="D38" s="35">
        <v>277.16699999999997</v>
      </c>
      <c r="E38" s="41">
        <v>829.952</v>
      </c>
      <c r="F38" s="35">
        <v>1239</v>
      </c>
      <c r="G38" s="35">
        <v>75</v>
      </c>
      <c r="H38" s="43"/>
      <c r="I38" s="35">
        <v>695</v>
      </c>
      <c r="J38" s="35">
        <v>0</v>
      </c>
      <c r="K38" s="36"/>
      <c r="L38" s="45"/>
      <c r="M38" s="36"/>
      <c r="N38" s="36"/>
      <c r="O38" s="36"/>
      <c r="P38" s="36"/>
      <c r="Q38" s="36"/>
      <c r="R38" s="36"/>
      <c r="S38" s="36"/>
      <c r="T38" s="36"/>
    </row>
    <row r="39" spans="1:20" ht="15.75">
      <c r="A39" s="13">
        <v>42675</v>
      </c>
      <c r="B39" s="44">
        <v>30</v>
      </c>
      <c r="C39" s="35">
        <v>122.58</v>
      </c>
      <c r="D39" s="35">
        <v>297.94099999999997</v>
      </c>
      <c r="E39" s="41">
        <v>729.47900000000004</v>
      </c>
      <c r="F39" s="35">
        <v>1150</v>
      </c>
      <c r="G39" s="35">
        <v>100</v>
      </c>
      <c r="H39" s="43"/>
      <c r="I39" s="35">
        <v>695</v>
      </c>
      <c r="J39" s="35">
        <v>50</v>
      </c>
      <c r="K39" s="36"/>
      <c r="L39" s="45"/>
      <c r="M39" s="36"/>
      <c r="N39" s="36"/>
      <c r="O39" s="36"/>
      <c r="P39" s="36"/>
      <c r="Q39" s="36"/>
      <c r="R39" s="36"/>
      <c r="S39" s="36"/>
      <c r="T39" s="36"/>
    </row>
    <row r="40" spans="1:20" ht="15.75">
      <c r="A40" s="13">
        <v>42705</v>
      </c>
      <c r="B40" s="44">
        <v>31</v>
      </c>
      <c r="C40" s="35">
        <v>122.58</v>
      </c>
      <c r="D40" s="35">
        <v>297.94099999999997</v>
      </c>
      <c r="E40" s="41">
        <v>729.47900000000004</v>
      </c>
      <c r="F40" s="35">
        <v>1150</v>
      </c>
      <c r="G40" s="35">
        <v>100</v>
      </c>
      <c r="H40" s="43"/>
      <c r="I40" s="35">
        <v>695</v>
      </c>
      <c r="J40" s="35">
        <v>50</v>
      </c>
      <c r="K40" s="36"/>
      <c r="L40" s="45"/>
      <c r="M40" s="36"/>
      <c r="N40" s="36"/>
      <c r="O40" s="36"/>
      <c r="P40" s="36"/>
      <c r="Q40" s="36"/>
      <c r="R40" s="36"/>
      <c r="S40" s="36"/>
      <c r="T40" s="36"/>
    </row>
    <row r="41" spans="1:20" ht="15.75">
      <c r="A41" s="13">
        <v>42736</v>
      </c>
      <c r="B41" s="44">
        <v>31</v>
      </c>
      <c r="C41" s="35">
        <v>122.58</v>
      </c>
      <c r="D41" s="35">
        <v>297.94099999999997</v>
      </c>
      <c r="E41" s="41">
        <v>729.47900000000004</v>
      </c>
      <c r="F41" s="35">
        <v>1150</v>
      </c>
      <c r="G41" s="35">
        <v>100</v>
      </c>
      <c r="H41" s="43"/>
      <c r="I41" s="35">
        <v>695</v>
      </c>
      <c r="J41" s="35">
        <v>50</v>
      </c>
      <c r="K41" s="36"/>
      <c r="L41" s="45"/>
      <c r="M41" s="36"/>
      <c r="N41" s="36"/>
      <c r="O41" s="36"/>
      <c r="P41" s="36"/>
      <c r="Q41" s="36"/>
      <c r="R41" s="36"/>
      <c r="S41" s="36"/>
      <c r="T41" s="36"/>
    </row>
    <row r="42" spans="1:20" ht="15.75">
      <c r="A42" s="13">
        <v>42767</v>
      </c>
      <c r="B42" s="44">
        <v>28</v>
      </c>
      <c r="C42" s="35">
        <v>122.58</v>
      </c>
      <c r="D42" s="35">
        <v>297.94099999999997</v>
      </c>
      <c r="E42" s="41">
        <v>729.47900000000004</v>
      </c>
      <c r="F42" s="35">
        <v>1150</v>
      </c>
      <c r="G42" s="35">
        <v>100</v>
      </c>
      <c r="H42" s="43"/>
      <c r="I42" s="35">
        <v>695</v>
      </c>
      <c r="J42" s="35">
        <v>50</v>
      </c>
      <c r="K42" s="36"/>
      <c r="L42" s="45"/>
      <c r="M42" s="36"/>
      <c r="N42" s="36"/>
      <c r="O42" s="36"/>
      <c r="P42" s="36"/>
      <c r="Q42" s="36"/>
      <c r="R42" s="36"/>
      <c r="S42" s="36"/>
      <c r="T42" s="36"/>
    </row>
    <row r="43" spans="1:20" ht="15.75">
      <c r="A43" s="13">
        <v>42795</v>
      </c>
      <c r="B43" s="44">
        <v>31</v>
      </c>
      <c r="C43" s="35">
        <v>122.58</v>
      </c>
      <c r="D43" s="35">
        <v>297.94099999999997</v>
      </c>
      <c r="E43" s="41">
        <v>729.47900000000004</v>
      </c>
      <c r="F43" s="35">
        <v>1150</v>
      </c>
      <c r="G43" s="35">
        <v>100</v>
      </c>
      <c r="H43" s="43"/>
      <c r="I43" s="35">
        <v>695</v>
      </c>
      <c r="J43" s="35">
        <v>50</v>
      </c>
      <c r="K43" s="36"/>
      <c r="L43" s="45"/>
      <c r="M43" s="36"/>
      <c r="N43" s="36"/>
      <c r="O43" s="36"/>
      <c r="P43" s="36"/>
      <c r="Q43" s="36"/>
      <c r="R43" s="36"/>
      <c r="S43" s="36"/>
      <c r="T43" s="36"/>
    </row>
    <row r="44" spans="1:20" ht="15.75">
      <c r="A44" s="13">
        <v>42826</v>
      </c>
      <c r="B44" s="44">
        <v>30</v>
      </c>
      <c r="C44" s="35">
        <v>141.29300000000001</v>
      </c>
      <c r="D44" s="35">
        <v>267.99299999999999</v>
      </c>
      <c r="E44" s="41">
        <v>829.71400000000006</v>
      </c>
      <c r="F44" s="35">
        <v>1239</v>
      </c>
      <c r="G44" s="35">
        <v>100</v>
      </c>
      <c r="H44" s="43"/>
      <c r="I44" s="35">
        <v>695</v>
      </c>
      <c r="J44" s="35">
        <v>50</v>
      </c>
      <c r="K44" s="36"/>
      <c r="L44" s="45"/>
      <c r="M44" s="36"/>
      <c r="N44" s="36"/>
      <c r="O44" s="36"/>
      <c r="P44" s="36"/>
      <c r="Q44" s="36"/>
      <c r="R44" s="36"/>
      <c r="S44" s="36"/>
      <c r="T44" s="36"/>
    </row>
    <row r="45" spans="1:20" ht="15.75">
      <c r="A45" s="13">
        <v>42856</v>
      </c>
      <c r="B45" s="44">
        <v>31</v>
      </c>
      <c r="C45" s="35">
        <v>194.20500000000001</v>
      </c>
      <c r="D45" s="35">
        <v>267.46600000000001</v>
      </c>
      <c r="E45" s="41">
        <v>812.32899999999995</v>
      </c>
      <c r="F45" s="35">
        <v>1274</v>
      </c>
      <c r="G45" s="35">
        <v>75</v>
      </c>
      <c r="H45" s="43">
        <v>400</v>
      </c>
      <c r="I45" s="35">
        <v>695</v>
      </c>
      <c r="J45" s="35">
        <v>50</v>
      </c>
      <c r="K45" s="36"/>
      <c r="L45" s="45"/>
      <c r="M45" s="36"/>
      <c r="N45" s="36"/>
      <c r="O45" s="36"/>
      <c r="P45" s="36"/>
      <c r="Q45" s="36"/>
      <c r="R45" s="36"/>
      <c r="S45" s="36"/>
      <c r="T45" s="36"/>
    </row>
    <row r="46" spans="1:20" ht="15.75">
      <c r="A46" s="13">
        <v>42887</v>
      </c>
      <c r="B46" s="44">
        <v>30</v>
      </c>
      <c r="C46" s="35">
        <v>194.20500000000001</v>
      </c>
      <c r="D46" s="35">
        <v>267.46600000000001</v>
      </c>
      <c r="E46" s="41">
        <v>812.32899999999995</v>
      </c>
      <c r="F46" s="35">
        <v>1274</v>
      </c>
      <c r="G46" s="35">
        <v>50</v>
      </c>
      <c r="H46" s="43">
        <v>400</v>
      </c>
      <c r="I46" s="35">
        <v>695</v>
      </c>
      <c r="J46" s="35">
        <v>50</v>
      </c>
      <c r="K46" s="36"/>
      <c r="L46" s="45"/>
      <c r="M46" s="36"/>
      <c r="N46" s="36"/>
      <c r="O46" s="36"/>
      <c r="P46" s="36"/>
      <c r="Q46" s="36"/>
      <c r="R46" s="36"/>
      <c r="S46" s="36"/>
      <c r="T46" s="36"/>
    </row>
    <row r="47" spans="1:20" ht="15.75">
      <c r="A47" s="13">
        <v>42917</v>
      </c>
      <c r="B47" s="44">
        <v>31</v>
      </c>
      <c r="C47" s="35">
        <v>194.20500000000001</v>
      </c>
      <c r="D47" s="35">
        <v>267.46600000000001</v>
      </c>
      <c r="E47" s="41">
        <v>812.32899999999995</v>
      </c>
      <c r="F47" s="35">
        <v>1274</v>
      </c>
      <c r="G47" s="35">
        <v>50</v>
      </c>
      <c r="H47" s="43">
        <v>400</v>
      </c>
      <c r="I47" s="35">
        <v>695</v>
      </c>
      <c r="J47" s="35">
        <v>0</v>
      </c>
      <c r="K47" s="36"/>
      <c r="L47" s="45"/>
      <c r="M47" s="36"/>
      <c r="N47" s="36"/>
      <c r="O47" s="36"/>
      <c r="P47" s="36"/>
      <c r="Q47" s="36"/>
      <c r="R47" s="36"/>
      <c r="S47" s="36"/>
      <c r="T47" s="36"/>
    </row>
    <row r="48" spans="1:20" ht="15.75">
      <c r="A48" s="13">
        <v>42948</v>
      </c>
      <c r="B48" s="44">
        <v>31</v>
      </c>
      <c r="C48" s="35">
        <v>194.20500000000001</v>
      </c>
      <c r="D48" s="35">
        <v>267.46600000000001</v>
      </c>
      <c r="E48" s="41">
        <v>812.32899999999995</v>
      </c>
      <c r="F48" s="35">
        <v>1274</v>
      </c>
      <c r="G48" s="35">
        <v>50</v>
      </c>
      <c r="H48" s="43">
        <v>400</v>
      </c>
      <c r="I48" s="35">
        <v>695</v>
      </c>
      <c r="J48" s="35">
        <v>0</v>
      </c>
      <c r="K48" s="36"/>
      <c r="L48" s="45"/>
      <c r="M48" s="36"/>
      <c r="N48" s="36"/>
      <c r="O48" s="36"/>
      <c r="P48" s="36"/>
      <c r="Q48" s="36"/>
      <c r="R48" s="36"/>
      <c r="S48" s="36"/>
      <c r="T48" s="36"/>
    </row>
    <row r="49" spans="1:20" ht="15.75">
      <c r="A49" s="13">
        <v>42979</v>
      </c>
      <c r="B49" s="44">
        <v>30</v>
      </c>
      <c r="C49" s="35">
        <v>194.20500000000001</v>
      </c>
      <c r="D49" s="35">
        <v>267.46600000000001</v>
      </c>
      <c r="E49" s="41">
        <v>812.32899999999995</v>
      </c>
      <c r="F49" s="35">
        <v>1274</v>
      </c>
      <c r="G49" s="35">
        <v>50</v>
      </c>
      <c r="H49" s="43">
        <v>400</v>
      </c>
      <c r="I49" s="35">
        <v>695</v>
      </c>
      <c r="J49" s="35">
        <v>0</v>
      </c>
      <c r="K49" s="36"/>
      <c r="L49" s="45"/>
      <c r="M49" s="36"/>
      <c r="N49" s="36"/>
      <c r="O49" s="36"/>
      <c r="P49" s="36"/>
      <c r="Q49" s="36"/>
      <c r="R49" s="36"/>
      <c r="S49" s="36"/>
      <c r="T49" s="36"/>
    </row>
    <row r="50" spans="1:20" ht="15.75">
      <c r="A50" s="13">
        <v>43009</v>
      </c>
      <c r="B50" s="44">
        <v>31</v>
      </c>
      <c r="C50" s="35">
        <v>131.881</v>
      </c>
      <c r="D50" s="35">
        <v>277.16699999999997</v>
      </c>
      <c r="E50" s="41">
        <v>829.952</v>
      </c>
      <c r="F50" s="35">
        <v>1239</v>
      </c>
      <c r="G50" s="35">
        <v>75</v>
      </c>
      <c r="H50" s="43">
        <v>400</v>
      </c>
      <c r="I50" s="35">
        <v>695</v>
      </c>
      <c r="J50" s="35">
        <v>0</v>
      </c>
      <c r="K50" s="36"/>
      <c r="L50" s="45"/>
      <c r="M50" s="36"/>
      <c r="N50" s="36"/>
      <c r="O50" s="36"/>
      <c r="P50" s="36"/>
      <c r="Q50" s="36"/>
      <c r="R50" s="36"/>
      <c r="S50" s="36"/>
      <c r="T50" s="36"/>
    </row>
    <row r="51" spans="1:20" ht="15.75">
      <c r="A51" s="13">
        <v>43040</v>
      </c>
      <c r="B51" s="44">
        <v>30</v>
      </c>
      <c r="C51" s="35">
        <v>122.58</v>
      </c>
      <c r="D51" s="35">
        <v>297.94099999999997</v>
      </c>
      <c r="E51" s="41">
        <v>729.47900000000004</v>
      </c>
      <c r="F51" s="35">
        <v>1150</v>
      </c>
      <c r="G51" s="35">
        <v>100</v>
      </c>
      <c r="H51" s="43">
        <v>400</v>
      </c>
      <c r="I51" s="35">
        <v>695</v>
      </c>
      <c r="J51" s="35">
        <v>50</v>
      </c>
      <c r="K51" s="36"/>
      <c r="L51" s="45"/>
      <c r="M51" s="36"/>
      <c r="N51" s="36"/>
      <c r="O51" s="36"/>
      <c r="P51" s="36"/>
      <c r="Q51" s="36"/>
      <c r="R51" s="36"/>
      <c r="S51" s="36"/>
      <c r="T51" s="36"/>
    </row>
    <row r="52" spans="1:20" ht="15.75">
      <c r="A52" s="13">
        <v>43070</v>
      </c>
      <c r="B52" s="44">
        <v>31</v>
      </c>
      <c r="C52" s="35">
        <v>122.58</v>
      </c>
      <c r="D52" s="35">
        <v>297.94099999999997</v>
      </c>
      <c r="E52" s="41">
        <v>729.47900000000004</v>
      </c>
      <c r="F52" s="35">
        <v>1150</v>
      </c>
      <c r="G52" s="35">
        <v>100</v>
      </c>
      <c r="H52" s="43">
        <v>400</v>
      </c>
      <c r="I52" s="35">
        <v>695</v>
      </c>
      <c r="J52" s="35">
        <v>50</v>
      </c>
      <c r="K52" s="36"/>
      <c r="L52" s="45"/>
      <c r="M52" s="36"/>
      <c r="N52" s="36"/>
      <c r="O52" s="36"/>
      <c r="P52" s="36"/>
      <c r="Q52" s="36"/>
      <c r="R52" s="36"/>
      <c r="S52" s="36"/>
      <c r="T52" s="36"/>
    </row>
    <row r="53" spans="1:20" ht="15.75">
      <c r="A53" s="13">
        <v>43101</v>
      </c>
      <c r="B53" s="44">
        <v>31</v>
      </c>
      <c r="C53" s="35">
        <v>122.58</v>
      </c>
      <c r="D53" s="35">
        <v>297.94099999999997</v>
      </c>
      <c r="E53" s="41">
        <v>729.47900000000004</v>
      </c>
      <c r="F53" s="35">
        <v>1150</v>
      </c>
      <c r="G53" s="35">
        <v>100</v>
      </c>
      <c r="H53" s="43">
        <v>400</v>
      </c>
      <c r="I53" s="35">
        <v>695</v>
      </c>
      <c r="J53" s="35">
        <v>50</v>
      </c>
      <c r="K53" s="36"/>
      <c r="L53" s="45"/>
      <c r="M53" s="36"/>
      <c r="N53" s="36"/>
      <c r="O53" s="36"/>
      <c r="P53" s="36"/>
      <c r="Q53" s="36"/>
      <c r="R53" s="36"/>
      <c r="S53" s="36"/>
      <c r="T53" s="36"/>
    </row>
    <row r="54" spans="1:20" ht="15.75">
      <c r="A54" s="13">
        <v>43132</v>
      </c>
      <c r="B54" s="44">
        <v>28</v>
      </c>
      <c r="C54" s="35">
        <v>122.58</v>
      </c>
      <c r="D54" s="35">
        <v>297.94099999999997</v>
      </c>
      <c r="E54" s="41">
        <v>729.47900000000004</v>
      </c>
      <c r="F54" s="35">
        <v>1150</v>
      </c>
      <c r="G54" s="35">
        <v>100</v>
      </c>
      <c r="H54" s="43">
        <v>400</v>
      </c>
      <c r="I54" s="35">
        <v>695</v>
      </c>
      <c r="J54" s="35">
        <v>50</v>
      </c>
      <c r="K54" s="36"/>
      <c r="L54" s="45"/>
      <c r="M54" s="36"/>
      <c r="N54" s="36"/>
      <c r="O54" s="36"/>
      <c r="P54" s="36"/>
      <c r="Q54" s="36"/>
      <c r="R54" s="36"/>
      <c r="S54" s="36"/>
      <c r="T54" s="36"/>
    </row>
    <row r="55" spans="1:20" ht="15.75">
      <c r="A55" s="13">
        <v>43160</v>
      </c>
      <c r="B55" s="44">
        <v>31</v>
      </c>
      <c r="C55" s="35">
        <v>122.58</v>
      </c>
      <c r="D55" s="35">
        <v>297.94099999999997</v>
      </c>
      <c r="E55" s="41">
        <v>729.47900000000004</v>
      </c>
      <c r="F55" s="35">
        <v>1150</v>
      </c>
      <c r="G55" s="35">
        <v>100</v>
      </c>
      <c r="H55" s="43">
        <v>400</v>
      </c>
      <c r="I55" s="35">
        <v>695</v>
      </c>
      <c r="J55" s="35">
        <v>50</v>
      </c>
      <c r="K55" s="36"/>
      <c r="L55" s="45"/>
      <c r="M55" s="36"/>
      <c r="N55" s="36"/>
      <c r="O55" s="36"/>
      <c r="P55" s="36"/>
      <c r="Q55" s="36"/>
      <c r="R55" s="36"/>
      <c r="S55" s="36"/>
      <c r="T55" s="36"/>
    </row>
    <row r="56" spans="1:20" ht="15.75">
      <c r="A56" s="13">
        <v>43191</v>
      </c>
      <c r="B56" s="44">
        <v>30</v>
      </c>
      <c r="C56" s="35">
        <v>141.29300000000001</v>
      </c>
      <c r="D56" s="35">
        <v>267.99299999999999</v>
      </c>
      <c r="E56" s="41">
        <v>829.71400000000006</v>
      </c>
      <c r="F56" s="35">
        <v>1239</v>
      </c>
      <c r="G56" s="35">
        <v>100</v>
      </c>
      <c r="H56" s="43">
        <v>400</v>
      </c>
      <c r="I56" s="35">
        <v>695</v>
      </c>
      <c r="J56" s="35">
        <v>50</v>
      </c>
      <c r="K56" s="36"/>
      <c r="L56" s="45"/>
      <c r="M56" s="36"/>
      <c r="N56" s="36"/>
      <c r="O56" s="36"/>
      <c r="P56" s="36"/>
      <c r="Q56" s="36"/>
      <c r="R56" s="36"/>
      <c r="S56" s="36"/>
      <c r="T56" s="36"/>
    </row>
    <row r="57" spans="1:20" ht="15.75">
      <c r="A57" s="13">
        <v>43221</v>
      </c>
      <c r="B57" s="44">
        <v>31</v>
      </c>
      <c r="C57" s="35">
        <v>194.20500000000001</v>
      </c>
      <c r="D57" s="35">
        <v>267.46600000000001</v>
      </c>
      <c r="E57" s="41">
        <v>812.32899999999995</v>
      </c>
      <c r="F57" s="35">
        <v>1274</v>
      </c>
      <c r="G57" s="35">
        <v>75</v>
      </c>
      <c r="H57" s="43">
        <v>400</v>
      </c>
      <c r="I57" s="35">
        <v>695</v>
      </c>
      <c r="J57" s="35">
        <v>50</v>
      </c>
      <c r="K57" s="36"/>
      <c r="L57" s="45"/>
      <c r="M57" s="36"/>
      <c r="N57" s="36"/>
      <c r="O57" s="36"/>
      <c r="P57" s="36"/>
      <c r="Q57" s="36"/>
      <c r="R57" s="36"/>
      <c r="S57" s="36"/>
      <c r="T57" s="36"/>
    </row>
    <row r="58" spans="1:20" ht="15.75">
      <c r="A58" s="13">
        <v>43252</v>
      </c>
      <c r="B58" s="44">
        <v>30</v>
      </c>
      <c r="C58" s="35">
        <v>194.20500000000001</v>
      </c>
      <c r="D58" s="35">
        <v>267.46600000000001</v>
      </c>
      <c r="E58" s="41">
        <v>812.32899999999995</v>
      </c>
      <c r="F58" s="35">
        <v>1274</v>
      </c>
      <c r="G58" s="35">
        <v>50</v>
      </c>
      <c r="H58" s="43">
        <v>400</v>
      </c>
      <c r="I58" s="35">
        <v>695</v>
      </c>
      <c r="J58" s="35">
        <v>50</v>
      </c>
      <c r="K58" s="36"/>
      <c r="L58" s="45"/>
      <c r="M58" s="36"/>
      <c r="N58" s="36"/>
      <c r="O58" s="36"/>
      <c r="P58" s="36"/>
      <c r="Q58" s="36"/>
      <c r="R58" s="36"/>
      <c r="S58" s="36"/>
      <c r="T58" s="36"/>
    </row>
    <row r="59" spans="1:20" ht="15.75">
      <c r="A59" s="13">
        <v>43282</v>
      </c>
      <c r="B59" s="44">
        <v>31</v>
      </c>
      <c r="C59" s="35">
        <v>194.20500000000001</v>
      </c>
      <c r="D59" s="35">
        <v>267.46600000000001</v>
      </c>
      <c r="E59" s="41">
        <v>812.32899999999995</v>
      </c>
      <c r="F59" s="35">
        <v>1274</v>
      </c>
      <c r="G59" s="35">
        <v>50</v>
      </c>
      <c r="H59" s="43">
        <v>400</v>
      </c>
      <c r="I59" s="35">
        <v>695</v>
      </c>
      <c r="J59" s="35">
        <v>0</v>
      </c>
      <c r="K59" s="36"/>
      <c r="L59" s="45"/>
      <c r="M59" s="36"/>
      <c r="N59" s="36"/>
      <c r="O59" s="36"/>
      <c r="P59" s="36"/>
      <c r="Q59" s="36"/>
      <c r="R59" s="36"/>
      <c r="S59" s="36"/>
      <c r="T59" s="36"/>
    </row>
    <row r="60" spans="1:20" ht="15.75">
      <c r="A60" s="13">
        <v>43313</v>
      </c>
      <c r="B60" s="44">
        <v>31</v>
      </c>
      <c r="C60" s="35">
        <v>194.20500000000001</v>
      </c>
      <c r="D60" s="35">
        <v>267.46600000000001</v>
      </c>
      <c r="E60" s="41">
        <v>812.32899999999995</v>
      </c>
      <c r="F60" s="35">
        <v>1274</v>
      </c>
      <c r="G60" s="35">
        <v>50</v>
      </c>
      <c r="H60" s="43">
        <v>400</v>
      </c>
      <c r="I60" s="35">
        <v>695</v>
      </c>
      <c r="J60" s="35">
        <v>0</v>
      </c>
      <c r="K60" s="36"/>
      <c r="L60" s="45"/>
      <c r="M60" s="36"/>
      <c r="N60" s="36"/>
      <c r="O60" s="36"/>
      <c r="P60" s="36"/>
      <c r="Q60" s="36"/>
      <c r="R60" s="36"/>
      <c r="S60" s="36"/>
      <c r="T60" s="36"/>
    </row>
    <row r="61" spans="1:20" ht="15.75">
      <c r="A61" s="13">
        <v>43344</v>
      </c>
      <c r="B61" s="44">
        <v>30</v>
      </c>
      <c r="C61" s="35">
        <v>194.20500000000001</v>
      </c>
      <c r="D61" s="35">
        <v>267.46600000000001</v>
      </c>
      <c r="E61" s="41">
        <v>812.32899999999995</v>
      </c>
      <c r="F61" s="35">
        <v>1274</v>
      </c>
      <c r="G61" s="35">
        <v>50</v>
      </c>
      <c r="H61" s="43">
        <v>400</v>
      </c>
      <c r="I61" s="35">
        <v>695</v>
      </c>
      <c r="J61" s="35">
        <v>0</v>
      </c>
      <c r="K61" s="36"/>
      <c r="L61" s="45"/>
      <c r="M61" s="36"/>
      <c r="N61" s="36"/>
      <c r="O61" s="36"/>
      <c r="P61" s="36"/>
      <c r="Q61" s="36"/>
      <c r="R61" s="36"/>
      <c r="S61" s="36"/>
      <c r="T61" s="36"/>
    </row>
    <row r="62" spans="1:20" ht="15.75">
      <c r="A62" s="13">
        <v>43374</v>
      </c>
      <c r="B62" s="44">
        <v>31</v>
      </c>
      <c r="C62" s="35">
        <v>131.881</v>
      </c>
      <c r="D62" s="35">
        <v>277.16699999999997</v>
      </c>
      <c r="E62" s="41">
        <v>829.952</v>
      </c>
      <c r="F62" s="35">
        <v>1239</v>
      </c>
      <c r="G62" s="35">
        <v>75</v>
      </c>
      <c r="H62" s="43">
        <v>400</v>
      </c>
      <c r="I62" s="35">
        <v>695</v>
      </c>
      <c r="J62" s="35">
        <v>0</v>
      </c>
      <c r="K62" s="36"/>
      <c r="L62" s="45"/>
      <c r="M62" s="36"/>
      <c r="N62" s="36"/>
      <c r="O62" s="36"/>
      <c r="P62" s="36"/>
      <c r="Q62" s="36"/>
      <c r="R62" s="36"/>
      <c r="S62" s="36"/>
      <c r="T62" s="36"/>
    </row>
    <row r="63" spans="1:20" ht="15.75">
      <c r="A63" s="13">
        <v>43405</v>
      </c>
      <c r="B63" s="44">
        <v>30</v>
      </c>
      <c r="C63" s="35">
        <v>122.58</v>
      </c>
      <c r="D63" s="35">
        <v>297.94099999999997</v>
      </c>
      <c r="E63" s="41">
        <v>729.47900000000004</v>
      </c>
      <c r="F63" s="35">
        <v>1150</v>
      </c>
      <c r="G63" s="35">
        <v>100</v>
      </c>
      <c r="H63" s="43">
        <v>400</v>
      </c>
      <c r="I63" s="35">
        <v>695</v>
      </c>
      <c r="J63" s="35">
        <v>50</v>
      </c>
      <c r="K63" s="36"/>
      <c r="L63" s="45"/>
      <c r="M63" s="36"/>
      <c r="N63" s="36"/>
      <c r="O63" s="36"/>
      <c r="P63" s="36"/>
      <c r="Q63" s="36"/>
      <c r="R63" s="36"/>
      <c r="S63" s="36"/>
      <c r="T63" s="36"/>
    </row>
    <row r="64" spans="1:20" ht="15.75">
      <c r="A64" s="13">
        <v>43435</v>
      </c>
      <c r="B64" s="44">
        <v>31</v>
      </c>
      <c r="C64" s="35">
        <v>122.58</v>
      </c>
      <c r="D64" s="35">
        <v>297.94099999999997</v>
      </c>
      <c r="E64" s="41">
        <v>729.47900000000004</v>
      </c>
      <c r="F64" s="35">
        <v>1150</v>
      </c>
      <c r="G64" s="35">
        <v>100</v>
      </c>
      <c r="H64" s="43">
        <v>400</v>
      </c>
      <c r="I64" s="35">
        <v>695</v>
      </c>
      <c r="J64" s="35">
        <v>50</v>
      </c>
      <c r="K64" s="36"/>
      <c r="L64" s="45"/>
      <c r="M64" s="36"/>
      <c r="N64" s="36"/>
      <c r="O64" s="36"/>
      <c r="P64" s="36"/>
      <c r="Q64" s="36"/>
      <c r="R64" s="36"/>
      <c r="S64" s="36"/>
      <c r="T64" s="36"/>
    </row>
    <row r="65" spans="1:20" ht="15.75">
      <c r="A65" s="13">
        <v>43466</v>
      </c>
      <c r="B65" s="44">
        <v>31</v>
      </c>
      <c r="C65" s="35">
        <v>122.58</v>
      </c>
      <c r="D65" s="35">
        <v>297.94099999999997</v>
      </c>
      <c r="E65" s="41">
        <v>729.47900000000004</v>
      </c>
      <c r="F65" s="35">
        <v>1150</v>
      </c>
      <c r="G65" s="35">
        <v>100</v>
      </c>
      <c r="H65" s="43">
        <v>400</v>
      </c>
      <c r="I65" s="35">
        <v>695</v>
      </c>
      <c r="J65" s="35">
        <v>50</v>
      </c>
      <c r="K65" s="36"/>
      <c r="L65" s="36"/>
      <c r="M65" s="36"/>
      <c r="N65" s="36"/>
      <c r="O65" s="36"/>
      <c r="P65" s="36"/>
      <c r="Q65" s="36"/>
      <c r="R65" s="36"/>
      <c r="S65" s="36"/>
      <c r="T65" s="36"/>
    </row>
    <row r="66" spans="1:20" ht="15.75">
      <c r="A66" s="13">
        <v>43497</v>
      </c>
      <c r="B66" s="44">
        <v>28</v>
      </c>
      <c r="C66" s="35">
        <v>122.58</v>
      </c>
      <c r="D66" s="35">
        <v>297.94099999999997</v>
      </c>
      <c r="E66" s="41">
        <v>729.47900000000004</v>
      </c>
      <c r="F66" s="35">
        <v>1150</v>
      </c>
      <c r="G66" s="35">
        <v>100</v>
      </c>
      <c r="H66" s="43">
        <v>400</v>
      </c>
      <c r="I66" s="35">
        <v>695</v>
      </c>
      <c r="J66" s="35">
        <v>50</v>
      </c>
      <c r="K66" s="36"/>
      <c r="L66" s="36"/>
      <c r="M66" s="36"/>
      <c r="N66" s="36"/>
      <c r="O66" s="36"/>
      <c r="P66" s="36"/>
      <c r="Q66" s="36"/>
      <c r="R66" s="36"/>
      <c r="S66" s="36"/>
      <c r="T66" s="36"/>
    </row>
    <row r="67" spans="1:20" ht="15.75">
      <c r="A67" s="13">
        <v>43525</v>
      </c>
      <c r="B67" s="44">
        <v>31</v>
      </c>
      <c r="C67" s="35">
        <v>122.58</v>
      </c>
      <c r="D67" s="35">
        <v>297.94099999999997</v>
      </c>
      <c r="E67" s="41">
        <v>729.47900000000004</v>
      </c>
      <c r="F67" s="35">
        <v>1150</v>
      </c>
      <c r="G67" s="35">
        <v>100</v>
      </c>
      <c r="H67" s="43">
        <v>400</v>
      </c>
      <c r="I67" s="35">
        <v>695</v>
      </c>
      <c r="J67" s="35">
        <v>50</v>
      </c>
      <c r="K67" s="36"/>
      <c r="L67" s="36"/>
      <c r="M67" s="36"/>
      <c r="N67" s="36"/>
      <c r="O67" s="36"/>
      <c r="P67" s="36"/>
      <c r="Q67" s="36"/>
      <c r="R67" s="36"/>
      <c r="S67" s="36"/>
      <c r="T67" s="36"/>
    </row>
    <row r="68" spans="1:20" ht="15.75">
      <c r="A68" s="13">
        <v>43556</v>
      </c>
      <c r="B68" s="44">
        <v>30</v>
      </c>
      <c r="C68" s="35">
        <v>141.29300000000001</v>
      </c>
      <c r="D68" s="35">
        <v>267.99299999999999</v>
      </c>
      <c r="E68" s="41">
        <v>829.71400000000006</v>
      </c>
      <c r="F68" s="35">
        <v>1239</v>
      </c>
      <c r="G68" s="35">
        <v>100</v>
      </c>
      <c r="H68" s="43">
        <v>400</v>
      </c>
      <c r="I68" s="35">
        <v>695</v>
      </c>
      <c r="J68" s="35">
        <v>50</v>
      </c>
      <c r="K68" s="36"/>
      <c r="L68" s="36"/>
      <c r="M68" s="36"/>
      <c r="N68" s="36"/>
      <c r="O68" s="36"/>
      <c r="P68" s="36"/>
      <c r="Q68" s="36"/>
      <c r="R68" s="36"/>
      <c r="S68" s="36"/>
      <c r="T68" s="36"/>
    </row>
    <row r="69" spans="1:20" ht="15.75">
      <c r="A69" s="13">
        <v>43586</v>
      </c>
      <c r="B69" s="44">
        <v>31</v>
      </c>
      <c r="C69" s="35">
        <v>194.20500000000001</v>
      </c>
      <c r="D69" s="35">
        <v>267.46600000000001</v>
      </c>
      <c r="E69" s="41">
        <v>812.32899999999995</v>
      </c>
      <c r="F69" s="35">
        <v>1274</v>
      </c>
      <c r="G69" s="35">
        <v>75</v>
      </c>
      <c r="H69" s="43">
        <v>400</v>
      </c>
      <c r="I69" s="35">
        <v>695</v>
      </c>
      <c r="J69" s="35">
        <v>50</v>
      </c>
      <c r="K69" s="36"/>
      <c r="L69" s="36"/>
      <c r="M69" s="36"/>
      <c r="N69" s="36"/>
      <c r="O69" s="36"/>
      <c r="P69" s="36"/>
      <c r="Q69" s="36"/>
      <c r="R69" s="36"/>
      <c r="S69" s="36"/>
      <c r="T69" s="36"/>
    </row>
    <row r="70" spans="1:20" ht="15.75">
      <c r="A70" s="13">
        <v>43617</v>
      </c>
      <c r="B70" s="44">
        <v>30</v>
      </c>
      <c r="C70" s="35">
        <v>194.20500000000001</v>
      </c>
      <c r="D70" s="35">
        <v>267.46600000000001</v>
      </c>
      <c r="E70" s="41">
        <v>812.32899999999995</v>
      </c>
      <c r="F70" s="35">
        <v>1274</v>
      </c>
      <c r="G70" s="35">
        <v>50</v>
      </c>
      <c r="H70" s="43">
        <v>400</v>
      </c>
      <c r="I70" s="35">
        <v>695</v>
      </c>
      <c r="J70" s="35">
        <v>50</v>
      </c>
      <c r="K70" s="36"/>
      <c r="L70" s="36"/>
      <c r="M70" s="36"/>
      <c r="N70" s="36"/>
      <c r="O70" s="36"/>
      <c r="P70" s="36"/>
      <c r="Q70" s="36"/>
      <c r="R70" s="36"/>
      <c r="S70" s="36"/>
      <c r="T70" s="36"/>
    </row>
    <row r="71" spans="1:20" ht="15.75">
      <c r="A71" s="13">
        <v>43647</v>
      </c>
      <c r="B71" s="44">
        <v>31</v>
      </c>
      <c r="C71" s="35">
        <v>194.20500000000001</v>
      </c>
      <c r="D71" s="35">
        <v>267.46600000000001</v>
      </c>
      <c r="E71" s="41">
        <v>812.32899999999995</v>
      </c>
      <c r="F71" s="35">
        <v>1274</v>
      </c>
      <c r="G71" s="35">
        <v>50</v>
      </c>
      <c r="H71" s="43">
        <v>400</v>
      </c>
      <c r="I71" s="35">
        <v>695</v>
      </c>
      <c r="J71" s="35">
        <v>0</v>
      </c>
      <c r="K71" s="36"/>
      <c r="L71" s="36"/>
      <c r="M71" s="36"/>
      <c r="N71" s="36"/>
      <c r="O71" s="36"/>
      <c r="P71" s="36"/>
      <c r="Q71" s="36"/>
      <c r="R71" s="36"/>
      <c r="S71" s="36"/>
      <c r="T71" s="36"/>
    </row>
    <row r="72" spans="1:20" ht="15.75">
      <c r="A72" s="13">
        <v>43678</v>
      </c>
      <c r="B72" s="44">
        <v>31</v>
      </c>
      <c r="C72" s="35">
        <v>194.20500000000001</v>
      </c>
      <c r="D72" s="35">
        <v>267.46600000000001</v>
      </c>
      <c r="E72" s="41">
        <v>812.32899999999995</v>
      </c>
      <c r="F72" s="35">
        <v>1274</v>
      </c>
      <c r="G72" s="35">
        <v>50</v>
      </c>
      <c r="H72" s="43">
        <v>400</v>
      </c>
      <c r="I72" s="35">
        <v>695</v>
      </c>
      <c r="J72" s="35">
        <v>0</v>
      </c>
      <c r="K72" s="36"/>
      <c r="L72" s="36"/>
      <c r="M72" s="36"/>
      <c r="N72" s="36"/>
      <c r="O72" s="36"/>
      <c r="P72" s="36"/>
      <c r="Q72" s="36"/>
      <c r="R72" s="36"/>
      <c r="S72" s="36"/>
      <c r="T72" s="36"/>
    </row>
    <row r="73" spans="1:20" ht="15.75">
      <c r="A73" s="13">
        <v>43709</v>
      </c>
      <c r="B73" s="44">
        <v>30</v>
      </c>
      <c r="C73" s="35">
        <v>194.20500000000001</v>
      </c>
      <c r="D73" s="35">
        <v>267.46600000000001</v>
      </c>
      <c r="E73" s="41">
        <v>812.32899999999995</v>
      </c>
      <c r="F73" s="35">
        <v>1274</v>
      </c>
      <c r="G73" s="35">
        <v>50</v>
      </c>
      <c r="H73" s="43">
        <v>400</v>
      </c>
      <c r="I73" s="35">
        <v>695</v>
      </c>
      <c r="J73" s="35">
        <v>0</v>
      </c>
      <c r="K73" s="36"/>
      <c r="L73" s="36"/>
      <c r="M73" s="36"/>
      <c r="N73" s="36"/>
      <c r="O73" s="36"/>
      <c r="P73" s="36"/>
      <c r="Q73" s="36"/>
      <c r="R73" s="36"/>
      <c r="S73" s="36"/>
      <c r="T73" s="36"/>
    </row>
    <row r="74" spans="1:20" ht="15.75">
      <c r="A74" s="13">
        <v>43739</v>
      </c>
      <c r="B74" s="44">
        <v>31</v>
      </c>
      <c r="C74" s="35">
        <v>131.881</v>
      </c>
      <c r="D74" s="35">
        <v>277.16699999999997</v>
      </c>
      <c r="E74" s="41">
        <v>829.952</v>
      </c>
      <c r="F74" s="35">
        <v>1239</v>
      </c>
      <c r="G74" s="35">
        <v>75</v>
      </c>
      <c r="H74" s="43">
        <v>400</v>
      </c>
      <c r="I74" s="35">
        <v>695</v>
      </c>
      <c r="J74" s="35">
        <v>0</v>
      </c>
      <c r="K74" s="36"/>
      <c r="L74" s="36"/>
      <c r="M74" s="36"/>
      <c r="N74" s="36"/>
      <c r="O74" s="36"/>
      <c r="P74" s="36"/>
      <c r="Q74" s="36"/>
      <c r="R74" s="36"/>
      <c r="S74" s="36"/>
      <c r="T74" s="36"/>
    </row>
    <row r="75" spans="1:20" ht="15.75">
      <c r="A75" s="13">
        <v>43770</v>
      </c>
      <c r="B75" s="44">
        <v>30</v>
      </c>
      <c r="C75" s="35">
        <v>122.58</v>
      </c>
      <c r="D75" s="35">
        <v>297.94099999999997</v>
      </c>
      <c r="E75" s="41">
        <v>729.47900000000004</v>
      </c>
      <c r="F75" s="35">
        <v>1150</v>
      </c>
      <c r="G75" s="35">
        <v>100</v>
      </c>
      <c r="H75" s="43">
        <v>400</v>
      </c>
      <c r="I75" s="35">
        <v>695</v>
      </c>
      <c r="J75" s="35">
        <v>50</v>
      </c>
      <c r="K75" s="36"/>
      <c r="L75" s="36"/>
      <c r="M75" s="36"/>
      <c r="N75" s="36"/>
      <c r="O75" s="36"/>
      <c r="P75" s="36"/>
      <c r="Q75" s="36"/>
      <c r="R75" s="36"/>
      <c r="S75" s="36"/>
      <c r="T75" s="36"/>
    </row>
    <row r="76" spans="1:20" ht="15.75">
      <c r="A76" s="13">
        <v>43800</v>
      </c>
      <c r="B76" s="44">
        <v>31</v>
      </c>
      <c r="C76" s="35">
        <v>122.58</v>
      </c>
      <c r="D76" s="35">
        <v>297.94099999999997</v>
      </c>
      <c r="E76" s="41">
        <v>729.47900000000004</v>
      </c>
      <c r="F76" s="35">
        <v>1150</v>
      </c>
      <c r="G76" s="35">
        <v>100</v>
      </c>
      <c r="H76" s="43">
        <v>400</v>
      </c>
      <c r="I76" s="35">
        <v>695</v>
      </c>
      <c r="J76" s="35">
        <v>50</v>
      </c>
      <c r="K76" s="36"/>
      <c r="L76" s="36"/>
      <c r="M76" s="36"/>
      <c r="N76" s="36"/>
      <c r="O76" s="36"/>
      <c r="P76" s="36"/>
      <c r="Q76" s="36"/>
      <c r="R76" s="36"/>
      <c r="S76" s="36"/>
      <c r="T76" s="36"/>
    </row>
    <row r="77" spans="1:20" ht="15.75">
      <c r="A77" s="13">
        <v>43831</v>
      </c>
      <c r="B77" s="44">
        <v>31</v>
      </c>
      <c r="C77" s="35">
        <v>122.58</v>
      </c>
      <c r="D77" s="35">
        <v>297.94099999999997</v>
      </c>
      <c r="E77" s="41">
        <v>729.47900000000004</v>
      </c>
      <c r="F77" s="35">
        <v>1150</v>
      </c>
      <c r="G77" s="35">
        <v>100</v>
      </c>
      <c r="H77" s="43">
        <v>400</v>
      </c>
      <c r="I77" s="35">
        <v>695</v>
      </c>
      <c r="J77" s="35">
        <v>50</v>
      </c>
      <c r="K77" s="36"/>
      <c r="L77" s="36"/>
      <c r="M77" s="36"/>
      <c r="N77" s="36"/>
      <c r="O77" s="36"/>
      <c r="P77" s="36"/>
      <c r="Q77" s="36"/>
      <c r="R77" s="36"/>
      <c r="S77" s="36"/>
      <c r="T77" s="36"/>
    </row>
    <row r="78" spans="1:20" ht="15.75">
      <c r="A78" s="13">
        <v>43862</v>
      </c>
      <c r="B78" s="44">
        <v>29</v>
      </c>
      <c r="C78" s="35">
        <v>122.58</v>
      </c>
      <c r="D78" s="35">
        <v>297.94099999999997</v>
      </c>
      <c r="E78" s="41">
        <v>729.47900000000004</v>
      </c>
      <c r="F78" s="35">
        <v>1150</v>
      </c>
      <c r="G78" s="35">
        <v>100</v>
      </c>
      <c r="H78" s="43">
        <v>400</v>
      </c>
      <c r="I78" s="35">
        <v>695</v>
      </c>
      <c r="J78" s="35">
        <v>50</v>
      </c>
      <c r="K78" s="36"/>
      <c r="L78" s="36"/>
      <c r="M78" s="36"/>
      <c r="N78" s="36"/>
      <c r="O78" s="36"/>
      <c r="P78" s="36"/>
      <c r="Q78" s="36"/>
      <c r="R78" s="36"/>
      <c r="S78" s="36"/>
      <c r="T78" s="36"/>
    </row>
    <row r="79" spans="1:20" ht="15.75">
      <c r="A79" s="13">
        <v>43891</v>
      </c>
      <c r="B79" s="44">
        <v>31</v>
      </c>
      <c r="C79" s="35">
        <v>122.58</v>
      </c>
      <c r="D79" s="35">
        <v>297.94099999999997</v>
      </c>
      <c r="E79" s="41">
        <v>729.47900000000004</v>
      </c>
      <c r="F79" s="35">
        <v>1150</v>
      </c>
      <c r="G79" s="35">
        <v>100</v>
      </c>
      <c r="H79" s="43">
        <v>400</v>
      </c>
      <c r="I79" s="35">
        <v>695</v>
      </c>
      <c r="J79" s="35">
        <v>50</v>
      </c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1:20" ht="15.75">
      <c r="A80" s="13">
        <v>43922</v>
      </c>
      <c r="B80" s="44">
        <v>30</v>
      </c>
      <c r="C80" s="35">
        <v>141.29300000000001</v>
      </c>
      <c r="D80" s="35">
        <v>267.99299999999999</v>
      </c>
      <c r="E80" s="41">
        <v>829.71400000000006</v>
      </c>
      <c r="F80" s="35">
        <v>1239</v>
      </c>
      <c r="G80" s="35">
        <v>100</v>
      </c>
      <c r="H80" s="43">
        <v>400</v>
      </c>
      <c r="I80" s="35">
        <v>695</v>
      </c>
      <c r="J80" s="35">
        <v>50</v>
      </c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1:20" ht="15.75">
      <c r="A81" s="13">
        <v>43952</v>
      </c>
      <c r="B81" s="44">
        <v>31</v>
      </c>
      <c r="C81" s="35">
        <v>194.20500000000001</v>
      </c>
      <c r="D81" s="35">
        <v>267.46600000000001</v>
      </c>
      <c r="E81" s="41">
        <v>812.32899999999995</v>
      </c>
      <c r="F81" s="35">
        <v>1274</v>
      </c>
      <c r="G81" s="35">
        <v>75</v>
      </c>
      <c r="H81" s="43">
        <v>600</v>
      </c>
      <c r="I81" s="35">
        <v>695</v>
      </c>
      <c r="J81" s="35">
        <v>50</v>
      </c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1:20" ht="15.75">
      <c r="A82" s="13">
        <v>43983</v>
      </c>
      <c r="B82" s="44">
        <v>30</v>
      </c>
      <c r="C82" s="35">
        <v>194.20500000000001</v>
      </c>
      <c r="D82" s="35">
        <v>267.46600000000001</v>
      </c>
      <c r="E82" s="41">
        <v>812.32899999999995</v>
      </c>
      <c r="F82" s="35">
        <v>1274</v>
      </c>
      <c r="G82" s="35">
        <v>50</v>
      </c>
      <c r="H82" s="43">
        <v>600</v>
      </c>
      <c r="I82" s="35">
        <v>695</v>
      </c>
      <c r="J82" s="35">
        <v>50</v>
      </c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1:20" ht="15.75">
      <c r="A83" s="13">
        <v>44013</v>
      </c>
      <c r="B83" s="44">
        <v>31</v>
      </c>
      <c r="C83" s="35">
        <v>194.20500000000001</v>
      </c>
      <c r="D83" s="35">
        <v>267.46600000000001</v>
      </c>
      <c r="E83" s="41">
        <v>812.32899999999995</v>
      </c>
      <c r="F83" s="35">
        <v>1274</v>
      </c>
      <c r="G83" s="35">
        <v>50</v>
      </c>
      <c r="H83" s="43">
        <v>600</v>
      </c>
      <c r="I83" s="35">
        <v>695</v>
      </c>
      <c r="J83" s="35">
        <v>0</v>
      </c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1:20" ht="15.75">
      <c r="A84" s="13">
        <v>44044</v>
      </c>
      <c r="B84" s="44">
        <v>31</v>
      </c>
      <c r="C84" s="35">
        <v>194.20500000000001</v>
      </c>
      <c r="D84" s="35">
        <v>267.46600000000001</v>
      </c>
      <c r="E84" s="41">
        <v>812.32899999999995</v>
      </c>
      <c r="F84" s="35">
        <v>1274</v>
      </c>
      <c r="G84" s="35">
        <v>50</v>
      </c>
      <c r="H84" s="43">
        <v>600</v>
      </c>
      <c r="I84" s="35">
        <v>695</v>
      </c>
      <c r="J84" s="35">
        <v>0</v>
      </c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1:20" ht="15.75">
      <c r="A85" s="13">
        <v>44075</v>
      </c>
      <c r="B85" s="44">
        <v>30</v>
      </c>
      <c r="C85" s="35">
        <v>194.20500000000001</v>
      </c>
      <c r="D85" s="35">
        <v>267.46600000000001</v>
      </c>
      <c r="E85" s="41">
        <v>812.32899999999995</v>
      </c>
      <c r="F85" s="35">
        <v>1274</v>
      </c>
      <c r="G85" s="35">
        <v>50</v>
      </c>
      <c r="H85" s="43">
        <v>600</v>
      </c>
      <c r="I85" s="35">
        <v>695</v>
      </c>
      <c r="J85" s="35">
        <v>0</v>
      </c>
      <c r="K85" s="36"/>
      <c r="L85" s="36"/>
      <c r="M85" s="36"/>
      <c r="N85" s="36"/>
      <c r="O85" s="36"/>
      <c r="P85" s="36"/>
      <c r="Q85" s="36"/>
      <c r="R85" s="36"/>
      <c r="S85" s="36"/>
      <c r="T85" s="36"/>
    </row>
    <row r="86" spans="1:20" ht="15.75">
      <c r="A86" s="13">
        <v>44105</v>
      </c>
      <c r="B86" s="44">
        <v>31</v>
      </c>
      <c r="C86" s="35">
        <v>131.881</v>
      </c>
      <c r="D86" s="35">
        <v>277.16699999999997</v>
      </c>
      <c r="E86" s="41">
        <v>829.952</v>
      </c>
      <c r="F86" s="35">
        <v>1239</v>
      </c>
      <c r="G86" s="35">
        <v>75</v>
      </c>
      <c r="H86" s="43">
        <v>600</v>
      </c>
      <c r="I86" s="35">
        <v>695</v>
      </c>
      <c r="J86" s="35">
        <v>0</v>
      </c>
      <c r="K86" s="36"/>
      <c r="L86" s="36"/>
      <c r="M86" s="36"/>
      <c r="N86" s="36"/>
      <c r="O86" s="36"/>
      <c r="P86" s="36"/>
      <c r="Q86" s="36"/>
      <c r="R86" s="36"/>
      <c r="S86" s="36"/>
      <c r="T86" s="36"/>
    </row>
    <row r="87" spans="1:20" ht="15.75">
      <c r="A87" s="13">
        <v>44136</v>
      </c>
      <c r="B87" s="44">
        <v>30</v>
      </c>
      <c r="C87" s="35">
        <v>122.58</v>
      </c>
      <c r="D87" s="35">
        <v>297.94099999999997</v>
      </c>
      <c r="E87" s="41">
        <v>729.47900000000004</v>
      </c>
      <c r="F87" s="35">
        <v>1150</v>
      </c>
      <c r="G87" s="35">
        <v>100</v>
      </c>
      <c r="H87" s="43">
        <v>600</v>
      </c>
      <c r="I87" s="35">
        <v>695</v>
      </c>
      <c r="J87" s="35">
        <v>50</v>
      </c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1:20" ht="15.75">
      <c r="A88" s="13">
        <v>44166</v>
      </c>
      <c r="B88" s="44">
        <v>31</v>
      </c>
      <c r="C88" s="35">
        <v>122.58</v>
      </c>
      <c r="D88" s="35">
        <v>297.94099999999997</v>
      </c>
      <c r="E88" s="41">
        <v>729.47900000000004</v>
      </c>
      <c r="F88" s="35">
        <v>1150</v>
      </c>
      <c r="G88" s="35">
        <v>100</v>
      </c>
      <c r="H88" s="43">
        <v>600</v>
      </c>
      <c r="I88" s="35">
        <v>695</v>
      </c>
      <c r="J88" s="35">
        <v>50</v>
      </c>
      <c r="K88" s="36"/>
      <c r="L88" s="36"/>
      <c r="M88" s="36"/>
      <c r="N88" s="36"/>
      <c r="O88" s="36"/>
      <c r="P88" s="36"/>
      <c r="Q88" s="36"/>
      <c r="R88" s="36"/>
      <c r="S88" s="36"/>
      <c r="T88" s="36"/>
    </row>
    <row r="89" spans="1:20" ht="15.75">
      <c r="A89" s="13">
        <v>44197</v>
      </c>
      <c r="B89" s="44">
        <v>31</v>
      </c>
      <c r="C89" s="35">
        <v>122.58</v>
      </c>
      <c r="D89" s="35">
        <v>297.94099999999997</v>
      </c>
      <c r="E89" s="41">
        <v>729.47900000000004</v>
      </c>
      <c r="F89" s="35">
        <v>1150</v>
      </c>
      <c r="G89" s="35">
        <v>100</v>
      </c>
      <c r="H89" s="43">
        <v>600</v>
      </c>
      <c r="I89" s="35">
        <v>695</v>
      </c>
      <c r="J89" s="35">
        <v>50</v>
      </c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1:20" ht="15.75">
      <c r="A90" s="13">
        <v>44228</v>
      </c>
      <c r="B90" s="44">
        <v>28</v>
      </c>
      <c r="C90" s="35">
        <v>122.58</v>
      </c>
      <c r="D90" s="35">
        <v>297.94099999999997</v>
      </c>
      <c r="E90" s="41">
        <v>729.47900000000004</v>
      </c>
      <c r="F90" s="35">
        <v>1150</v>
      </c>
      <c r="G90" s="35">
        <v>100</v>
      </c>
      <c r="H90" s="43">
        <v>600</v>
      </c>
      <c r="I90" s="35">
        <v>695</v>
      </c>
      <c r="J90" s="35">
        <v>50</v>
      </c>
      <c r="K90" s="36"/>
      <c r="L90" s="36"/>
      <c r="M90" s="36"/>
      <c r="N90" s="36"/>
      <c r="O90" s="36"/>
      <c r="P90" s="36"/>
      <c r="Q90" s="36"/>
      <c r="R90" s="36"/>
      <c r="S90" s="36"/>
      <c r="T90" s="36"/>
    </row>
    <row r="91" spans="1:20" ht="15.75">
      <c r="A91" s="13">
        <v>44256</v>
      </c>
      <c r="B91" s="44">
        <v>31</v>
      </c>
      <c r="C91" s="35">
        <v>122.58</v>
      </c>
      <c r="D91" s="35">
        <v>297.94099999999997</v>
      </c>
      <c r="E91" s="41">
        <v>729.47900000000004</v>
      </c>
      <c r="F91" s="35">
        <v>1150</v>
      </c>
      <c r="G91" s="35">
        <v>100</v>
      </c>
      <c r="H91" s="43">
        <v>600</v>
      </c>
      <c r="I91" s="35">
        <v>695</v>
      </c>
      <c r="J91" s="35">
        <v>50</v>
      </c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1:20" ht="15.75">
      <c r="A92" s="13">
        <v>44287</v>
      </c>
      <c r="B92" s="44">
        <v>30</v>
      </c>
      <c r="C92" s="35">
        <v>141.29300000000001</v>
      </c>
      <c r="D92" s="35">
        <v>267.99299999999999</v>
      </c>
      <c r="E92" s="41">
        <v>829.71400000000006</v>
      </c>
      <c r="F92" s="35">
        <v>1239</v>
      </c>
      <c r="G92" s="35">
        <v>100</v>
      </c>
      <c r="H92" s="43">
        <v>600</v>
      </c>
      <c r="I92" s="35">
        <v>695</v>
      </c>
      <c r="J92" s="35">
        <v>50</v>
      </c>
      <c r="K92" s="36"/>
      <c r="L92" s="36"/>
      <c r="M92" s="36"/>
      <c r="N92" s="36"/>
      <c r="O92" s="36"/>
      <c r="P92" s="36"/>
      <c r="Q92" s="36"/>
      <c r="R92" s="36"/>
      <c r="S92" s="36"/>
      <c r="T92" s="36"/>
    </row>
    <row r="93" spans="1:20" ht="15.75">
      <c r="A93" s="13">
        <v>44317</v>
      </c>
      <c r="B93" s="44">
        <v>31</v>
      </c>
      <c r="C93" s="35">
        <v>194.20500000000001</v>
      </c>
      <c r="D93" s="35">
        <v>267.46600000000001</v>
      </c>
      <c r="E93" s="41">
        <v>812.32899999999995</v>
      </c>
      <c r="F93" s="35">
        <v>1274</v>
      </c>
      <c r="G93" s="35">
        <v>75</v>
      </c>
      <c r="H93" s="43">
        <v>600</v>
      </c>
      <c r="I93" s="35">
        <v>695</v>
      </c>
      <c r="J93" s="35">
        <v>50</v>
      </c>
      <c r="K93" s="36"/>
      <c r="L93" s="36"/>
      <c r="M93" s="36"/>
      <c r="N93" s="36"/>
      <c r="O93" s="36"/>
      <c r="P93" s="36"/>
      <c r="Q93" s="36"/>
      <c r="R93" s="36"/>
      <c r="S93" s="36"/>
      <c r="T93" s="36"/>
    </row>
    <row r="94" spans="1:20" ht="15.75">
      <c r="A94" s="13">
        <v>44348</v>
      </c>
      <c r="B94" s="44">
        <v>30</v>
      </c>
      <c r="C94" s="35">
        <v>194.20500000000001</v>
      </c>
      <c r="D94" s="35">
        <v>267.46600000000001</v>
      </c>
      <c r="E94" s="41">
        <v>812.32899999999995</v>
      </c>
      <c r="F94" s="35">
        <v>1274</v>
      </c>
      <c r="G94" s="35">
        <v>50</v>
      </c>
      <c r="H94" s="43">
        <v>600</v>
      </c>
      <c r="I94" s="35">
        <v>695</v>
      </c>
      <c r="J94" s="35">
        <v>50</v>
      </c>
      <c r="K94" s="36"/>
      <c r="L94" s="36"/>
      <c r="M94" s="36"/>
      <c r="N94" s="36"/>
      <c r="O94" s="36"/>
      <c r="P94" s="36"/>
      <c r="Q94" s="36"/>
      <c r="R94" s="36"/>
      <c r="S94" s="36"/>
      <c r="T94" s="36"/>
    </row>
    <row r="95" spans="1:20" ht="15.75">
      <c r="A95" s="13">
        <v>44378</v>
      </c>
      <c r="B95" s="44">
        <v>31</v>
      </c>
      <c r="C95" s="35">
        <v>194.20500000000001</v>
      </c>
      <c r="D95" s="35">
        <v>267.46600000000001</v>
      </c>
      <c r="E95" s="41">
        <v>812.32899999999995</v>
      </c>
      <c r="F95" s="35">
        <v>1274</v>
      </c>
      <c r="G95" s="35">
        <v>50</v>
      </c>
      <c r="H95" s="43">
        <v>600</v>
      </c>
      <c r="I95" s="35">
        <v>695</v>
      </c>
      <c r="J95" s="35">
        <v>0</v>
      </c>
      <c r="K95" s="36"/>
      <c r="L95" s="36"/>
      <c r="M95" s="36"/>
      <c r="N95" s="36"/>
      <c r="O95" s="36"/>
      <c r="P95" s="36"/>
      <c r="Q95" s="36"/>
      <c r="R95" s="36"/>
      <c r="S95" s="36"/>
      <c r="T95" s="36"/>
    </row>
    <row r="96" spans="1:20" ht="15.75">
      <c r="A96" s="13">
        <v>44409</v>
      </c>
      <c r="B96" s="44">
        <v>31</v>
      </c>
      <c r="C96" s="35">
        <v>194.20500000000001</v>
      </c>
      <c r="D96" s="35">
        <v>267.46600000000001</v>
      </c>
      <c r="E96" s="41">
        <v>812.32899999999995</v>
      </c>
      <c r="F96" s="35">
        <v>1274</v>
      </c>
      <c r="G96" s="35">
        <v>50</v>
      </c>
      <c r="H96" s="43">
        <v>600</v>
      </c>
      <c r="I96" s="35">
        <v>695</v>
      </c>
      <c r="J96" s="35">
        <v>0</v>
      </c>
      <c r="K96" s="36"/>
      <c r="L96" s="36"/>
      <c r="M96" s="36"/>
      <c r="N96" s="36"/>
      <c r="O96" s="36"/>
      <c r="P96" s="36"/>
      <c r="Q96" s="36"/>
      <c r="R96" s="36"/>
      <c r="S96" s="36"/>
      <c r="T96" s="36"/>
    </row>
    <row r="97" spans="1:20" ht="15.75">
      <c r="A97" s="13">
        <v>44440</v>
      </c>
      <c r="B97" s="44">
        <v>30</v>
      </c>
      <c r="C97" s="35">
        <v>194.20500000000001</v>
      </c>
      <c r="D97" s="35">
        <v>267.46600000000001</v>
      </c>
      <c r="E97" s="41">
        <v>812.32899999999995</v>
      </c>
      <c r="F97" s="35">
        <v>1274</v>
      </c>
      <c r="G97" s="35">
        <v>50</v>
      </c>
      <c r="H97" s="43">
        <v>600</v>
      </c>
      <c r="I97" s="35">
        <v>695</v>
      </c>
      <c r="J97" s="35">
        <v>0</v>
      </c>
      <c r="K97" s="36"/>
      <c r="L97" s="36"/>
      <c r="M97" s="36"/>
      <c r="N97" s="36"/>
      <c r="O97" s="36"/>
      <c r="P97" s="36"/>
      <c r="Q97" s="36"/>
      <c r="R97" s="36"/>
      <c r="S97" s="36"/>
      <c r="T97" s="36"/>
    </row>
    <row r="98" spans="1:20" ht="15.75">
      <c r="A98" s="13">
        <v>44470</v>
      </c>
      <c r="B98" s="44">
        <v>31</v>
      </c>
      <c r="C98" s="35">
        <v>131.881</v>
      </c>
      <c r="D98" s="35">
        <v>277.16699999999997</v>
      </c>
      <c r="E98" s="41">
        <v>829.952</v>
      </c>
      <c r="F98" s="35">
        <v>1239</v>
      </c>
      <c r="G98" s="35">
        <v>75</v>
      </c>
      <c r="H98" s="43">
        <v>600</v>
      </c>
      <c r="I98" s="35">
        <v>695</v>
      </c>
      <c r="J98" s="35">
        <v>0</v>
      </c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1:20" ht="15.75">
      <c r="A99" s="13">
        <v>44501</v>
      </c>
      <c r="B99" s="44">
        <v>30</v>
      </c>
      <c r="C99" s="35">
        <v>122.58</v>
      </c>
      <c r="D99" s="35">
        <v>297.94099999999997</v>
      </c>
      <c r="E99" s="41">
        <v>729.47900000000004</v>
      </c>
      <c r="F99" s="35">
        <v>1150</v>
      </c>
      <c r="G99" s="35">
        <v>100</v>
      </c>
      <c r="H99" s="43">
        <v>600</v>
      </c>
      <c r="I99" s="35">
        <v>695</v>
      </c>
      <c r="J99" s="35">
        <v>50</v>
      </c>
      <c r="K99" s="36"/>
      <c r="L99" s="36"/>
      <c r="M99" s="36"/>
      <c r="N99" s="36"/>
      <c r="O99" s="36"/>
      <c r="P99" s="36"/>
      <c r="Q99" s="36"/>
      <c r="R99" s="36"/>
      <c r="S99" s="36"/>
      <c r="T99" s="36"/>
    </row>
    <row r="100" spans="1:20" ht="15.75">
      <c r="A100" s="13">
        <v>44531</v>
      </c>
      <c r="B100" s="44">
        <v>31</v>
      </c>
      <c r="C100" s="35">
        <v>122.58</v>
      </c>
      <c r="D100" s="35">
        <v>297.94099999999997</v>
      </c>
      <c r="E100" s="41">
        <v>729.47900000000004</v>
      </c>
      <c r="F100" s="35">
        <v>1150</v>
      </c>
      <c r="G100" s="35">
        <v>100</v>
      </c>
      <c r="H100" s="43">
        <v>600</v>
      </c>
      <c r="I100" s="35">
        <v>695</v>
      </c>
      <c r="J100" s="35">
        <v>50</v>
      </c>
      <c r="K100" s="36"/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1:20" ht="15.75">
      <c r="A101" s="13">
        <v>44562</v>
      </c>
      <c r="B101" s="44">
        <v>31</v>
      </c>
      <c r="C101" s="35">
        <v>122.58</v>
      </c>
      <c r="D101" s="35">
        <v>297.94099999999997</v>
      </c>
      <c r="E101" s="41">
        <v>729.47900000000004</v>
      </c>
      <c r="F101" s="35">
        <v>1150</v>
      </c>
      <c r="G101" s="35">
        <v>100</v>
      </c>
      <c r="H101" s="43">
        <v>600</v>
      </c>
      <c r="I101" s="35">
        <v>695</v>
      </c>
      <c r="J101" s="35">
        <v>50</v>
      </c>
      <c r="K101" s="36"/>
      <c r="L101" s="36"/>
      <c r="M101" s="36"/>
      <c r="N101" s="36"/>
      <c r="O101" s="36"/>
      <c r="P101" s="36"/>
      <c r="Q101" s="36"/>
      <c r="R101" s="36"/>
      <c r="S101" s="36"/>
      <c r="T101" s="36"/>
    </row>
    <row r="102" spans="1:20" ht="15.75">
      <c r="A102" s="13">
        <v>44593</v>
      </c>
      <c r="B102" s="44">
        <v>28</v>
      </c>
      <c r="C102" s="35">
        <v>122.58</v>
      </c>
      <c r="D102" s="35">
        <v>297.94099999999997</v>
      </c>
      <c r="E102" s="41">
        <v>729.47900000000004</v>
      </c>
      <c r="F102" s="35">
        <v>1150</v>
      </c>
      <c r="G102" s="35">
        <v>100</v>
      </c>
      <c r="H102" s="43">
        <v>600</v>
      </c>
      <c r="I102" s="35">
        <v>695</v>
      </c>
      <c r="J102" s="35">
        <v>50</v>
      </c>
      <c r="K102" s="36"/>
      <c r="L102" s="36"/>
      <c r="M102" s="36"/>
      <c r="N102" s="36"/>
      <c r="O102" s="36"/>
      <c r="P102" s="36"/>
      <c r="Q102" s="36"/>
      <c r="R102" s="36"/>
      <c r="S102" s="36"/>
      <c r="T102" s="36"/>
    </row>
    <row r="103" spans="1:20" ht="15.75">
      <c r="A103" s="13">
        <v>44621</v>
      </c>
      <c r="B103" s="44">
        <v>31</v>
      </c>
      <c r="C103" s="35">
        <v>122.58</v>
      </c>
      <c r="D103" s="35">
        <v>297.94099999999997</v>
      </c>
      <c r="E103" s="41">
        <v>729.47900000000004</v>
      </c>
      <c r="F103" s="35">
        <v>1150</v>
      </c>
      <c r="G103" s="35">
        <v>100</v>
      </c>
      <c r="H103" s="43">
        <v>600</v>
      </c>
      <c r="I103" s="35">
        <v>695</v>
      </c>
      <c r="J103" s="35">
        <v>50</v>
      </c>
      <c r="K103" s="36"/>
      <c r="L103" s="36"/>
      <c r="M103" s="36"/>
      <c r="N103" s="36"/>
      <c r="O103" s="36"/>
      <c r="P103" s="36"/>
      <c r="Q103" s="36"/>
      <c r="R103" s="36"/>
      <c r="S103" s="36"/>
      <c r="T103" s="36"/>
    </row>
    <row r="104" spans="1:20" ht="15.75">
      <c r="A104" s="13">
        <v>44652</v>
      </c>
      <c r="B104" s="44">
        <v>30</v>
      </c>
      <c r="C104" s="35">
        <v>141.29300000000001</v>
      </c>
      <c r="D104" s="35">
        <v>267.99299999999999</v>
      </c>
      <c r="E104" s="41">
        <v>829.71400000000006</v>
      </c>
      <c r="F104" s="35">
        <v>1239</v>
      </c>
      <c r="G104" s="35">
        <v>100</v>
      </c>
      <c r="H104" s="43">
        <v>600</v>
      </c>
      <c r="I104" s="35">
        <v>695</v>
      </c>
      <c r="J104" s="35">
        <v>50</v>
      </c>
      <c r="K104" s="36"/>
      <c r="L104" s="36"/>
      <c r="M104" s="36"/>
      <c r="N104" s="36"/>
      <c r="O104" s="36"/>
      <c r="P104" s="36"/>
      <c r="Q104" s="36"/>
      <c r="R104" s="36"/>
      <c r="S104" s="36"/>
      <c r="T104" s="36"/>
    </row>
    <row r="105" spans="1:20" ht="15.75">
      <c r="A105" s="13">
        <v>44682</v>
      </c>
      <c r="B105" s="44">
        <v>31</v>
      </c>
      <c r="C105" s="35">
        <v>194.20500000000001</v>
      </c>
      <c r="D105" s="35">
        <v>267.46600000000001</v>
      </c>
      <c r="E105" s="41">
        <v>812.32899999999995</v>
      </c>
      <c r="F105" s="35">
        <v>1274</v>
      </c>
      <c r="G105" s="35">
        <v>75</v>
      </c>
      <c r="H105" s="43">
        <v>600</v>
      </c>
      <c r="I105" s="35">
        <v>695</v>
      </c>
      <c r="J105" s="35">
        <v>50</v>
      </c>
      <c r="K105" s="36"/>
      <c r="L105" s="36"/>
      <c r="M105" s="36"/>
      <c r="N105" s="36"/>
      <c r="O105" s="36"/>
      <c r="P105" s="36"/>
      <c r="Q105" s="36"/>
      <c r="R105" s="36"/>
      <c r="S105" s="36"/>
      <c r="T105" s="36"/>
    </row>
    <row r="106" spans="1:20" ht="15.75">
      <c r="A106" s="13">
        <v>44713</v>
      </c>
      <c r="B106" s="44">
        <v>30</v>
      </c>
      <c r="C106" s="35">
        <v>194.20500000000001</v>
      </c>
      <c r="D106" s="35">
        <v>267.46600000000001</v>
      </c>
      <c r="E106" s="41">
        <v>812.32899999999995</v>
      </c>
      <c r="F106" s="35">
        <v>1274</v>
      </c>
      <c r="G106" s="35">
        <v>50</v>
      </c>
      <c r="H106" s="43">
        <v>600</v>
      </c>
      <c r="I106" s="35">
        <v>695</v>
      </c>
      <c r="J106" s="35">
        <v>50</v>
      </c>
      <c r="K106" s="36"/>
      <c r="L106" s="36"/>
      <c r="M106" s="36"/>
      <c r="N106" s="36"/>
      <c r="O106" s="36"/>
      <c r="P106" s="36"/>
      <c r="Q106" s="36"/>
      <c r="R106" s="36"/>
      <c r="S106" s="36"/>
      <c r="T106" s="36"/>
    </row>
    <row r="107" spans="1:20" ht="15.75">
      <c r="A107" s="13">
        <v>44743</v>
      </c>
      <c r="B107" s="44">
        <v>31</v>
      </c>
      <c r="C107" s="35">
        <v>194.20500000000001</v>
      </c>
      <c r="D107" s="35">
        <v>267.46600000000001</v>
      </c>
      <c r="E107" s="41">
        <v>812.32899999999995</v>
      </c>
      <c r="F107" s="35">
        <v>1274</v>
      </c>
      <c r="G107" s="35">
        <v>50</v>
      </c>
      <c r="H107" s="43">
        <v>600</v>
      </c>
      <c r="I107" s="35">
        <v>695</v>
      </c>
      <c r="J107" s="35">
        <v>0</v>
      </c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1:20" ht="15.75">
      <c r="A108" s="13">
        <v>44774</v>
      </c>
      <c r="B108" s="44">
        <v>31</v>
      </c>
      <c r="C108" s="35">
        <v>194.20500000000001</v>
      </c>
      <c r="D108" s="35">
        <v>267.46600000000001</v>
      </c>
      <c r="E108" s="41">
        <v>812.32899999999995</v>
      </c>
      <c r="F108" s="35">
        <v>1274</v>
      </c>
      <c r="G108" s="35">
        <v>50</v>
      </c>
      <c r="H108" s="43">
        <v>600</v>
      </c>
      <c r="I108" s="35">
        <v>695</v>
      </c>
      <c r="J108" s="35">
        <v>0</v>
      </c>
      <c r="K108" s="36"/>
      <c r="L108" s="36"/>
      <c r="M108" s="36"/>
      <c r="N108" s="36"/>
      <c r="O108" s="36"/>
      <c r="P108" s="36"/>
      <c r="Q108" s="36"/>
      <c r="R108" s="36"/>
      <c r="S108" s="36"/>
      <c r="T108" s="36"/>
    </row>
    <row r="109" spans="1:20" ht="15.75">
      <c r="A109" s="13">
        <v>44805</v>
      </c>
      <c r="B109" s="44">
        <v>30</v>
      </c>
      <c r="C109" s="35">
        <v>194.20500000000001</v>
      </c>
      <c r="D109" s="35">
        <v>267.46600000000001</v>
      </c>
      <c r="E109" s="41">
        <v>812.32899999999995</v>
      </c>
      <c r="F109" s="35">
        <v>1274</v>
      </c>
      <c r="G109" s="35">
        <v>50</v>
      </c>
      <c r="H109" s="43">
        <v>600</v>
      </c>
      <c r="I109" s="35">
        <v>695</v>
      </c>
      <c r="J109" s="35">
        <v>0</v>
      </c>
      <c r="K109" s="36"/>
      <c r="L109" s="36"/>
      <c r="M109" s="36"/>
      <c r="N109" s="36"/>
      <c r="O109" s="36"/>
      <c r="P109" s="36"/>
      <c r="Q109" s="36"/>
      <c r="R109" s="36"/>
      <c r="S109" s="36"/>
      <c r="T109" s="36"/>
    </row>
    <row r="110" spans="1:20" ht="15.75">
      <c r="A110" s="13">
        <v>44835</v>
      </c>
      <c r="B110" s="44">
        <v>31</v>
      </c>
      <c r="C110" s="35">
        <v>131.881</v>
      </c>
      <c r="D110" s="35">
        <v>277.16699999999997</v>
      </c>
      <c r="E110" s="41">
        <v>829.952</v>
      </c>
      <c r="F110" s="35">
        <v>1239</v>
      </c>
      <c r="G110" s="35">
        <v>75</v>
      </c>
      <c r="H110" s="43">
        <v>600</v>
      </c>
      <c r="I110" s="35">
        <v>695</v>
      </c>
      <c r="J110" s="35">
        <v>0</v>
      </c>
      <c r="K110" s="36"/>
      <c r="L110" s="36"/>
      <c r="M110" s="36"/>
      <c r="N110" s="36"/>
      <c r="O110" s="36"/>
      <c r="P110" s="36"/>
      <c r="Q110" s="36"/>
      <c r="R110" s="36"/>
      <c r="S110" s="36"/>
      <c r="T110" s="36"/>
    </row>
    <row r="111" spans="1:20" ht="15.75">
      <c r="A111" s="13">
        <v>44866</v>
      </c>
      <c r="B111" s="44">
        <v>30</v>
      </c>
      <c r="C111" s="35">
        <v>122.58</v>
      </c>
      <c r="D111" s="35">
        <v>297.94099999999997</v>
      </c>
      <c r="E111" s="41">
        <v>729.47900000000004</v>
      </c>
      <c r="F111" s="35">
        <v>1150</v>
      </c>
      <c r="G111" s="35">
        <v>100</v>
      </c>
      <c r="H111" s="43">
        <v>600</v>
      </c>
      <c r="I111" s="35">
        <v>695</v>
      </c>
      <c r="J111" s="35">
        <v>50</v>
      </c>
      <c r="K111" s="36"/>
      <c r="L111" s="36"/>
      <c r="M111" s="36"/>
      <c r="N111" s="36"/>
      <c r="O111" s="36"/>
      <c r="P111" s="36"/>
      <c r="Q111" s="36"/>
      <c r="R111" s="36"/>
      <c r="S111" s="36"/>
      <c r="T111" s="36"/>
    </row>
    <row r="112" spans="1:20" ht="15.75">
      <c r="A112" s="13">
        <v>44896</v>
      </c>
      <c r="B112" s="44">
        <v>31</v>
      </c>
      <c r="C112" s="35">
        <v>122.58</v>
      </c>
      <c r="D112" s="35">
        <v>297.94099999999997</v>
      </c>
      <c r="E112" s="41">
        <v>729.47900000000004</v>
      </c>
      <c r="F112" s="35">
        <v>1150</v>
      </c>
      <c r="G112" s="35">
        <v>100</v>
      </c>
      <c r="H112" s="43">
        <v>600</v>
      </c>
      <c r="I112" s="35">
        <v>695</v>
      </c>
      <c r="J112" s="35">
        <v>50</v>
      </c>
      <c r="K112" s="36"/>
      <c r="L112" s="36"/>
      <c r="M112" s="36"/>
      <c r="N112" s="36"/>
      <c r="O112" s="36"/>
      <c r="P112" s="36"/>
      <c r="Q112" s="36"/>
      <c r="R112" s="36"/>
      <c r="S112" s="36"/>
      <c r="T112" s="36"/>
    </row>
    <row r="113" spans="1:20" ht="15.75">
      <c r="A113" s="13">
        <v>44927</v>
      </c>
      <c r="B113" s="44">
        <v>31</v>
      </c>
      <c r="C113" s="35">
        <v>122.58</v>
      </c>
      <c r="D113" s="35">
        <v>297.94099999999997</v>
      </c>
      <c r="E113" s="41">
        <v>729.47900000000004</v>
      </c>
      <c r="F113" s="35">
        <v>1150</v>
      </c>
      <c r="G113" s="35">
        <v>100</v>
      </c>
      <c r="H113" s="43">
        <v>600</v>
      </c>
      <c r="I113" s="35">
        <v>695</v>
      </c>
      <c r="J113" s="35">
        <v>50</v>
      </c>
      <c r="K113" s="36"/>
      <c r="L113" s="36"/>
      <c r="M113" s="36"/>
      <c r="N113" s="36"/>
      <c r="O113" s="36"/>
      <c r="P113" s="36"/>
      <c r="Q113" s="36"/>
      <c r="R113" s="36"/>
      <c r="S113" s="36"/>
      <c r="T113" s="36"/>
    </row>
    <row r="114" spans="1:20" ht="15.75">
      <c r="A114" s="13">
        <v>44958</v>
      </c>
      <c r="B114" s="44">
        <v>28</v>
      </c>
      <c r="C114" s="35">
        <v>122.58</v>
      </c>
      <c r="D114" s="35">
        <v>297.94099999999997</v>
      </c>
      <c r="E114" s="41">
        <v>729.47900000000004</v>
      </c>
      <c r="F114" s="35">
        <v>1150</v>
      </c>
      <c r="G114" s="35">
        <v>100</v>
      </c>
      <c r="H114" s="43">
        <v>600</v>
      </c>
      <c r="I114" s="35">
        <v>695</v>
      </c>
      <c r="J114" s="35">
        <v>50</v>
      </c>
      <c r="K114" s="36"/>
      <c r="L114" s="36"/>
      <c r="M114" s="36"/>
      <c r="N114" s="36"/>
      <c r="O114" s="36"/>
      <c r="P114" s="36"/>
      <c r="Q114" s="36"/>
      <c r="R114" s="36"/>
      <c r="S114" s="36"/>
      <c r="T114" s="36"/>
    </row>
    <row r="115" spans="1:20" ht="15.75">
      <c r="A115" s="13">
        <v>44986</v>
      </c>
      <c r="B115" s="44">
        <v>31</v>
      </c>
      <c r="C115" s="35">
        <v>122.58</v>
      </c>
      <c r="D115" s="35">
        <v>297.94099999999997</v>
      </c>
      <c r="E115" s="41">
        <v>729.47900000000004</v>
      </c>
      <c r="F115" s="35">
        <v>1150</v>
      </c>
      <c r="G115" s="35">
        <v>100</v>
      </c>
      <c r="H115" s="43">
        <v>600</v>
      </c>
      <c r="I115" s="35">
        <v>695</v>
      </c>
      <c r="J115" s="35">
        <v>50</v>
      </c>
      <c r="K115" s="36"/>
      <c r="L115" s="36"/>
      <c r="M115" s="36"/>
      <c r="N115" s="36"/>
      <c r="O115" s="36"/>
      <c r="P115" s="36"/>
      <c r="Q115" s="36"/>
      <c r="R115" s="36"/>
      <c r="S115" s="36"/>
      <c r="T115" s="36"/>
    </row>
    <row r="116" spans="1:20" ht="15.75">
      <c r="A116" s="13">
        <v>45017</v>
      </c>
      <c r="B116" s="44">
        <v>30</v>
      </c>
      <c r="C116" s="35">
        <v>141.29300000000001</v>
      </c>
      <c r="D116" s="35">
        <v>267.99299999999999</v>
      </c>
      <c r="E116" s="41">
        <v>829.71400000000006</v>
      </c>
      <c r="F116" s="35">
        <v>1239</v>
      </c>
      <c r="G116" s="35">
        <v>100</v>
      </c>
      <c r="H116" s="43">
        <v>600</v>
      </c>
      <c r="I116" s="35">
        <v>695</v>
      </c>
      <c r="J116" s="35">
        <v>50</v>
      </c>
      <c r="K116" s="36"/>
      <c r="L116" s="36"/>
      <c r="M116" s="36"/>
      <c r="N116" s="36"/>
      <c r="O116" s="36"/>
      <c r="P116" s="36"/>
      <c r="Q116" s="36"/>
      <c r="R116" s="36"/>
      <c r="S116" s="36"/>
      <c r="T116" s="36"/>
    </row>
    <row r="117" spans="1:20" ht="15.75">
      <c r="A117" s="13">
        <v>45047</v>
      </c>
      <c r="B117" s="44">
        <v>31</v>
      </c>
      <c r="C117" s="35">
        <v>194.20500000000001</v>
      </c>
      <c r="D117" s="35">
        <v>267.46600000000001</v>
      </c>
      <c r="E117" s="41">
        <v>812.32899999999995</v>
      </c>
      <c r="F117" s="35">
        <v>1274</v>
      </c>
      <c r="G117" s="35">
        <v>75</v>
      </c>
      <c r="H117" s="43">
        <v>600</v>
      </c>
      <c r="I117" s="35">
        <v>695</v>
      </c>
      <c r="J117" s="35">
        <v>50</v>
      </c>
      <c r="K117" s="36"/>
      <c r="L117" s="36"/>
      <c r="M117" s="36"/>
      <c r="N117" s="36"/>
      <c r="O117" s="36"/>
      <c r="P117" s="36"/>
      <c r="Q117" s="36"/>
      <c r="R117" s="36"/>
      <c r="S117" s="36"/>
      <c r="T117" s="36"/>
    </row>
    <row r="118" spans="1:20" ht="15.75">
      <c r="A118" s="13">
        <v>45078</v>
      </c>
      <c r="B118" s="44">
        <v>30</v>
      </c>
      <c r="C118" s="35">
        <v>194.20500000000001</v>
      </c>
      <c r="D118" s="35">
        <v>267.46600000000001</v>
      </c>
      <c r="E118" s="41">
        <v>812.32899999999995</v>
      </c>
      <c r="F118" s="35">
        <v>1274</v>
      </c>
      <c r="G118" s="35">
        <v>50</v>
      </c>
      <c r="H118" s="43">
        <v>600</v>
      </c>
      <c r="I118" s="35">
        <v>695</v>
      </c>
      <c r="J118" s="35">
        <v>50</v>
      </c>
      <c r="K118" s="36"/>
      <c r="L118" s="36"/>
      <c r="M118" s="36"/>
      <c r="N118" s="36"/>
      <c r="O118" s="36"/>
      <c r="P118" s="36"/>
      <c r="Q118" s="36"/>
      <c r="R118" s="36"/>
      <c r="S118" s="36"/>
      <c r="T118" s="36"/>
    </row>
    <row r="119" spans="1:20" ht="15.75">
      <c r="A119" s="13">
        <v>45108</v>
      </c>
      <c r="B119" s="44">
        <v>31</v>
      </c>
      <c r="C119" s="35">
        <v>194.20500000000001</v>
      </c>
      <c r="D119" s="35">
        <v>267.46600000000001</v>
      </c>
      <c r="E119" s="41">
        <v>812.32899999999995</v>
      </c>
      <c r="F119" s="35">
        <v>1274</v>
      </c>
      <c r="G119" s="35">
        <v>50</v>
      </c>
      <c r="H119" s="43">
        <v>600</v>
      </c>
      <c r="I119" s="35">
        <v>695</v>
      </c>
      <c r="J119" s="35">
        <v>0</v>
      </c>
      <c r="K119" s="36"/>
      <c r="L119" s="36"/>
      <c r="M119" s="36"/>
      <c r="N119" s="36"/>
      <c r="O119" s="36"/>
      <c r="P119" s="36"/>
      <c r="Q119" s="36"/>
      <c r="R119" s="36"/>
      <c r="S119" s="36"/>
      <c r="T119" s="36"/>
    </row>
    <row r="120" spans="1:20" ht="15.75">
      <c r="A120" s="13">
        <v>45139</v>
      </c>
      <c r="B120" s="44">
        <v>31</v>
      </c>
      <c r="C120" s="35">
        <v>194.20500000000001</v>
      </c>
      <c r="D120" s="35">
        <v>267.46600000000001</v>
      </c>
      <c r="E120" s="41">
        <v>812.32899999999995</v>
      </c>
      <c r="F120" s="35">
        <v>1274</v>
      </c>
      <c r="G120" s="35">
        <v>50</v>
      </c>
      <c r="H120" s="43">
        <v>600</v>
      </c>
      <c r="I120" s="35">
        <v>695</v>
      </c>
      <c r="J120" s="35">
        <v>0</v>
      </c>
      <c r="K120" s="36"/>
      <c r="L120" s="36"/>
      <c r="M120" s="36"/>
      <c r="N120" s="36"/>
      <c r="O120" s="36"/>
      <c r="P120" s="36"/>
      <c r="Q120" s="36"/>
      <c r="R120" s="36"/>
      <c r="S120" s="36"/>
      <c r="T120" s="36"/>
    </row>
    <row r="121" spans="1:20" ht="15.75">
      <c r="A121" s="13">
        <v>45170</v>
      </c>
      <c r="B121" s="44">
        <v>30</v>
      </c>
      <c r="C121" s="35">
        <v>194.20500000000001</v>
      </c>
      <c r="D121" s="35">
        <v>267.46600000000001</v>
      </c>
      <c r="E121" s="41">
        <v>812.32899999999995</v>
      </c>
      <c r="F121" s="35">
        <v>1274</v>
      </c>
      <c r="G121" s="35">
        <v>50</v>
      </c>
      <c r="H121" s="43">
        <v>600</v>
      </c>
      <c r="I121" s="35">
        <v>695</v>
      </c>
      <c r="J121" s="35">
        <v>0</v>
      </c>
      <c r="K121" s="36"/>
      <c r="L121" s="36"/>
      <c r="M121" s="36"/>
      <c r="N121" s="36"/>
      <c r="O121" s="36"/>
      <c r="P121" s="36"/>
      <c r="Q121" s="36"/>
      <c r="R121" s="36"/>
      <c r="S121" s="36"/>
      <c r="T121" s="36"/>
    </row>
    <row r="122" spans="1:20" ht="15.75">
      <c r="A122" s="13">
        <v>45200</v>
      </c>
      <c r="B122" s="44">
        <v>31</v>
      </c>
      <c r="C122" s="35">
        <v>131.881</v>
      </c>
      <c r="D122" s="35">
        <v>277.16699999999997</v>
      </c>
      <c r="E122" s="41">
        <v>829.952</v>
      </c>
      <c r="F122" s="35">
        <v>1239</v>
      </c>
      <c r="G122" s="35">
        <v>75</v>
      </c>
      <c r="H122" s="43">
        <v>600</v>
      </c>
      <c r="I122" s="35">
        <v>695</v>
      </c>
      <c r="J122" s="35">
        <v>0</v>
      </c>
      <c r="K122" s="36"/>
      <c r="L122" s="36"/>
      <c r="M122" s="36"/>
      <c r="N122" s="36"/>
      <c r="O122" s="36"/>
      <c r="P122" s="36"/>
      <c r="Q122" s="36"/>
      <c r="R122" s="36"/>
      <c r="S122" s="36"/>
      <c r="T122" s="36"/>
    </row>
    <row r="123" spans="1:20" ht="15.75">
      <c r="A123" s="13">
        <v>45231</v>
      </c>
      <c r="B123" s="44">
        <v>30</v>
      </c>
      <c r="C123" s="35">
        <v>122.58</v>
      </c>
      <c r="D123" s="35">
        <v>297.94099999999997</v>
      </c>
      <c r="E123" s="41">
        <v>729.47900000000004</v>
      </c>
      <c r="F123" s="35">
        <v>1150</v>
      </c>
      <c r="G123" s="35">
        <v>100</v>
      </c>
      <c r="H123" s="43">
        <v>600</v>
      </c>
      <c r="I123" s="35">
        <v>695</v>
      </c>
      <c r="J123" s="35">
        <v>50</v>
      </c>
      <c r="K123" s="36"/>
      <c r="L123" s="36"/>
      <c r="M123" s="36"/>
      <c r="N123" s="36"/>
      <c r="O123" s="36"/>
      <c r="P123" s="36"/>
      <c r="Q123" s="36"/>
      <c r="R123" s="36"/>
      <c r="S123" s="36"/>
      <c r="T123" s="36"/>
    </row>
    <row r="124" spans="1:20" ht="15.75">
      <c r="A124" s="13">
        <v>45261</v>
      </c>
      <c r="B124" s="44">
        <v>31</v>
      </c>
      <c r="C124" s="35">
        <v>122.58</v>
      </c>
      <c r="D124" s="35">
        <v>297.94099999999997</v>
      </c>
      <c r="E124" s="41">
        <v>729.47900000000004</v>
      </c>
      <c r="F124" s="35">
        <v>1150</v>
      </c>
      <c r="G124" s="35">
        <v>100</v>
      </c>
      <c r="H124" s="43">
        <v>600</v>
      </c>
      <c r="I124" s="35">
        <v>695</v>
      </c>
      <c r="J124" s="35">
        <v>50</v>
      </c>
      <c r="K124" s="36"/>
      <c r="L124" s="36"/>
      <c r="M124" s="36"/>
      <c r="N124" s="36"/>
      <c r="O124" s="36"/>
      <c r="P124" s="36"/>
      <c r="Q124" s="36"/>
      <c r="R124" s="36"/>
      <c r="S124" s="36"/>
      <c r="T124" s="36"/>
    </row>
    <row r="125" spans="1:20" ht="15.75">
      <c r="A125" s="13">
        <v>45292</v>
      </c>
      <c r="B125" s="44">
        <v>31</v>
      </c>
      <c r="C125" s="35">
        <v>122.58</v>
      </c>
      <c r="D125" s="35">
        <v>297.94099999999997</v>
      </c>
      <c r="E125" s="41">
        <v>729.47900000000004</v>
      </c>
      <c r="F125" s="35">
        <v>1150</v>
      </c>
      <c r="G125" s="35">
        <v>100</v>
      </c>
      <c r="H125" s="43">
        <v>600</v>
      </c>
      <c r="I125" s="35">
        <v>695</v>
      </c>
      <c r="J125" s="35">
        <v>50</v>
      </c>
      <c r="K125" s="36"/>
      <c r="L125" s="36"/>
      <c r="M125" s="36"/>
      <c r="N125" s="36"/>
      <c r="O125" s="36"/>
      <c r="P125" s="36"/>
      <c r="Q125" s="36"/>
      <c r="R125" s="36"/>
      <c r="S125" s="36"/>
      <c r="T125" s="36"/>
    </row>
    <row r="126" spans="1:20" ht="15.75">
      <c r="A126" s="13">
        <v>45323</v>
      </c>
      <c r="B126" s="44">
        <v>29</v>
      </c>
      <c r="C126" s="35">
        <v>122.58</v>
      </c>
      <c r="D126" s="35">
        <v>297.94099999999997</v>
      </c>
      <c r="E126" s="41">
        <v>729.47900000000004</v>
      </c>
      <c r="F126" s="35">
        <v>1150</v>
      </c>
      <c r="G126" s="35">
        <v>100</v>
      </c>
      <c r="H126" s="43">
        <v>600</v>
      </c>
      <c r="I126" s="35">
        <v>695</v>
      </c>
      <c r="J126" s="35">
        <v>50</v>
      </c>
      <c r="K126" s="36"/>
      <c r="L126" s="36"/>
      <c r="M126" s="36"/>
      <c r="N126" s="36"/>
      <c r="O126" s="36"/>
      <c r="P126" s="36"/>
      <c r="Q126" s="36"/>
      <c r="R126" s="36"/>
      <c r="S126" s="36"/>
      <c r="T126" s="36"/>
    </row>
    <row r="127" spans="1:20" ht="15.75">
      <c r="A127" s="13">
        <v>45352</v>
      </c>
      <c r="B127" s="44">
        <v>31</v>
      </c>
      <c r="C127" s="35">
        <v>122.58</v>
      </c>
      <c r="D127" s="35">
        <v>297.94099999999997</v>
      </c>
      <c r="E127" s="41">
        <v>729.47900000000004</v>
      </c>
      <c r="F127" s="35">
        <v>1150</v>
      </c>
      <c r="G127" s="35">
        <v>100</v>
      </c>
      <c r="H127" s="43">
        <v>600</v>
      </c>
      <c r="I127" s="35">
        <v>695</v>
      </c>
      <c r="J127" s="35">
        <v>50</v>
      </c>
      <c r="K127" s="36"/>
      <c r="L127" s="36"/>
      <c r="M127" s="36"/>
      <c r="N127" s="36"/>
      <c r="O127" s="36"/>
      <c r="P127" s="36"/>
      <c r="Q127" s="36"/>
      <c r="R127" s="36"/>
      <c r="S127" s="36"/>
      <c r="T127" s="36"/>
    </row>
    <row r="128" spans="1:20" ht="15.75">
      <c r="A128" s="13">
        <v>45383</v>
      </c>
      <c r="B128" s="44">
        <v>30</v>
      </c>
      <c r="C128" s="35">
        <v>141.29300000000001</v>
      </c>
      <c r="D128" s="35">
        <v>267.99299999999999</v>
      </c>
      <c r="E128" s="41">
        <v>829.71400000000006</v>
      </c>
      <c r="F128" s="35">
        <v>1239</v>
      </c>
      <c r="G128" s="35">
        <v>100</v>
      </c>
      <c r="H128" s="43">
        <v>600</v>
      </c>
      <c r="I128" s="35">
        <v>695</v>
      </c>
      <c r="J128" s="35">
        <v>50</v>
      </c>
      <c r="K128" s="36"/>
      <c r="L128" s="36"/>
      <c r="M128" s="36"/>
      <c r="N128" s="36"/>
      <c r="O128" s="36"/>
      <c r="P128" s="36"/>
      <c r="Q128" s="36"/>
      <c r="R128" s="36"/>
      <c r="S128" s="36"/>
      <c r="T128" s="36"/>
    </row>
    <row r="129" spans="1:20" ht="15.75">
      <c r="A129" s="13">
        <v>45413</v>
      </c>
      <c r="B129" s="44">
        <v>31</v>
      </c>
      <c r="C129" s="35">
        <v>194.20500000000001</v>
      </c>
      <c r="D129" s="35">
        <v>267.46600000000001</v>
      </c>
      <c r="E129" s="41">
        <v>812.32899999999995</v>
      </c>
      <c r="F129" s="35">
        <v>1274</v>
      </c>
      <c r="G129" s="35">
        <v>75</v>
      </c>
      <c r="H129" s="43">
        <v>600</v>
      </c>
      <c r="I129" s="35">
        <v>695</v>
      </c>
      <c r="J129" s="35">
        <v>50</v>
      </c>
      <c r="K129" s="36"/>
      <c r="L129" s="36"/>
      <c r="M129" s="36"/>
      <c r="N129" s="36"/>
      <c r="O129" s="36"/>
      <c r="P129" s="36"/>
      <c r="Q129" s="36"/>
      <c r="R129" s="36"/>
      <c r="S129" s="36"/>
      <c r="T129" s="36"/>
    </row>
    <row r="130" spans="1:20" ht="15.75">
      <c r="A130" s="13">
        <v>45444</v>
      </c>
      <c r="B130" s="44">
        <v>30</v>
      </c>
      <c r="C130" s="35">
        <v>194.20500000000001</v>
      </c>
      <c r="D130" s="35">
        <v>267.46600000000001</v>
      </c>
      <c r="E130" s="41">
        <v>812.32899999999995</v>
      </c>
      <c r="F130" s="35">
        <v>1274</v>
      </c>
      <c r="G130" s="35">
        <v>50</v>
      </c>
      <c r="H130" s="43">
        <v>600</v>
      </c>
      <c r="I130" s="35">
        <v>695</v>
      </c>
      <c r="J130" s="35">
        <v>50</v>
      </c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1:20" ht="15.75">
      <c r="A131" s="13">
        <v>45474</v>
      </c>
      <c r="B131" s="44">
        <v>31</v>
      </c>
      <c r="C131" s="35">
        <v>194.20500000000001</v>
      </c>
      <c r="D131" s="35">
        <v>267.46600000000001</v>
      </c>
      <c r="E131" s="41">
        <v>812.32899999999995</v>
      </c>
      <c r="F131" s="35">
        <v>1274</v>
      </c>
      <c r="G131" s="35">
        <v>50</v>
      </c>
      <c r="H131" s="43">
        <v>600</v>
      </c>
      <c r="I131" s="35">
        <v>695</v>
      </c>
      <c r="J131" s="35">
        <v>0</v>
      </c>
      <c r="K131" s="36"/>
      <c r="L131" s="36"/>
      <c r="M131" s="36"/>
      <c r="N131" s="36"/>
      <c r="O131" s="36"/>
      <c r="P131" s="36"/>
      <c r="Q131" s="36"/>
      <c r="R131" s="36"/>
      <c r="S131" s="36"/>
      <c r="T131" s="36"/>
    </row>
    <row r="132" spans="1:20" ht="15.75">
      <c r="A132" s="13">
        <v>45505</v>
      </c>
      <c r="B132" s="44">
        <v>31</v>
      </c>
      <c r="C132" s="35">
        <v>194.20500000000001</v>
      </c>
      <c r="D132" s="35">
        <v>267.46600000000001</v>
      </c>
      <c r="E132" s="41">
        <v>812.32899999999995</v>
      </c>
      <c r="F132" s="35">
        <v>1274</v>
      </c>
      <c r="G132" s="35">
        <v>50</v>
      </c>
      <c r="H132" s="43">
        <v>600</v>
      </c>
      <c r="I132" s="35">
        <v>695</v>
      </c>
      <c r="J132" s="35">
        <v>0</v>
      </c>
      <c r="K132" s="36"/>
      <c r="L132" s="36"/>
      <c r="M132" s="36"/>
      <c r="N132" s="36"/>
      <c r="O132" s="36"/>
      <c r="P132" s="36"/>
      <c r="Q132" s="36"/>
      <c r="R132" s="36"/>
      <c r="S132" s="36"/>
      <c r="T132" s="36"/>
    </row>
    <row r="133" spans="1:20" ht="15.75">
      <c r="A133" s="13">
        <v>45536</v>
      </c>
      <c r="B133" s="44">
        <v>30</v>
      </c>
      <c r="C133" s="35">
        <v>194.20500000000001</v>
      </c>
      <c r="D133" s="35">
        <v>267.46600000000001</v>
      </c>
      <c r="E133" s="41">
        <v>812.32899999999995</v>
      </c>
      <c r="F133" s="35">
        <v>1274</v>
      </c>
      <c r="G133" s="35">
        <v>50</v>
      </c>
      <c r="H133" s="43">
        <v>600</v>
      </c>
      <c r="I133" s="35">
        <v>695</v>
      </c>
      <c r="J133" s="35">
        <v>0</v>
      </c>
      <c r="K133" s="36"/>
      <c r="L133" s="36"/>
      <c r="M133" s="36"/>
      <c r="N133" s="36"/>
      <c r="O133" s="36"/>
      <c r="P133" s="36"/>
      <c r="Q133" s="36"/>
      <c r="R133" s="36"/>
      <c r="S133" s="36"/>
      <c r="T133" s="36"/>
    </row>
    <row r="134" spans="1:20" ht="15.75">
      <c r="A134" s="13">
        <v>45566</v>
      </c>
      <c r="B134" s="44">
        <v>31</v>
      </c>
      <c r="C134" s="35">
        <v>131.881</v>
      </c>
      <c r="D134" s="35">
        <v>277.16699999999997</v>
      </c>
      <c r="E134" s="41">
        <v>829.952</v>
      </c>
      <c r="F134" s="35">
        <v>1239</v>
      </c>
      <c r="G134" s="35">
        <v>75</v>
      </c>
      <c r="H134" s="43">
        <v>600</v>
      </c>
      <c r="I134" s="35">
        <v>695</v>
      </c>
      <c r="J134" s="35">
        <v>0</v>
      </c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1:20" ht="15.75">
      <c r="A135" s="13">
        <v>45597</v>
      </c>
      <c r="B135" s="44">
        <v>30</v>
      </c>
      <c r="C135" s="35">
        <v>122.58</v>
      </c>
      <c r="D135" s="35">
        <v>297.94099999999997</v>
      </c>
      <c r="E135" s="41">
        <v>729.47900000000004</v>
      </c>
      <c r="F135" s="35">
        <v>1150</v>
      </c>
      <c r="G135" s="35">
        <v>100</v>
      </c>
      <c r="H135" s="43">
        <v>600</v>
      </c>
      <c r="I135" s="35">
        <v>695</v>
      </c>
      <c r="J135" s="35">
        <v>50</v>
      </c>
      <c r="K135" s="36"/>
      <c r="L135" s="36"/>
      <c r="M135" s="36"/>
      <c r="N135" s="36"/>
      <c r="O135" s="36"/>
      <c r="P135" s="36"/>
      <c r="Q135" s="36"/>
      <c r="R135" s="36"/>
      <c r="S135" s="36"/>
      <c r="T135" s="36"/>
    </row>
    <row r="136" spans="1:20" ht="15.75">
      <c r="A136" s="13">
        <v>45627</v>
      </c>
      <c r="B136" s="44">
        <v>31</v>
      </c>
      <c r="C136" s="35">
        <v>122.58</v>
      </c>
      <c r="D136" s="35">
        <v>297.94099999999997</v>
      </c>
      <c r="E136" s="41">
        <v>729.47900000000004</v>
      </c>
      <c r="F136" s="35">
        <v>1150</v>
      </c>
      <c r="G136" s="35">
        <v>100</v>
      </c>
      <c r="H136" s="43">
        <v>600</v>
      </c>
      <c r="I136" s="35">
        <v>695</v>
      </c>
      <c r="J136" s="35">
        <v>50</v>
      </c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1:20" ht="15.75">
      <c r="A137" s="13">
        <v>45658</v>
      </c>
      <c r="B137" s="44">
        <v>31</v>
      </c>
      <c r="C137" s="35">
        <v>122.58</v>
      </c>
      <c r="D137" s="35">
        <v>297.94099999999997</v>
      </c>
      <c r="E137" s="41">
        <v>729.47900000000004</v>
      </c>
      <c r="F137" s="35">
        <v>1150</v>
      </c>
      <c r="G137" s="35">
        <v>100</v>
      </c>
      <c r="H137" s="43">
        <v>600</v>
      </c>
      <c r="I137" s="35">
        <v>695</v>
      </c>
      <c r="J137" s="35">
        <v>50</v>
      </c>
      <c r="K137" s="36"/>
      <c r="L137" s="36"/>
      <c r="M137" s="36"/>
      <c r="N137" s="36"/>
      <c r="O137" s="36"/>
      <c r="P137" s="36"/>
      <c r="Q137" s="36"/>
      <c r="R137" s="36"/>
      <c r="S137" s="36"/>
      <c r="T137" s="36"/>
    </row>
    <row r="138" spans="1:20" ht="15.75">
      <c r="A138" s="13">
        <v>45689</v>
      </c>
      <c r="B138" s="44">
        <v>28</v>
      </c>
      <c r="C138" s="35">
        <v>122.58</v>
      </c>
      <c r="D138" s="35">
        <v>297.94099999999997</v>
      </c>
      <c r="E138" s="41">
        <v>729.47900000000004</v>
      </c>
      <c r="F138" s="35">
        <v>1150</v>
      </c>
      <c r="G138" s="35">
        <v>100</v>
      </c>
      <c r="H138" s="43">
        <v>600</v>
      </c>
      <c r="I138" s="35">
        <v>695</v>
      </c>
      <c r="J138" s="35">
        <v>50</v>
      </c>
      <c r="K138" s="36"/>
      <c r="L138" s="36"/>
      <c r="M138" s="36"/>
      <c r="N138" s="36"/>
      <c r="O138" s="36"/>
      <c r="P138" s="36"/>
      <c r="Q138" s="36"/>
      <c r="R138" s="36"/>
      <c r="S138" s="36"/>
      <c r="T138" s="36"/>
    </row>
    <row r="139" spans="1:20" ht="15.75">
      <c r="A139" s="13">
        <v>45717</v>
      </c>
      <c r="B139" s="44">
        <v>31</v>
      </c>
      <c r="C139" s="35">
        <v>122.58</v>
      </c>
      <c r="D139" s="35">
        <v>297.94099999999997</v>
      </c>
      <c r="E139" s="41">
        <v>729.47900000000004</v>
      </c>
      <c r="F139" s="35">
        <v>1150</v>
      </c>
      <c r="G139" s="35">
        <v>100</v>
      </c>
      <c r="H139" s="43">
        <v>600</v>
      </c>
      <c r="I139" s="35">
        <v>695</v>
      </c>
      <c r="J139" s="35">
        <v>50</v>
      </c>
      <c r="K139" s="36"/>
      <c r="L139" s="36"/>
      <c r="M139" s="36"/>
      <c r="N139" s="36"/>
      <c r="O139" s="36"/>
      <c r="P139" s="36"/>
      <c r="Q139" s="36"/>
      <c r="R139" s="36"/>
      <c r="S139" s="36"/>
      <c r="T139" s="36"/>
    </row>
    <row r="140" spans="1:20" ht="15.75">
      <c r="A140" s="13">
        <v>45748</v>
      </c>
      <c r="B140" s="44">
        <v>30</v>
      </c>
      <c r="C140" s="35">
        <v>141.29300000000001</v>
      </c>
      <c r="D140" s="35">
        <v>267.99299999999999</v>
      </c>
      <c r="E140" s="41">
        <v>829.71400000000006</v>
      </c>
      <c r="F140" s="35">
        <v>1239</v>
      </c>
      <c r="G140" s="35">
        <v>100</v>
      </c>
      <c r="H140" s="43">
        <v>600</v>
      </c>
      <c r="I140" s="35">
        <v>695</v>
      </c>
      <c r="J140" s="35">
        <v>50</v>
      </c>
      <c r="K140" s="36"/>
      <c r="L140" s="36"/>
      <c r="M140" s="36"/>
      <c r="N140" s="36"/>
      <c r="O140" s="36"/>
      <c r="P140" s="36"/>
      <c r="Q140" s="36"/>
      <c r="R140" s="36"/>
      <c r="S140" s="36"/>
      <c r="T140" s="36"/>
    </row>
    <row r="141" spans="1:20" ht="15.75">
      <c r="A141" s="13">
        <v>45778</v>
      </c>
      <c r="B141" s="44">
        <v>31</v>
      </c>
      <c r="C141" s="35">
        <v>194.20500000000001</v>
      </c>
      <c r="D141" s="35">
        <v>267.46600000000001</v>
      </c>
      <c r="E141" s="41">
        <v>812.32899999999995</v>
      </c>
      <c r="F141" s="35">
        <v>1274</v>
      </c>
      <c r="G141" s="35">
        <v>75</v>
      </c>
      <c r="H141" s="43">
        <v>600</v>
      </c>
      <c r="I141" s="35">
        <v>695</v>
      </c>
      <c r="J141" s="35">
        <v>50</v>
      </c>
      <c r="K141" s="36"/>
      <c r="L141" s="36"/>
      <c r="M141" s="36"/>
      <c r="N141" s="36"/>
      <c r="O141" s="36"/>
      <c r="P141" s="36"/>
      <c r="Q141" s="36"/>
      <c r="R141" s="36"/>
      <c r="S141" s="36"/>
      <c r="T141" s="36"/>
    </row>
    <row r="142" spans="1:20" ht="15.75">
      <c r="A142" s="13">
        <v>45809</v>
      </c>
      <c r="B142" s="44">
        <v>30</v>
      </c>
      <c r="C142" s="35">
        <v>194.20500000000001</v>
      </c>
      <c r="D142" s="35">
        <v>267.46600000000001</v>
      </c>
      <c r="E142" s="41">
        <v>812.32899999999995</v>
      </c>
      <c r="F142" s="35">
        <v>1274</v>
      </c>
      <c r="G142" s="35">
        <v>50</v>
      </c>
      <c r="H142" s="43">
        <v>600</v>
      </c>
      <c r="I142" s="35">
        <v>695</v>
      </c>
      <c r="J142" s="35">
        <v>50</v>
      </c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  <row r="143" spans="1:20" ht="15.75">
      <c r="A143" s="13">
        <v>45839</v>
      </c>
      <c r="B143" s="44">
        <v>31</v>
      </c>
      <c r="C143" s="35">
        <v>194.20500000000001</v>
      </c>
      <c r="D143" s="35">
        <v>267.46600000000001</v>
      </c>
      <c r="E143" s="41">
        <v>812.32899999999995</v>
      </c>
      <c r="F143" s="35">
        <v>1274</v>
      </c>
      <c r="G143" s="35">
        <v>50</v>
      </c>
      <c r="H143" s="43">
        <v>600</v>
      </c>
      <c r="I143" s="35">
        <v>695</v>
      </c>
      <c r="J143" s="35">
        <v>0</v>
      </c>
      <c r="K143" s="36"/>
      <c r="L143" s="36"/>
      <c r="M143" s="36"/>
      <c r="N143" s="36"/>
      <c r="O143" s="36"/>
      <c r="P143" s="36"/>
      <c r="Q143" s="36"/>
      <c r="R143" s="36"/>
      <c r="S143" s="36"/>
      <c r="T143" s="36"/>
    </row>
    <row r="144" spans="1:20" ht="15.75">
      <c r="A144" s="13">
        <v>45870</v>
      </c>
      <c r="B144" s="44">
        <v>31</v>
      </c>
      <c r="C144" s="35">
        <v>194.20500000000001</v>
      </c>
      <c r="D144" s="35">
        <v>267.46600000000001</v>
      </c>
      <c r="E144" s="41">
        <v>812.32899999999995</v>
      </c>
      <c r="F144" s="35">
        <v>1274</v>
      </c>
      <c r="G144" s="35">
        <v>50</v>
      </c>
      <c r="H144" s="43">
        <v>600</v>
      </c>
      <c r="I144" s="35">
        <v>695</v>
      </c>
      <c r="J144" s="35">
        <v>0</v>
      </c>
      <c r="K144" s="36"/>
      <c r="L144" s="36"/>
      <c r="M144" s="36"/>
      <c r="N144" s="36"/>
      <c r="O144" s="36"/>
      <c r="P144" s="36"/>
      <c r="Q144" s="36"/>
      <c r="R144" s="36"/>
      <c r="S144" s="36"/>
      <c r="T144" s="36"/>
    </row>
    <row r="145" spans="1:20" ht="15.75">
      <c r="A145" s="13">
        <v>45901</v>
      </c>
      <c r="B145" s="44">
        <v>30</v>
      </c>
      <c r="C145" s="35">
        <v>194.20500000000001</v>
      </c>
      <c r="D145" s="35">
        <v>267.46600000000001</v>
      </c>
      <c r="E145" s="41">
        <v>812.32899999999995</v>
      </c>
      <c r="F145" s="35">
        <v>1274</v>
      </c>
      <c r="G145" s="35">
        <v>50</v>
      </c>
      <c r="H145" s="43">
        <v>600</v>
      </c>
      <c r="I145" s="35">
        <v>695</v>
      </c>
      <c r="J145" s="35">
        <v>0</v>
      </c>
      <c r="K145" s="36"/>
      <c r="L145" s="36"/>
      <c r="M145" s="36"/>
      <c r="N145" s="36"/>
      <c r="O145" s="36"/>
      <c r="P145" s="36"/>
      <c r="Q145" s="36"/>
      <c r="R145" s="36"/>
      <c r="S145" s="36"/>
      <c r="T145" s="36"/>
    </row>
    <row r="146" spans="1:20" ht="15.75">
      <c r="A146" s="13">
        <v>45931</v>
      </c>
      <c r="B146" s="44">
        <v>31</v>
      </c>
      <c r="C146" s="35">
        <v>131.881</v>
      </c>
      <c r="D146" s="35">
        <v>277.16699999999997</v>
      </c>
      <c r="E146" s="41">
        <v>829.952</v>
      </c>
      <c r="F146" s="35">
        <v>1239</v>
      </c>
      <c r="G146" s="35">
        <v>75</v>
      </c>
      <c r="H146" s="43">
        <v>600</v>
      </c>
      <c r="I146" s="35">
        <v>695</v>
      </c>
      <c r="J146" s="35">
        <v>0</v>
      </c>
      <c r="K146" s="36"/>
      <c r="L146" s="36"/>
      <c r="M146" s="36"/>
      <c r="N146" s="36"/>
      <c r="O146" s="36"/>
      <c r="P146" s="36"/>
      <c r="Q146" s="36"/>
      <c r="R146" s="36"/>
      <c r="S146" s="36"/>
      <c r="T146" s="36"/>
    </row>
    <row r="147" spans="1:20" ht="15.75">
      <c r="A147" s="13">
        <v>45962</v>
      </c>
      <c r="B147" s="44">
        <v>30</v>
      </c>
      <c r="C147" s="35">
        <v>122.58</v>
      </c>
      <c r="D147" s="35">
        <v>297.94099999999997</v>
      </c>
      <c r="E147" s="41">
        <v>729.47900000000004</v>
      </c>
      <c r="F147" s="35">
        <v>1150</v>
      </c>
      <c r="G147" s="35">
        <v>100</v>
      </c>
      <c r="H147" s="43">
        <v>600</v>
      </c>
      <c r="I147" s="35">
        <v>695</v>
      </c>
      <c r="J147" s="35">
        <v>50</v>
      </c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1:20" ht="15.75">
      <c r="A148" s="13">
        <v>45992</v>
      </c>
      <c r="B148" s="44">
        <v>31</v>
      </c>
      <c r="C148" s="35">
        <v>122.58</v>
      </c>
      <c r="D148" s="35">
        <v>297.94099999999997</v>
      </c>
      <c r="E148" s="41">
        <v>729.47900000000004</v>
      </c>
      <c r="F148" s="35">
        <v>1150</v>
      </c>
      <c r="G148" s="35">
        <v>100</v>
      </c>
      <c r="H148" s="43">
        <v>600</v>
      </c>
      <c r="I148" s="35">
        <v>695</v>
      </c>
      <c r="J148" s="35">
        <v>50</v>
      </c>
      <c r="K148" s="36"/>
      <c r="L148" s="36"/>
      <c r="M148" s="36"/>
      <c r="N148" s="36"/>
      <c r="O148" s="36"/>
      <c r="P148" s="36"/>
      <c r="Q148" s="36"/>
      <c r="R148" s="36"/>
      <c r="S148" s="36"/>
      <c r="T148" s="36"/>
    </row>
    <row r="149" spans="1:20" ht="15.75">
      <c r="A149" s="13">
        <v>46023</v>
      </c>
      <c r="B149" s="44">
        <v>31</v>
      </c>
      <c r="C149" s="35">
        <v>122.58</v>
      </c>
      <c r="D149" s="35">
        <v>297.94099999999997</v>
      </c>
      <c r="E149" s="41">
        <v>729.47900000000004</v>
      </c>
      <c r="F149" s="35">
        <v>1150</v>
      </c>
      <c r="G149" s="35">
        <v>100</v>
      </c>
      <c r="H149" s="43">
        <v>600</v>
      </c>
      <c r="I149" s="35">
        <v>695</v>
      </c>
      <c r="J149" s="35">
        <v>50</v>
      </c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1:20" ht="15.75">
      <c r="A150" s="13">
        <v>46054</v>
      </c>
      <c r="B150" s="44">
        <v>28</v>
      </c>
      <c r="C150" s="35">
        <v>122.58</v>
      </c>
      <c r="D150" s="35">
        <v>297.94099999999997</v>
      </c>
      <c r="E150" s="41">
        <v>729.47900000000004</v>
      </c>
      <c r="F150" s="35">
        <v>1150</v>
      </c>
      <c r="G150" s="35">
        <v>100</v>
      </c>
      <c r="H150" s="43">
        <v>600</v>
      </c>
      <c r="I150" s="35">
        <v>695</v>
      </c>
      <c r="J150" s="35">
        <v>50</v>
      </c>
      <c r="K150" s="36"/>
      <c r="L150" s="36"/>
      <c r="M150" s="36"/>
      <c r="N150" s="36"/>
      <c r="O150" s="36"/>
      <c r="P150" s="36"/>
      <c r="Q150" s="36"/>
      <c r="R150" s="36"/>
      <c r="S150" s="36"/>
      <c r="T150" s="36"/>
    </row>
    <row r="151" spans="1:20" ht="15.75">
      <c r="A151" s="13">
        <v>46082</v>
      </c>
      <c r="B151" s="44">
        <v>31</v>
      </c>
      <c r="C151" s="35">
        <v>122.58</v>
      </c>
      <c r="D151" s="35">
        <v>297.94099999999997</v>
      </c>
      <c r="E151" s="41">
        <v>729.47900000000004</v>
      </c>
      <c r="F151" s="35">
        <v>1150</v>
      </c>
      <c r="G151" s="35">
        <v>100</v>
      </c>
      <c r="H151" s="43">
        <v>600</v>
      </c>
      <c r="I151" s="35">
        <v>695</v>
      </c>
      <c r="J151" s="35">
        <v>50</v>
      </c>
      <c r="K151" s="36"/>
      <c r="L151" s="36"/>
      <c r="M151" s="36"/>
      <c r="N151" s="36"/>
      <c r="O151" s="36"/>
      <c r="P151" s="36"/>
      <c r="Q151" s="36"/>
      <c r="R151" s="36"/>
      <c r="S151" s="36"/>
      <c r="T151" s="36"/>
    </row>
    <row r="152" spans="1:20" ht="15.75">
      <c r="A152" s="13">
        <v>46113</v>
      </c>
      <c r="B152" s="44">
        <v>30</v>
      </c>
      <c r="C152" s="35">
        <v>141.29300000000001</v>
      </c>
      <c r="D152" s="35">
        <v>267.99299999999999</v>
      </c>
      <c r="E152" s="41">
        <v>829.71400000000006</v>
      </c>
      <c r="F152" s="35">
        <v>1239</v>
      </c>
      <c r="G152" s="35">
        <v>100</v>
      </c>
      <c r="H152" s="43">
        <v>600</v>
      </c>
      <c r="I152" s="35">
        <v>695</v>
      </c>
      <c r="J152" s="35">
        <v>50</v>
      </c>
      <c r="K152" s="36"/>
      <c r="L152" s="36"/>
      <c r="M152" s="36"/>
      <c r="N152" s="36"/>
      <c r="O152" s="36"/>
      <c r="P152" s="36"/>
      <c r="Q152" s="36"/>
      <c r="R152" s="36"/>
      <c r="S152" s="36"/>
      <c r="T152" s="36"/>
    </row>
    <row r="153" spans="1:20" ht="15.75">
      <c r="A153" s="13">
        <v>46143</v>
      </c>
      <c r="B153" s="44">
        <v>31</v>
      </c>
      <c r="C153" s="35">
        <v>194.20500000000001</v>
      </c>
      <c r="D153" s="35">
        <v>267.46600000000001</v>
      </c>
      <c r="E153" s="41">
        <v>812.32899999999995</v>
      </c>
      <c r="F153" s="35">
        <v>1274</v>
      </c>
      <c r="G153" s="35">
        <v>75</v>
      </c>
      <c r="H153" s="43">
        <v>600</v>
      </c>
      <c r="I153" s="35">
        <v>695</v>
      </c>
      <c r="J153" s="35">
        <v>50</v>
      </c>
      <c r="K153" s="36"/>
      <c r="L153" s="36"/>
      <c r="M153" s="36"/>
      <c r="N153" s="36"/>
      <c r="O153" s="36"/>
      <c r="P153" s="36"/>
      <c r="Q153" s="36"/>
      <c r="R153" s="36"/>
      <c r="S153" s="36"/>
      <c r="T153" s="36"/>
    </row>
    <row r="154" spans="1:20" ht="15.75">
      <c r="A154" s="13">
        <v>46174</v>
      </c>
      <c r="B154" s="44">
        <v>30</v>
      </c>
      <c r="C154" s="35">
        <v>194.20500000000001</v>
      </c>
      <c r="D154" s="35">
        <v>267.46600000000001</v>
      </c>
      <c r="E154" s="41">
        <v>812.32899999999995</v>
      </c>
      <c r="F154" s="35">
        <v>1274</v>
      </c>
      <c r="G154" s="35">
        <v>50</v>
      </c>
      <c r="H154" s="43">
        <v>600</v>
      </c>
      <c r="I154" s="35">
        <v>695</v>
      </c>
      <c r="J154" s="35">
        <v>50</v>
      </c>
      <c r="K154" s="36"/>
      <c r="L154" s="36"/>
      <c r="M154" s="36"/>
      <c r="N154" s="36"/>
      <c r="O154" s="36"/>
      <c r="P154" s="36"/>
      <c r="Q154" s="36"/>
      <c r="R154" s="36"/>
      <c r="S154" s="36"/>
      <c r="T154" s="36"/>
    </row>
    <row r="155" spans="1:20" ht="15.75">
      <c r="A155" s="13">
        <v>46204</v>
      </c>
      <c r="B155" s="44">
        <v>31</v>
      </c>
      <c r="C155" s="35">
        <v>194.20500000000001</v>
      </c>
      <c r="D155" s="35">
        <v>267.46600000000001</v>
      </c>
      <c r="E155" s="41">
        <v>812.32899999999995</v>
      </c>
      <c r="F155" s="35">
        <v>1274</v>
      </c>
      <c r="G155" s="35">
        <v>50</v>
      </c>
      <c r="H155" s="43">
        <v>600</v>
      </c>
      <c r="I155" s="35">
        <v>695</v>
      </c>
      <c r="J155" s="35">
        <v>0</v>
      </c>
      <c r="K155" s="36"/>
      <c r="L155" s="36"/>
      <c r="M155" s="36"/>
      <c r="N155" s="36"/>
      <c r="O155" s="36"/>
      <c r="P155" s="36"/>
      <c r="Q155" s="36"/>
      <c r="R155" s="36"/>
      <c r="S155" s="36"/>
      <c r="T155" s="36"/>
    </row>
    <row r="156" spans="1:20" ht="15.75">
      <c r="A156" s="13">
        <v>46235</v>
      </c>
      <c r="B156" s="44">
        <v>31</v>
      </c>
      <c r="C156" s="35">
        <v>194.20500000000001</v>
      </c>
      <c r="D156" s="35">
        <v>267.46600000000001</v>
      </c>
      <c r="E156" s="41">
        <v>812.32899999999995</v>
      </c>
      <c r="F156" s="35">
        <v>1274</v>
      </c>
      <c r="G156" s="35">
        <v>50</v>
      </c>
      <c r="H156" s="43">
        <v>600</v>
      </c>
      <c r="I156" s="35">
        <v>695</v>
      </c>
      <c r="J156" s="35">
        <v>0</v>
      </c>
      <c r="K156" s="36"/>
      <c r="L156" s="36"/>
      <c r="M156" s="36"/>
      <c r="N156" s="36"/>
      <c r="O156" s="36"/>
      <c r="P156" s="36"/>
      <c r="Q156" s="36"/>
      <c r="R156" s="36"/>
      <c r="S156" s="36"/>
      <c r="T156" s="36"/>
    </row>
    <row r="157" spans="1:20" ht="15.75">
      <c r="A157" s="13">
        <v>46266</v>
      </c>
      <c r="B157" s="44">
        <v>30</v>
      </c>
      <c r="C157" s="35">
        <v>194.20500000000001</v>
      </c>
      <c r="D157" s="35">
        <v>267.46600000000001</v>
      </c>
      <c r="E157" s="41">
        <v>812.32899999999995</v>
      </c>
      <c r="F157" s="35">
        <v>1274</v>
      </c>
      <c r="G157" s="35">
        <v>50</v>
      </c>
      <c r="H157" s="43">
        <v>600</v>
      </c>
      <c r="I157" s="35">
        <v>695</v>
      </c>
      <c r="J157" s="35">
        <v>0</v>
      </c>
      <c r="K157" s="36"/>
      <c r="L157" s="36"/>
      <c r="M157" s="36"/>
      <c r="N157" s="36"/>
      <c r="O157" s="36"/>
      <c r="P157" s="36"/>
      <c r="Q157" s="36"/>
      <c r="R157" s="36"/>
      <c r="S157" s="36"/>
      <c r="T157" s="36"/>
    </row>
    <row r="158" spans="1:20" ht="15.75">
      <c r="A158" s="13">
        <v>46296</v>
      </c>
      <c r="B158" s="44">
        <v>31</v>
      </c>
      <c r="C158" s="35">
        <v>131.881</v>
      </c>
      <c r="D158" s="35">
        <v>277.16699999999997</v>
      </c>
      <c r="E158" s="41">
        <v>829.952</v>
      </c>
      <c r="F158" s="35">
        <v>1239</v>
      </c>
      <c r="G158" s="35">
        <v>75</v>
      </c>
      <c r="H158" s="43">
        <v>600</v>
      </c>
      <c r="I158" s="35">
        <v>695</v>
      </c>
      <c r="J158" s="35">
        <v>0</v>
      </c>
      <c r="K158" s="36"/>
      <c r="L158" s="36"/>
      <c r="M158" s="36"/>
      <c r="N158" s="36"/>
      <c r="O158" s="36"/>
      <c r="P158" s="36"/>
      <c r="Q158" s="36"/>
      <c r="R158" s="36"/>
      <c r="S158" s="36"/>
      <c r="T158" s="36"/>
    </row>
    <row r="159" spans="1:20" ht="15.75">
      <c r="A159" s="13">
        <v>46327</v>
      </c>
      <c r="B159" s="44">
        <v>30</v>
      </c>
      <c r="C159" s="35">
        <v>122.58</v>
      </c>
      <c r="D159" s="35">
        <v>297.94099999999997</v>
      </c>
      <c r="E159" s="41">
        <v>729.47900000000004</v>
      </c>
      <c r="F159" s="35">
        <v>1150</v>
      </c>
      <c r="G159" s="35">
        <v>100</v>
      </c>
      <c r="H159" s="43">
        <v>600</v>
      </c>
      <c r="I159" s="35">
        <v>695</v>
      </c>
      <c r="J159" s="35">
        <v>50</v>
      </c>
      <c r="K159" s="36"/>
      <c r="L159" s="36"/>
      <c r="M159" s="36"/>
      <c r="N159" s="36"/>
      <c r="O159" s="36"/>
      <c r="P159" s="36"/>
      <c r="Q159" s="36"/>
      <c r="R159" s="36"/>
      <c r="S159" s="36"/>
      <c r="T159" s="36"/>
    </row>
    <row r="160" spans="1:20" ht="15.75">
      <c r="A160" s="13">
        <v>46357</v>
      </c>
      <c r="B160" s="44">
        <v>31</v>
      </c>
      <c r="C160" s="35">
        <v>122.58</v>
      </c>
      <c r="D160" s="35">
        <v>297.94099999999997</v>
      </c>
      <c r="E160" s="41">
        <v>729.47900000000004</v>
      </c>
      <c r="F160" s="35">
        <v>1150</v>
      </c>
      <c r="G160" s="35">
        <v>100</v>
      </c>
      <c r="H160" s="43">
        <v>600</v>
      </c>
      <c r="I160" s="35">
        <v>695</v>
      </c>
      <c r="J160" s="35">
        <v>50</v>
      </c>
      <c r="K160" s="36"/>
      <c r="L160" s="36"/>
      <c r="M160" s="36"/>
      <c r="N160" s="36"/>
      <c r="O160" s="36"/>
      <c r="P160" s="36"/>
      <c r="Q160" s="36"/>
      <c r="R160" s="36"/>
      <c r="S160" s="36"/>
      <c r="T160" s="36"/>
    </row>
    <row r="161" spans="1:20" ht="15.75">
      <c r="A161" s="13">
        <v>46388</v>
      </c>
      <c r="B161" s="44">
        <v>31</v>
      </c>
      <c r="C161" s="35">
        <v>122.58</v>
      </c>
      <c r="D161" s="35">
        <v>297.94099999999997</v>
      </c>
      <c r="E161" s="41">
        <v>729.47900000000004</v>
      </c>
      <c r="F161" s="35">
        <v>1150</v>
      </c>
      <c r="G161" s="35">
        <v>100</v>
      </c>
      <c r="H161" s="43">
        <v>600</v>
      </c>
      <c r="I161" s="35">
        <v>695</v>
      </c>
      <c r="J161" s="35">
        <v>50</v>
      </c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1:20" ht="15.75">
      <c r="A162" s="13">
        <v>46419</v>
      </c>
      <c r="B162" s="44">
        <v>28</v>
      </c>
      <c r="C162" s="35">
        <v>122.58</v>
      </c>
      <c r="D162" s="35">
        <v>297.94099999999997</v>
      </c>
      <c r="E162" s="41">
        <v>729.47900000000004</v>
      </c>
      <c r="F162" s="35">
        <v>1150</v>
      </c>
      <c r="G162" s="35">
        <v>100</v>
      </c>
      <c r="H162" s="43">
        <v>600</v>
      </c>
      <c r="I162" s="35">
        <v>695</v>
      </c>
      <c r="J162" s="35">
        <v>50</v>
      </c>
      <c r="K162" s="36"/>
      <c r="L162" s="36"/>
      <c r="M162" s="36"/>
      <c r="N162" s="36"/>
      <c r="O162" s="36"/>
      <c r="P162" s="36"/>
      <c r="Q162" s="36"/>
      <c r="R162" s="36"/>
      <c r="S162" s="36"/>
      <c r="T162" s="36"/>
    </row>
    <row r="163" spans="1:20" ht="15.75">
      <c r="A163" s="13">
        <v>46447</v>
      </c>
      <c r="B163" s="44">
        <v>31</v>
      </c>
      <c r="C163" s="35">
        <v>122.58</v>
      </c>
      <c r="D163" s="35">
        <v>297.94099999999997</v>
      </c>
      <c r="E163" s="41">
        <v>729.47900000000004</v>
      </c>
      <c r="F163" s="35">
        <v>1150</v>
      </c>
      <c r="G163" s="35">
        <v>100</v>
      </c>
      <c r="H163" s="43">
        <v>600</v>
      </c>
      <c r="I163" s="35">
        <v>695</v>
      </c>
      <c r="J163" s="35">
        <v>50</v>
      </c>
      <c r="K163" s="36"/>
      <c r="L163" s="36"/>
      <c r="M163" s="36"/>
      <c r="N163" s="36"/>
      <c r="O163" s="36"/>
      <c r="P163" s="36"/>
      <c r="Q163" s="36"/>
      <c r="R163" s="36"/>
      <c r="S163" s="36"/>
      <c r="T163" s="36"/>
    </row>
    <row r="164" spans="1:20" ht="15.75">
      <c r="A164" s="13">
        <v>46478</v>
      </c>
      <c r="B164" s="44">
        <v>30</v>
      </c>
      <c r="C164" s="35">
        <v>141.29300000000001</v>
      </c>
      <c r="D164" s="35">
        <v>267.99299999999999</v>
      </c>
      <c r="E164" s="41">
        <v>829.71400000000006</v>
      </c>
      <c r="F164" s="35">
        <v>1239</v>
      </c>
      <c r="G164" s="35">
        <v>100</v>
      </c>
      <c r="H164" s="43">
        <v>600</v>
      </c>
      <c r="I164" s="35">
        <v>695</v>
      </c>
      <c r="J164" s="35">
        <v>50</v>
      </c>
      <c r="K164" s="36"/>
      <c r="L164" s="36"/>
      <c r="M164" s="36"/>
      <c r="N164" s="36"/>
      <c r="O164" s="36"/>
      <c r="P164" s="36"/>
      <c r="Q164" s="36"/>
      <c r="R164" s="36"/>
      <c r="S164" s="36"/>
      <c r="T164" s="36"/>
    </row>
    <row r="165" spans="1:20" ht="15.75">
      <c r="A165" s="13">
        <v>46508</v>
      </c>
      <c r="B165" s="44">
        <v>31</v>
      </c>
      <c r="C165" s="35">
        <v>194.20500000000001</v>
      </c>
      <c r="D165" s="35">
        <v>267.46600000000001</v>
      </c>
      <c r="E165" s="41">
        <v>812.32899999999995</v>
      </c>
      <c r="F165" s="35">
        <v>1274</v>
      </c>
      <c r="G165" s="35">
        <v>75</v>
      </c>
      <c r="H165" s="43">
        <v>600</v>
      </c>
      <c r="I165" s="35">
        <v>695</v>
      </c>
      <c r="J165" s="35">
        <v>50</v>
      </c>
      <c r="K165" s="36"/>
      <c r="L165" s="36"/>
      <c r="M165" s="36"/>
      <c r="N165" s="36"/>
      <c r="O165" s="36"/>
      <c r="P165" s="36"/>
      <c r="Q165" s="36"/>
      <c r="R165" s="36"/>
      <c r="S165" s="36"/>
      <c r="T165" s="36"/>
    </row>
    <row r="166" spans="1:20" ht="15.75">
      <c r="A166" s="13">
        <v>46539</v>
      </c>
      <c r="B166" s="44">
        <v>30</v>
      </c>
      <c r="C166" s="35">
        <v>194.20500000000001</v>
      </c>
      <c r="D166" s="35">
        <v>267.46600000000001</v>
      </c>
      <c r="E166" s="41">
        <v>812.32899999999995</v>
      </c>
      <c r="F166" s="35">
        <v>1274</v>
      </c>
      <c r="G166" s="35">
        <v>50</v>
      </c>
      <c r="H166" s="43">
        <v>600</v>
      </c>
      <c r="I166" s="35">
        <v>695</v>
      </c>
      <c r="J166" s="35">
        <v>50</v>
      </c>
      <c r="K166" s="36"/>
      <c r="L166" s="36"/>
      <c r="M166" s="36"/>
      <c r="N166" s="36"/>
      <c r="O166" s="36"/>
      <c r="P166" s="36"/>
      <c r="Q166" s="36"/>
      <c r="R166" s="36"/>
      <c r="S166" s="36"/>
      <c r="T166" s="36"/>
    </row>
    <row r="167" spans="1:20" ht="15.75">
      <c r="A167" s="13">
        <v>46569</v>
      </c>
      <c r="B167" s="44">
        <v>31</v>
      </c>
      <c r="C167" s="35">
        <v>194.20500000000001</v>
      </c>
      <c r="D167" s="35">
        <v>267.46600000000001</v>
      </c>
      <c r="E167" s="41">
        <v>812.32899999999995</v>
      </c>
      <c r="F167" s="35">
        <v>1274</v>
      </c>
      <c r="G167" s="35">
        <v>50</v>
      </c>
      <c r="H167" s="43">
        <v>600</v>
      </c>
      <c r="I167" s="35">
        <v>695</v>
      </c>
      <c r="J167" s="35">
        <v>0</v>
      </c>
      <c r="K167" s="36"/>
      <c r="L167" s="36"/>
      <c r="M167" s="36"/>
      <c r="N167" s="36"/>
      <c r="O167" s="36"/>
      <c r="P167" s="36"/>
      <c r="Q167" s="36"/>
      <c r="R167" s="36"/>
      <c r="S167" s="36"/>
      <c r="T167" s="36"/>
    </row>
    <row r="168" spans="1:20" ht="15.75">
      <c r="A168" s="13">
        <v>46600</v>
      </c>
      <c r="B168" s="44">
        <v>31</v>
      </c>
      <c r="C168" s="35">
        <v>194.20500000000001</v>
      </c>
      <c r="D168" s="35">
        <v>267.46600000000001</v>
      </c>
      <c r="E168" s="41">
        <v>812.32899999999995</v>
      </c>
      <c r="F168" s="35">
        <v>1274</v>
      </c>
      <c r="G168" s="35">
        <v>50</v>
      </c>
      <c r="H168" s="43">
        <v>600</v>
      </c>
      <c r="I168" s="35">
        <v>695</v>
      </c>
      <c r="J168" s="35">
        <v>0</v>
      </c>
      <c r="K168" s="36"/>
      <c r="L168" s="36"/>
      <c r="M168" s="36"/>
      <c r="N168" s="36"/>
      <c r="O168" s="36"/>
      <c r="P168" s="36"/>
      <c r="Q168" s="36"/>
      <c r="R168" s="36"/>
      <c r="S168" s="36"/>
      <c r="T168" s="36"/>
    </row>
    <row r="169" spans="1:20" ht="15.75">
      <c r="A169" s="13">
        <v>46631</v>
      </c>
      <c r="B169" s="44">
        <v>30</v>
      </c>
      <c r="C169" s="35">
        <v>194.20500000000001</v>
      </c>
      <c r="D169" s="35">
        <v>267.46600000000001</v>
      </c>
      <c r="E169" s="41">
        <v>812.32899999999995</v>
      </c>
      <c r="F169" s="35">
        <v>1274</v>
      </c>
      <c r="G169" s="35">
        <v>50</v>
      </c>
      <c r="H169" s="43">
        <v>600</v>
      </c>
      <c r="I169" s="35">
        <v>695</v>
      </c>
      <c r="J169" s="35">
        <v>0</v>
      </c>
      <c r="K169" s="36"/>
      <c r="L169" s="36"/>
      <c r="M169" s="36"/>
      <c r="N169" s="36"/>
      <c r="O169" s="36"/>
      <c r="P169" s="36"/>
      <c r="Q169" s="36"/>
      <c r="R169" s="36"/>
      <c r="S169" s="36"/>
      <c r="T169" s="36"/>
    </row>
    <row r="170" spans="1:20" ht="15.75">
      <c r="A170" s="13">
        <v>46661</v>
      </c>
      <c r="B170" s="44">
        <v>31</v>
      </c>
      <c r="C170" s="35">
        <v>131.881</v>
      </c>
      <c r="D170" s="35">
        <v>277.16699999999997</v>
      </c>
      <c r="E170" s="41">
        <v>829.952</v>
      </c>
      <c r="F170" s="35">
        <v>1239</v>
      </c>
      <c r="G170" s="35">
        <v>75</v>
      </c>
      <c r="H170" s="43">
        <v>600</v>
      </c>
      <c r="I170" s="35">
        <v>695</v>
      </c>
      <c r="J170" s="35">
        <v>0</v>
      </c>
      <c r="K170" s="36"/>
      <c r="L170" s="36"/>
      <c r="M170" s="36"/>
      <c r="N170" s="36"/>
      <c r="O170" s="36"/>
      <c r="P170" s="36"/>
      <c r="Q170" s="36"/>
      <c r="R170" s="36"/>
      <c r="S170" s="36"/>
      <c r="T170" s="36"/>
    </row>
    <row r="171" spans="1:20" ht="15.75">
      <c r="A171" s="13">
        <v>46692</v>
      </c>
      <c r="B171" s="44">
        <v>30</v>
      </c>
      <c r="C171" s="35">
        <v>122.58</v>
      </c>
      <c r="D171" s="35">
        <v>297.94099999999997</v>
      </c>
      <c r="E171" s="41">
        <v>729.47900000000004</v>
      </c>
      <c r="F171" s="35">
        <v>1150</v>
      </c>
      <c r="G171" s="35">
        <v>100</v>
      </c>
      <c r="H171" s="43">
        <v>600</v>
      </c>
      <c r="I171" s="35">
        <v>695</v>
      </c>
      <c r="J171" s="35">
        <v>50</v>
      </c>
      <c r="K171" s="36"/>
      <c r="L171" s="36"/>
      <c r="M171" s="36"/>
      <c r="N171" s="36"/>
      <c r="O171" s="36"/>
      <c r="P171" s="36"/>
      <c r="Q171" s="36"/>
      <c r="R171" s="36"/>
      <c r="S171" s="36"/>
      <c r="T171" s="36"/>
    </row>
    <row r="172" spans="1:20" ht="15.75">
      <c r="A172" s="13">
        <v>46722</v>
      </c>
      <c r="B172" s="44">
        <v>31</v>
      </c>
      <c r="C172" s="35">
        <v>122.58</v>
      </c>
      <c r="D172" s="35">
        <v>297.94099999999997</v>
      </c>
      <c r="E172" s="41">
        <v>729.47900000000004</v>
      </c>
      <c r="F172" s="35">
        <v>1150</v>
      </c>
      <c r="G172" s="35">
        <v>100</v>
      </c>
      <c r="H172" s="43">
        <v>600</v>
      </c>
      <c r="I172" s="35">
        <v>695</v>
      </c>
      <c r="J172" s="35">
        <v>50</v>
      </c>
      <c r="K172" s="36"/>
      <c r="L172" s="36"/>
      <c r="M172" s="36"/>
      <c r="N172" s="36"/>
      <c r="O172" s="36"/>
      <c r="P172" s="36"/>
      <c r="Q172" s="36"/>
      <c r="R172" s="36"/>
      <c r="S172" s="36"/>
      <c r="T172" s="36"/>
    </row>
    <row r="173" spans="1:20" ht="15.75">
      <c r="A173" s="13">
        <v>46753</v>
      </c>
      <c r="B173" s="44">
        <v>31</v>
      </c>
      <c r="C173" s="35">
        <v>122.58</v>
      </c>
      <c r="D173" s="35">
        <v>297.94099999999997</v>
      </c>
      <c r="E173" s="41">
        <v>729.47900000000004</v>
      </c>
      <c r="F173" s="35">
        <v>1150</v>
      </c>
      <c r="G173" s="35">
        <v>100</v>
      </c>
      <c r="H173" s="43">
        <v>600</v>
      </c>
      <c r="I173" s="35">
        <v>695</v>
      </c>
      <c r="J173" s="35">
        <v>50</v>
      </c>
      <c r="K173" s="36"/>
      <c r="L173" s="36"/>
      <c r="M173" s="36"/>
      <c r="N173" s="36"/>
      <c r="O173" s="36"/>
      <c r="P173" s="36"/>
      <c r="Q173" s="36"/>
      <c r="R173" s="36"/>
      <c r="S173" s="36"/>
      <c r="T173" s="36"/>
    </row>
    <row r="174" spans="1:20" ht="15.75">
      <c r="A174" s="13">
        <v>46784</v>
      </c>
      <c r="B174" s="44">
        <v>29</v>
      </c>
      <c r="C174" s="35">
        <v>122.58</v>
      </c>
      <c r="D174" s="35">
        <v>297.94099999999997</v>
      </c>
      <c r="E174" s="41">
        <v>729.47900000000004</v>
      </c>
      <c r="F174" s="35">
        <v>1150</v>
      </c>
      <c r="G174" s="35">
        <v>100</v>
      </c>
      <c r="H174" s="43">
        <v>600</v>
      </c>
      <c r="I174" s="35">
        <v>695</v>
      </c>
      <c r="J174" s="35">
        <v>50</v>
      </c>
      <c r="K174" s="36"/>
      <c r="L174" s="36"/>
      <c r="M174" s="36"/>
      <c r="N174" s="36"/>
      <c r="O174" s="36"/>
      <c r="P174" s="36"/>
      <c r="Q174" s="36"/>
      <c r="R174" s="36"/>
      <c r="S174" s="36"/>
      <c r="T174" s="36"/>
    </row>
    <row r="175" spans="1:20" ht="15.75">
      <c r="A175" s="13">
        <v>46813</v>
      </c>
      <c r="B175" s="44">
        <v>31</v>
      </c>
      <c r="C175" s="35">
        <v>122.58</v>
      </c>
      <c r="D175" s="35">
        <v>297.94099999999997</v>
      </c>
      <c r="E175" s="41">
        <v>729.47900000000004</v>
      </c>
      <c r="F175" s="35">
        <v>1150</v>
      </c>
      <c r="G175" s="35">
        <v>100</v>
      </c>
      <c r="H175" s="43">
        <v>600</v>
      </c>
      <c r="I175" s="35">
        <v>695</v>
      </c>
      <c r="J175" s="35">
        <v>50</v>
      </c>
      <c r="K175" s="36"/>
      <c r="L175" s="36"/>
      <c r="M175" s="36"/>
      <c r="N175" s="36"/>
      <c r="O175" s="36"/>
      <c r="P175" s="36"/>
      <c r="Q175" s="36"/>
      <c r="R175" s="36"/>
      <c r="S175" s="36"/>
      <c r="T175" s="36"/>
    </row>
    <row r="176" spans="1:20" ht="15.75">
      <c r="A176" s="13">
        <v>46844</v>
      </c>
      <c r="B176" s="44">
        <v>30</v>
      </c>
      <c r="C176" s="35">
        <v>141.29300000000001</v>
      </c>
      <c r="D176" s="35">
        <v>267.99299999999999</v>
      </c>
      <c r="E176" s="41">
        <v>829.71400000000006</v>
      </c>
      <c r="F176" s="35">
        <v>1239</v>
      </c>
      <c r="G176" s="35">
        <v>100</v>
      </c>
      <c r="H176" s="43">
        <v>600</v>
      </c>
      <c r="I176" s="35">
        <v>695</v>
      </c>
      <c r="J176" s="35">
        <v>50</v>
      </c>
      <c r="K176" s="36"/>
      <c r="L176" s="36"/>
      <c r="M176" s="36"/>
      <c r="N176" s="36"/>
      <c r="O176" s="36"/>
      <c r="P176" s="36"/>
      <c r="Q176" s="36"/>
      <c r="R176" s="36"/>
      <c r="S176" s="36"/>
      <c r="T176" s="36"/>
    </row>
    <row r="177" spans="1:20" ht="15.75">
      <c r="A177" s="13">
        <v>46874</v>
      </c>
      <c r="B177" s="44">
        <v>31</v>
      </c>
      <c r="C177" s="35">
        <v>194.20500000000001</v>
      </c>
      <c r="D177" s="35">
        <v>267.46600000000001</v>
      </c>
      <c r="E177" s="41">
        <v>812.32899999999995</v>
      </c>
      <c r="F177" s="35">
        <v>1274</v>
      </c>
      <c r="G177" s="35">
        <v>75</v>
      </c>
      <c r="H177" s="43">
        <v>600</v>
      </c>
      <c r="I177" s="35">
        <v>695</v>
      </c>
      <c r="J177" s="35">
        <v>50</v>
      </c>
      <c r="K177" s="36"/>
      <c r="L177" s="36"/>
      <c r="M177" s="36"/>
      <c r="N177" s="36"/>
      <c r="O177" s="36"/>
      <c r="P177" s="36"/>
      <c r="Q177" s="36"/>
      <c r="R177" s="36"/>
      <c r="S177" s="36"/>
      <c r="T177" s="36"/>
    </row>
    <row r="178" spans="1:20" ht="15.75">
      <c r="A178" s="13">
        <v>46905</v>
      </c>
      <c r="B178" s="44">
        <v>30</v>
      </c>
      <c r="C178" s="35">
        <v>194.20500000000001</v>
      </c>
      <c r="D178" s="35">
        <v>267.46600000000001</v>
      </c>
      <c r="E178" s="41">
        <v>812.32899999999995</v>
      </c>
      <c r="F178" s="35">
        <v>1274</v>
      </c>
      <c r="G178" s="35">
        <v>50</v>
      </c>
      <c r="H178" s="43">
        <v>600</v>
      </c>
      <c r="I178" s="35">
        <v>695</v>
      </c>
      <c r="J178" s="35">
        <v>50</v>
      </c>
      <c r="K178" s="36"/>
      <c r="L178" s="36"/>
      <c r="M178" s="36"/>
      <c r="N178" s="36"/>
      <c r="O178" s="36"/>
      <c r="P178" s="36"/>
      <c r="Q178" s="36"/>
      <c r="R178" s="36"/>
      <c r="S178" s="36"/>
      <c r="T178" s="36"/>
    </row>
    <row r="179" spans="1:20" ht="15.75">
      <c r="A179" s="13">
        <v>46935</v>
      </c>
      <c r="B179" s="44">
        <v>31</v>
      </c>
      <c r="C179" s="35">
        <v>194.20500000000001</v>
      </c>
      <c r="D179" s="35">
        <v>267.46600000000001</v>
      </c>
      <c r="E179" s="41">
        <v>812.32899999999995</v>
      </c>
      <c r="F179" s="35">
        <v>1274</v>
      </c>
      <c r="G179" s="35">
        <v>50</v>
      </c>
      <c r="H179" s="43">
        <v>600</v>
      </c>
      <c r="I179" s="35">
        <v>695</v>
      </c>
      <c r="J179" s="35">
        <v>0</v>
      </c>
      <c r="K179" s="36"/>
      <c r="L179" s="36"/>
      <c r="M179" s="36"/>
      <c r="N179" s="36"/>
      <c r="O179" s="36"/>
      <c r="P179" s="36"/>
      <c r="Q179" s="36"/>
      <c r="R179" s="36"/>
      <c r="S179" s="36"/>
      <c r="T179" s="36"/>
    </row>
    <row r="180" spans="1:20" ht="15.75">
      <c r="A180" s="13">
        <v>46966</v>
      </c>
      <c r="B180" s="44">
        <v>31</v>
      </c>
      <c r="C180" s="35">
        <v>194.20500000000001</v>
      </c>
      <c r="D180" s="35">
        <v>267.46600000000001</v>
      </c>
      <c r="E180" s="41">
        <v>812.32899999999995</v>
      </c>
      <c r="F180" s="35">
        <v>1274</v>
      </c>
      <c r="G180" s="35">
        <v>50</v>
      </c>
      <c r="H180" s="43">
        <v>600</v>
      </c>
      <c r="I180" s="35">
        <v>695</v>
      </c>
      <c r="J180" s="35">
        <v>0</v>
      </c>
      <c r="K180" s="36"/>
      <c r="L180" s="36"/>
      <c r="M180" s="36"/>
      <c r="N180" s="36"/>
      <c r="O180" s="36"/>
      <c r="P180" s="36"/>
      <c r="Q180" s="36"/>
      <c r="R180" s="36"/>
      <c r="S180" s="36"/>
      <c r="T180" s="36"/>
    </row>
    <row r="181" spans="1:20" ht="15.75">
      <c r="A181" s="13">
        <v>46997</v>
      </c>
      <c r="B181" s="44">
        <v>30</v>
      </c>
      <c r="C181" s="35">
        <v>194.20500000000001</v>
      </c>
      <c r="D181" s="35">
        <v>267.46600000000001</v>
      </c>
      <c r="E181" s="41">
        <v>812.32899999999995</v>
      </c>
      <c r="F181" s="35">
        <v>1274</v>
      </c>
      <c r="G181" s="35">
        <v>50</v>
      </c>
      <c r="H181" s="43">
        <v>600</v>
      </c>
      <c r="I181" s="35">
        <v>695</v>
      </c>
      <c r="J181" s="35">
        <v>0</v>
      </c>
      <c r="K181" s="36"/>
      <c r="L181" s="36"/>
      <c r="M181" s="36"/>
      <c r="N181" s="36"/>
      <c r="O181" s="36"/>
      <c r="P181" s="36"/>
      <c r="Q181" s="36"/>
      <c r="R181" s="36"/>
      <c r="S181" s="36"/>
      <c r="T181" s="36"/>
    </row>
    <row r="182" spans="1:20" ht="15.75">
      <c r="A182" s="13">
        <v>47027</v>
      </c>
      <c r="B182" s="44">
        <v>31</v>
      </c>
      <c r="C182" s="35">
        <v>131.881</v>
      </c>
      <c r="D182" s="35">
        <v>277.16699999999997</v>
      </c>
      <c r="E182" s="41">
        <v>829.952</v>
      </c>
      <c r="F182" s="35">
        <v>1239</v>
      </c>
      <c r="G182" s="35">
        <v>75</v>
      </c>
      <c r="H182" s="43">
        <v>600</v>
      </c>
      <c r="I182" s="35">
        <v>695</v>
      </c>
      <c r="J182" s="35">
        <v>0</v>
      </c>
      <c r="K182" s="36"/>
      <c r="L182" s="36"/>
      <c r="M182" s="36"/>
      <c r="N182" s="36"/>
      <c r="O182" s="36"/>
      <c r="P182" s="36"/>
      <c r="Q182" s="36"/>
      <c r="R182" s="36"/>
      <c r="S182" s="36"/>
      <c r="T182" s="36"/>
    </row>
    <row r="183" spans="1:20" ht="15.75">
      <c r="A183" s="13">
        <v>47058</v>
      </c>
      <c r="B183" s="44">
        <v>30</v>
      </c>
      <c r="C183" s="35">
        <v>122.58</v>
      </c>
      <c r="D183" s="35">
        <v>297.94099999999997</v>
      </c>
      <c r="E183" s="41">
        <v>729.47900000000004</v>
      </c>
      <c r="F183" s="35">
        <v>1150</v>
      </c>
      <c r="G183" s="35">
        <v>100</v>
      </c>
      <c r="H183" s="43">
        <v>600</v>
      </c>
      <c r="I183" s="35">
        <v>695</v>
      </c>
      <c r="J183" s="35">
        <v>50</v>
      </c>
      <c r="K183" s="36"/>
      <c r="L183" s="36"/>
      <c r="M183" s="36"/>
      <c r="N183" s="36"/>
      <c r="O183" s="36"/>
      <c r="P183" s="36"/>
      <c r="Q183" s="36"/>
      <c r="R183" s="36"/>
      <c r="S183" s="36"/>
      <c r="T183" s="36"/>
    </row>
    <row r="184" spans="1:20" ht="15.75">
      <c r="A184" s="13">
        <v>47088</v>
      </c>
      <c r="B184" s="44">
        <v>31</v>
      </c>
      <c r="C184" s="35">
        <v>122.58</v>
      </c>
      <c r="D184" s="35">
        <v>297.94099999999997</v>
      </c>
      <c r="E184" s="41">
        <v>729.47900000000004</v>
      </c>
      <c r="F184" s="35">
        <v>1150</v>
      </c>
      <c r="G184" s="35">
        <v>100</v>
      </c>
      <c r="H184" s="43">
        <v>600</v>
      </c>
      <c r="I184" s="35">
        <v>695</v>
      </c>
      <c r="J184" s="35">
        <v>50</v>
      </c>
      <c r="K184" s="36"/>
      <c r="L184" s="36"/>
      <c r="M184" s="36"/>
      <c r="N184" s="36"/>
      <c r="O184" s="36"/>
      <c r="P184" s="36"/>
      <c r="Q184" s="36"/>
      <c r="R184" s="36"/>
      <c r="S184" s="36"/>
      <c r="T184" s="36"/>
    </row>
    <row r="185" spans="1:20" ht="15.75">
      <c r="A185" s="13">
        <v>47119</v>
      </c>
      <c r="B185" s="44">
        <v>31</v>
      </c>
      <c r="C185" s="35">
        <v>122.58</v>
      </c>
      <c r="D185" s="35">
        <v>297.94099999999997</v>
      </c>
      <c r="E185" s="41">
        <v>729.47900000000004</v>
      </c>
      <c r="F185" s="35">
        <v>1150</v>
      </c>
      <c r="G185" s="35">
        <v>100</v>
      </c>
      <c r="H185" s="43">
        <v>600</v>
      </c>
      <c r="I185" s="35">
        <v>695</v>
      </c>
      <c r="J185" s="35">
        <v>50</v>
      </c>
      <c r="K185" s="36"/>
      <c r="L185" s="36"/>
      <c r="M185" s="36"/>
      <c r="N185" s="36"/>
      <c r="O185" s="36"/>
      <c r="P185" s="36"/>
      <c r="Q185" s="36"/>
      <c r="R185" s="36"/>
      <c r="S185" s="36"/>
      <c r="T185" s="36"/>
    </row>
    <row r="186" spans="1:20" ht="15.75">
      <c r="A186" s="13">
        <v>47150</v>
      </c>
      <c r="B186" s="44">
        <v>28</v>
      </c>
      <c r="C186" s="35">
        <v>122.58</v>
      </c>
      <c r="D186" s="35">
        <v>297.94099999999997</v>
      </c>
      <c r="E186" s="41">
        <v>729.47900000000004</v>
      </c>
      <c r="F186" s="35">
        <v>1150</v>
      </c>
      <c r="G186" s="35">
        <v>100</v>
      </c>
      <c r="H186" s="43">
        <v>600</v>
      </c>
      <c r="I186" s="35">
        <v>695</v>
      </c>
      <c r="J186" s="35">
        <v>50</v>
      </c>
      <c r="K186" s="36"/>
      <c r="L186" s="36"/>
      <c r="M186" s="36"/>
      <c r="N186" s="36"/>
      <c r="O186" s="36"/>
      <c r="P186" s="36"/>
      <c r="Q186" s="36"/>
      <c r="R186" s="36"/>
      <c r="S186" s="36"/>
      <c r="T186" s="36"/>
    </row>
    <row r="187" spans="1:20" ht="15.75">
      <c r="A187" s="13">
        <v>47178</v>
      </c>
      <c r="B187" s="44">
        <v>31</v>
      </c>
      <c r="C187" s="35">
        <v>122.58</v>
      </c>
      <c r="D187" s="35">
        <v>297.94099999999997</v>
      </c>
      <c r="E187" s="41">
        <v>729.47900000000004</v>
      </c>
      <c r="F187" s="35">
        <v>1150</v>
      </c>
      <c r="G187" s="35">
        <v>100</v>
      </c>
      <c r="H187" s="43">
        <v>600</v>
      </c>
      <c r="I187" s="35">
        <v>695</v>
      </c>
      <c r="J187" s="35">
        <v>50</v>
      </c>
      <c r="K187" s="36"/>
      <c r="L187" s="36"/>
      <c r="M187" s="36"/>
      <c r="N187" s="36"/>
      <c r="O187" s="36"/>
      <c r="P187" s="36"/>
      <c r="Q187" s="36"/>
      <c r="R187" s="36"/>
      <c r="S187" s="36"/>
      <c r="T187" s="36"/>
    </row>
    <row r="188" spans="1:20" ht="15.75">
      <c r="A188" s="13">
        <v>47209</v>
      </c>
      <c r="B188" s="44">
        <v>30</v>
      </c>
      <c r="C188" s="35">
        <v>141.29300000000001</v>
      </c>
      <c r="D188" s="35">
        <v>267.99299999999999</v>
      </c>
      <c r="E188" s="41">
        <v>829.71400000000006</v>
      </c>
      <c r="F188" s="35">
        <v>1239</v>
      </c>
      <c r="G188" s="35">
        <v>100</v>
      </c>
      <c r="H188" s="43">
        <v>600</v>
      </c>
      <c r="I188" s="35">
        <v>695</v>
      </c>
      <c r="J188" s="35">
        <v>50</v>
      </c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1:20" ht="15.75">
      <c r="A189" s="13">
        <v>47239</v>
      </c>
      <c r="B189" s="44">
        <v>31</v>
      </c>
      <c r="C189" s="35">
        <v>194.20500000000001</v>
      </c>
      <c r="D189" s="35">
        <v>267.46600000000001</v>
      </c>
      <c r="E189" s="41">
        <v>812.32899999999995</v>
      </c>
      <c r="F189" s="35">
        <v>1274</v>
      </c>
      <c r="G189" s="35">
        <v>75</v>
      </c>
      <c r="H189" s="43">
        <v>600</v>
      </c>
      <c r="I189" s="35">
        <v>695</v>
      </c>
      <c r="J189" s="35">
        <v>50</v>
      </c>
      <c r="K189" s="36"/>
      <c r="L189" s="36"/>
      <c r="M189" s="36"/>
      <c r="N189" s="36"/>
      <c r="O189" s="36"/>
      <c r="P189" s="36"/>
      <c r="Q189" s="36"/>
      <c r="R189" s="36"/>
      <c r="S189" s="36"/>
      <c r="T189" s="36"/>
    </row>
    <row r="190" spans="1:20" ht="15.75">
      <c r="A190" s="13">
        <v>47270</v>
      </c>
      <c r="B190" s="44">
        <v>30</v>
      </c>
      <c r="C190" s="35">
        <v>194.20500000000001</v>
      </c>
      <c r="D190" s="35">
        <v>267.46600000000001</v>
      </c>
      <c r="E190" s="41">
        <v>812.32899999999995</v>
      </c>
      <c r="F190" s="35">
        <v>1274</v>
      </c>
      <c r="G190" s="35">
        <v>50</v>
      </c>
      <c r="H190" s="43">
        <v>600</v>
      </c>
      <c r="I190" s="35">
        <v>695</v>
      </c>
      <c r="J190" s="35">
        <v>50</v>
      </c>
      <c r="K190" s="36"/>
      <c r="L190" s="36"/>
      <c r="M190" s="36"/>
      <c r="N190" s="36"/>
      <c r="O190" s="36"/>
      <c r="P190" s="36"/>
      <c r="Q190" s="36"/>
      <c r="R190" s="36"/>
      <c r="S190" s="36"/>
      <c r="T190" s="36"/>
    </row>
    <row r="191" spans="1:20" ht="15.75">
      <c r="A191" s="13">
        <v>47300</v>
      </c>
      <c r="B191" s="44">
        <v>31</v>
      </c>
      <c r="C191" s="35">
        <v>194.20500000000001</v>
      </c>
      <c r="D191" s="35">
        <v>267.46600000000001</v>
      </c>
      <c r="E191" s="41">
        <v>812.32899999999995</v>
      </c>
      <c r="F191" s="35">
        <v>1274</v>
      </c>
      <c r="G191" s="35">
        <v>50</v>
      </c>
      <c r="H191" s="43">
        <v>600</v>
      </c>
      <c r="I191" s="35">
        <v>695</v>
      </c>
      <c r="J191" s="35">
        <v>0</v>
      </c>
      <c r="K191" s="36"/>
      <c r="L191" s="36"/>
      <c r="M191" s="36"/>
      <c r="N191" s="36"/>
      <c r="O191" s="36"/>
      <c r="P191" s="36"/>
      <c r="Q191" s="36"/>
      <c r="R191" s="36"/>
      <c r="S191" s="36"/>
      <c r="T191" s="36"/>
    </row>
    <row r="192" spans="1:20" ht="15.75">
      <c r="A192" s="13">
        <v>47331</v>
      </c>
      <c r="B192" s="44">
        <v>31</v>
      </c>
      <c r="C192" s="35">
        <v>194.20500000000001</v>
      </c>
      <c r="D192" s="35">
        <v>267.46600000000001</v>
      </c>
      <c r="E192" s="41">
        <v>812.32899999999995</v>
      </c>
      <c r="F192" s="35">
        <v>1274</v>
      </c>
      <c r="G192" s="35">
        <v>50</v>
      </c>
      <c r="H192" s="43">
        <v>600</v>
      </c>
      <c r="I192" s="35">
        <v>695</v>
      </c>
      <c r="J192" s="35">
        <v>0</v>
      </c>
      <c r="K192" s="36"/>
      <c r="L192" s="36"/>
      <c r="M192" s="36"/>
      <c r="N192" s="36"/>
      <c r="O192" s="36"/>
      <c r="P192" s="36"/>
      <c r="Q192" s="36"/>
      <c r="R192" s="36"/>
      <c r="S192" s="36"/>
      <c r="T192" s="36"/>
    </row>
    <row r="193" spans="1:20" ht="15.75">
      <c r="A193" s="13">
        <v>47362</v>
      </c>
      <c r="B193" s="44">
        <v>30</v>
      </c>
      <c r="C193" s="35">
        <v>194.20500000000001</v>
      </c>
      <c r="D193" s="35">
        <v>267.46600000000001</v>
      </c>
      <c r="E193" s="41">
        <v>812.32899999999995</v>
      </c>
      <c r="F193" s="35">
        <v>1274</v>
      </c>
      <c r="G193" s="35">
        <v>50</v>
      </c>
      <c r="H193" s="43">
        <v>600</v>
      </c>
      <c r="I193" s="35">
        <v>695</v>
      </c>
      <c r="J193" s="35">
        <v>0</v>
      </c>
      <c r="K193" s="36"/>
      <c r="L193" s="36"/>
      <c r="M193" s="36"/>
      <c r="N193" s="36"/>
      <c r="O193" s="36"/>
      <c r="P193" s="36"/>
      <c r="Q193" s="36"/>
      <c r="R193" s="36"/>
      <c r="S193" s="36"/>
      <c r="T193" s="36"/>
    </row>
    <row r="194" spans="1:20" ht="15.75">
      <c r="A194" s="13">
        <v>47392</v>
      </c>
      <c r="B194" s="44">
        <v>31</v>
      </c>
      <c r="C194" s="35">
        <v>131.881</v>
      </c>
      <c r="D194" s="35">
        <v>277.16699999999997</v>
      </c>
      <c r="E194" s="41">
        <v>829.952</v>
      </c>
      <c r="F194" s="35">
        <v>1239</v>
      </c>
      <c r="G194" s="35">
        <v>75</v>
      </c>
      <c r="H194" s="43">
        <v>600</v>
      </c>
      <c r="I194" s="35">
        <v>695</v>
      </c>
      <c r="J194" s="35">
        <v>0</v>
      </c>
      <c r="K194" s="36"/>
      <c r="L194" s="36"/>
      <c r="M194" s="36"/>
      <c r="N194" s="36"/>
      <c r="O194" s="36"/>
      <c r="P194" s="36"/>
      <c r="Q194" s="36"/>
      <c r="R194" s="36"/>
      <c r="S194" s="36"/>
      <c r="T194" s="36"/>
    </row>
    <row r="195" spans="1:20" ht="15.75">
      <c r="A195" s="13">
        <v>47423</v>
      </c>
      <c r="B195" s="44">
        <v>30</v>
      </c>
      <c r="C195" s="35">
        <v>122.58</v>
      </c>
      <c r="D195" s="35">
        <v>297.94099999999997</v>
      </c>
      <c r="E195" s="41">
        <v>729.47900000000004</v>
      </c>
      <c r="F195" s="35">
        <v>1150</v>
      </c>
      <c r="G195" s="35">
        <v>100</v>
      </c>
      <c r="H195" s="43">
        <v>600</v>
      </c>
      <c r="I195" s="35">
        <v>695</v>
      </c>
      <c r="J195" s="35">
        <v>50</v>
      </c>
      <c r="K195" s="36"/>
      <c r="L195" s="36"/>
      <c r="M195" s="36"/>
      <c r="N195" s="36"/>
      <c r="O195" s="36"/>
      <c r="P195" s="36"/>
      <c r="Q195" s="36"/>
      <c r="R195" s="36"/>
      <c r="S195" s="36"/>
      <c r="T195" s="36"/>
    </row>
    <row r="196" spans="1:20" ht="15.75">
      <c r="A196" s="13">
        <v>47453</v>
      </c>
      <c r="B196" s="44">
        <v>31</v>
      </c>
      <c r="C196" s="35">
        <v>122.58</v>
      </c>
      <c r="D196" s="35">
        <v>297.94099999999997</v>
      </c>
      <c r="E196" s="41">
        <v>729.47900000000004</v>
      </c>
      <c r="F196" s="35">
        <v>1150</v>
      </c>
      <c r="G196" s="35">
        <v>100</v>
      </c>
      <c r="H196" s="43">
        <v>600</v>
      </c>
      <c r="I196" s="35">
        <v>695</v>
      </c>
      <c r="J196" s="35">
        <v>50</v>
      </c>
      <c r="K196" s="36"/>
      <c r="L196" s="36"/>
      <c r="M196" s="36"/>
      <c r="N196" s="36"/>
      <c r="O196" s="36"/>
      <c r="P196" s="36"/>
      <c r="Q196" s="36"/>
      <c r="R196" s="36"/>
      <c r="S196" s="36"/>
      <c r="T196" s="36"/>
    </row>
    <row r="197" spans="1:20" ht="15.75">
      <c r="A197" s="13">
        <v>47484</v>
      </c>
      <c r="B197" s="44">
        <v>31</v>
      </c>
      <c r="C197" s="35">
        <v>122.58</v>
      </c>
      <c r="D197" s="35">
        <v>297.94099999999997</v>
      </c>
      <c r="E197" s="41">
        <v>729.47900000000004</v>
      </c>
      <c r="F197" s="35">
        <v>1150</v>
      </c>
      <c r="G197" s="35">
        <v>100</v>
      </c>
      <c r="H197" s="43">
        <v>600</v>
      </c>
      <c r="I197" s="35">
        <v>695</v>
      </c>
      <c r="J197" s="35">
        <v>50</v>
      </c>
      <c r="K197" s="36"/>
      <c r="L197" s="36"/>
      <c r="M197" s="36"/>
      <c r="N197" s="36"/>
      <c r="O197" s="36"/>
      <c r="P197" s="36"/>
      <c r="Q197" s="36"/>
      <c r="R197" s="36"/>
      <c r="S197" s="36"/>
      <c r="T197" s="36"/>
    </row>
    <row r="198" spans="1:20" ht="15.75">
      <c r="A198" s="13">
        <v>47515</v>
      </c>
      <c r="B198" s="44">
        <v>28</v>
      </c>
      <c r="C198" s="35">
        <v>122.58</v>
      </c>
      <c r="D198" s="35">
        <v>297.94099999999997</v>
      </c>
      <c r="E198" s="41">
        <v>729.47900000000004</v>
      </c>
      <c r="F198" s="35">
        <v>1150</v>
      </c>
      <c r="G198" s="35">
        <v>100</v>
      </c>
      <c r="H198" s="43">
        <v>600</v>
      </c>
      <c r="I198" s="35">
        <v>695</v>
      </c>
      <c r="J198" s="35">
        <v>50</v>
      </c>
      <c r="K198" s="36"/>
      <c r="L198" s="36"/>
      <c r="M198" s="36"/>
      <c r="N198" s="36"/>
      <c r="O198" s="36"/>
      <c r="P198" s="36"/>
      <c r="Q198" s="36"/>
      <c r="R198" s="36"/>
      <c r="S198" s="36"/>
      <c r="T198" s="36"/>
    </row>
    <row r="199" spans="1:20" ht="15.75">
      <c r="A199" s="13">
        <v>47543</v>
      </c>
      <c r="B199" s="44">
        <v>31</v>
      </c>
      <c r="C199" s="35">
        <v>122.58</v>
      </c>
      <c r="D199" s="35">
        <v>297.94099999999997</v>
      </c>
      <c r="E199" s="41">
        <v>729.47900000000004</v>
      </c>
      <c r="F199" s="35">
        <v>1150</v>
      </c>
      <c r="G199" s="35">
        <v>100</v>
      </c>
      <c r="H199" s="43">
        <v>600</v>
      </c>
      <c r="I199" s="35">
        <v>695</v>
      </c>
      <c r="J199" s="35">
        <v>50</v>
      </c>
      <c r="K199" s="36"/>
      <c r="L199" s="36"/>
      <c r="M199" s="36"/>
      <c r="N199" s="36"/>
      <c r="O199" s="36"/>
      <c r="P199" s="36"/>
      <c r="Q199" s="36"/>
      <c r="R199" s="36"/>
      <c r="S199" s="36"/>
      <c r="T199" s="36"/>
    </row>
    <row r="200" spans="1:20" ht="15.75">
      <c r="A200" s="13">
        <v>47574</v>
      </c>
      <c r="B200" s="44">
        <v>30</v>
      </c>
      <c r="C200" s="35">
        <v>141.29300000000001</v>
      </c>
      <c r="D200" s="35">
        <v>267.99299999999999</v>
      </c>
      <c r="E200" s="41">
        <v>829.71400000000006</v>
      </c>
      <c r="F200" s="35">
        <v>1239</v>
      </c>
      <c r="G200" s="35">
        <v>100</v>
      </c>
      <c r="H200" s="43">
        <v>600</v>
      </c>
      <c r="I200" s="35">
        <v>695</v>
      </c>
      <c r="J200" s="35">
        <v>50</v>
      </c>
      <c r="K200" s="36"/>
      <c r="L200" s="36"/>
      <c r="M200" s="36"/>
      <c r="N200" s="36"/>
      <c r="O200" s="36"/>
      <c r="P200" s="36"/>
      <c r="Q200" s="36"/>
      <c r="R200" s="36"/>
      <c r="S200" s="36"/>
      <c r="T200" s="36"/>
    </row>
    <row r="201" spans="1:20" ht="15.75">
      <c r="A201" s="13">
        <v>47604</v>
      </c>
      <c r="B201" s="44">
        <v>31</v>
      </c>
      <c r="C201" s="35">
        <v>194.20500000000001</v>
      </c>
      <c r="D201" s="35">
        <v>267.46600000000001</v>
      </c>
      <c r="E201" s="41">
        <v>812.32899999999995</v>
      </c>
      <c r="F201" s="35">
        <v>1274</v>
      </c>
      <c r="G201" s="35">
        <v>75</v>
      </c>
      <c r="H201" s="43">
        <v>600</v>
      </c>
      <c r="I201" s="35">
        <v>695</v>
      </c>
      <c r="J201" s="35">
        <v>50</v>
      </c>
      <c r="K201" s="36"/>
      <c r="L201" s="36"/>
      <c r="M201" s="36"/>
      <c r="N201" s="36"/>
      <c r="O201" s="36"/>
      <c r="P201" s="36"/>
      <c r="Q201" s="36"/>
      <c r="R201" s="36"/>
      <c r="S201" s="36"/>
      <c r="T201" s="36"/>
    </row>
    <row r="202" spans="1:20" ht="15.75">
      <c r="A202" s="13">
        <v>47635</v>
      </c>
      <c r="B202" s="44">
        <v>30</v>
      </c>
      <c r="C202" s="35">
        <v>194.20500000000001</v>
      </c>
      <c r="D202" s="35">
        <v>267.46600000000001</v>
      </c>
      <c r="E202" s="41">
        <v>812.32899999999995</v>
      </c>
      <c r="F202" s="35">
        <v>1274</v>
      </c>
      <c r="G202" s="35">
        <v>50</v>
      </c>
      <c r="H202" s="43">
        <v>600</v>
      </c>
      <c r="I202" s="35">
        <v>695</v>
      </c>
      <c r="J202" s="35">
        <v>50</v>
      </c>
      <c r="K202" s="36"/>
      <c r="L202" s="36"/>
      <c r="M202" s="36"/>
      <c r="N202" s="36"/>
      <c r="O202" s="36"/>
      <c r="P202" s="36"/>
      <c r="Q202" s="36"/>
      <c r="R202" s="36"/>
      <c r="S202" s="36"/>
      <c r="T202" s="36"/>
    </row>
    <row r="203" spans="1:20" ht="15.75">
      <c r="A203" s="13">
        <v>47665</v>
      </c>
      <c r="B203" s="44">
        <v>31</v>
      </c>
      <c r="C203" s="35">
        <v>194.20500000000001</v>
      </c>
      <c r="D203" s="35">
        <v>267.46600000000001</v>
      </c>
      <c r="E203" s="41">
        <v>812.32899999999995</v>
      </c>
      <c r="F203" s="35">
        <v>1274</v>
      </c>
      <c r="G203" s="35">
        <v>50</v>
      </c>
      <c r="H203" s="43">
        <v>600</v>
      </c>
      <c r="I203" s="35">
        <v>695</v>
      </c>
      <c r="J203" s="35">
        <v>0</v>
      </c>
      <c r="K203" s="36"/>
      <c r="L203" s="36"/>
      <c r="M203" s="36"/>
      <c r="N203" s="36"/>
      <c r="O203" s="36"/>
      <c r="P203" s="36"/>
      <c r="Q203" s="36"/>
      <c r="R203" s="36"/>
      <c r="S203" s="36"/>
      <c r="T203" s="36"/>
    </row>
    <row r="204" spans="1:20" ht="15.75">
      <c r="A204" s="13">
        <v>47696</v>
      </c>
      <c r="B204" s="44">
        <v>31</v>
      </c>
      <c r="C204" s="35">
        <v>194.20500000000001</v>
      </c>
      <c r="D204" s="35">
        <v>267.46600000000001</v>
      </c>
      <c r="E204" s="41">
        <v>812.32899999999995</v>
      </c>
      <c r="F204" s="35">
        <v>1274</v>
      </c>
      <c r="G204" s="35">
        <v>50</v>
      </c>
      <c r="H204" s="43">
        <v>600</v>
      </c>
      <c r="I204" s="35">
        <v>695</v>
      </c>
      <c r="J204" s="35">
        <v>0</v>
      </c>
      <c r="K204" s="36"/>
      <c r="L204" s="36"/>
      <c r="M204" s="36"/>
      <c r="N204" s="36"/>
      <c r="O204" s="36"/>
      <c r="P204" s="36"/>
      <c r="Q204" s="36"/>
      <c r="R204" s="36"/>
      <c r="S204" s="36"/>
      <c r="T204" s="36"/>
    </row>
    <row r="205" spans="1:20" ht="15.75">
      <c r="A205" s="13">
        <v>47727</v>
      </c>
      <c r="B205" s="44">
        <v>30</v>
      </c>
      <c r="C205" s="35">
        <v>194.20500000000001</v>
      </c>
      <c r="D205" s="35">
        <v>267.46600000000001</v>
      </c>
      <c r="E205" s="41">
        <v>812.32899999999995</v>
      </c>
      <c r="F205" s="35">
        <v>1274</v>
      </c>
      <c r="G205" s="35">
        <v>50</v>
      </c>
      <c r="H205" s="43">
        <v>600</v>
      </c>
      <c r="I205" s="35">
        <v>695</v>
      </c>
      <c r="J205" s="35">
        <v>0</v>
      </c>
      <c r="K205" s="36"/>
      <c r="L205" s="36"/>
      <c r="M205" s="36"/>
      <c r="N205" s="36"/>
      <c r="O205" s="36"/>
      <c r="P205" s="36"/>
      <c r="Q205" s="36"/>
      <c r="R205" s="36"/>
      <c r="S205" s="36"/>
      <c r="T205" s="36"/>
    </row>
    <row r="206" spans="1:20" ht="15.75">
      <c r="A206" s="13">
        <v>47757</v>
      </c>
      <c r="B206" s="44">
        <v>31</v>
      </c>
      <c r="C206" s="35">
        <v>131.881</v>
      </c>
      <c r="D206" s="35">
        <v>277.16699999999997</v>
      </c>
      <c r="E206" s="41">
        <v>829.952</v>
      </c>
      <c r="F206" s="35">
        <v>1239</v>
      </c>
      <c r="G206" s="35">
        <v>75</v>
      </c>
      <c r="H206" s="43">
        <v>600</v>
      </c>
      <c r="I206" s="35">
        <v>695</v>
      </c>
      <c r="J206" s="35">
        <v>0</v>
      </c>
      <c r="K206" s="36"/>
      <c r="L206" s="36"/>
      <c r="M206" s="36"/>
      <c r="N206" s="36"/>
      <c r="O206" s="36"/>
      <c r="P206" s="36"/>
      <c r="Q206" s="36"/>
      <c r="R206" s="36"/>
      <c r="S206" s="36"/>
      <c r="T206" s="36"/>
    </row>
    <row r="207" spans="1:20" ht="15.75">
      <c r="A207" s="13">
        <v>47788</v>
      </c>
      <c r="B207" s="44">
        <v>30</v>
      </c>
      <c r="C207" s="35">
        <v>122.58</v>
      </c>
      <c r="D207" s="35">
        <v>297.94099999999997</v>
      </c>
      <c r="E207" s="41">
        <v>729.47900000000004</v>
      </c>
      <c r="F207" s="35">
        <v>1150</v>
      </c>
      <c r="G207" s="35">
        <v>100</v>
      </c>
      <c r="H207" s="43">
        <v>600</v>
      </c>
      <c r="I207" s="35">
        <v>695</v>
      </c>
      <c r="J207" s="35">
        <v>50</v>
      </c>
      <c r="K207" s="36"/>
      <c r="L207" s="36"/>
      <c r="M207" s="36"/>
      <c r="N207" s="36"/>
      <c r="O207" s="36"/>
      <c r="P207" s="36"/>
      <c r="Q207" s="36"/>
      <c r="R207" s="36"/>
      <c r="S207" s="36"/>
      <c r="T207" s="36"/>
    </row>
    <row r="208" spans="1:20" ht="15.75">
      <c r="A208" s="13">
        <v>47818</v>
      </c>
      <c r="B208" s="44">
        <v>31</v>
      </c>
      <c r="C208" s="35">
        <v>122.58</v>
      </c>
      <c r="D208" s="35">
        <v>297.94099999999997</v>
      </c>
      <c r="E208" s="41">
        <v>729.47900000000004</v>
      </c>
      <c r="F208" s="35">
        <v>1150</v>
      </c>
      <c r="G208" s="35">
        <v>100</v>
      </c>
      <c r="H208" s="43">
        <v>600</v>
      </c>
      <c r="I208" s="35">
        <v>695</v>
      </c>
      <c r="J208" s="35">
        <v>50</v>
      </c>
      <c r="K208" s="36"/>
      <c r="L208" s="36"/>
      <c r="M208" s="36"/>
      <c r="N208" s="36"/>
      <c r="O208" s="36"/>
      <c r="P208" s="36"/>
      <c r="Q208" s="36"/>
      <c r="R208" s="36"/>
      <c r="S208" s="36"/>
      <c r="T208" s="36"/>
    </row>
    <row r="209" spans="1:20" ht="15.75">
      <c r="A209" s="13">
        <v>47849</v>
      </c>
      <c r="B209" s="44">
        <v>31</v>
      </c>
      <c r="C209" s="35">
        <v>122.58</v>
      </c>
      <c r="D209" s="35">
        <v>297.94099999999997</v>
      </c>
      <c r="E209" s="41">
        <v>729.47900000000004</v>
      </c>
      <c r="F209" s="35">
        <v>1150</v>
      </c>
      <c r="G209" s="35">
        <v>100</v>
      </c>
      <c r="H209" s="43">
        <v>600</v>
      </c>
      <c r="I209" s="35">
        <v>695</v>
      </c>
      <c r="J209" s="35">
        <v>50</v>
      </c>
      <c r="K209" s="36"/>
      <c r="L209" s="36"/>
      <c r="M209" s="36"/>
      <c r="N209" s="36"/>
      <c r="O209" s="36"/>
      <c r="P209" s="36"/>
      <c r="Q209" s="36"/>
      <c r="R209" s="36"/>
      <c r="S209" s="36"/>
      <c r="T209" s="36"/>
    </row>
    <row r="210" spans="1:20" ht="15.75">
      <c r="A210" s="13">
        <v>47880</v>
      </c>
      <c r="B210" s="44">
        <v>28</v>
      </c>
      <c r="C210" s="35">
        <v>122.58</v>
      </c>
      <c r="D210" s="35">
        <v>297.94099999999997</v>
      </c>
      <c r="E210" s="41">
        <v>729.47900000000004</v>
      </c>
      <c r="F210" s="35">
        <v>1150</v>
      </c>
      <c r="G210" s="35">
        <v>100</v>
      </c>
      <c r="H210" s="43">
        <v>600</v>
      </c>
      <c r="I210" s="35">
        <v>695</v>
      </c>
      <c r="J210" s="35">
        <v>50</v>
      </c>
      <c r="K210" s="36"/>
      <c r="L210" s="36"/>
      <c r="M210" s="36"/>
      <c r="N210" s="36"/>
      <c r="O210" s="36"/>
      <c r="P210" s="36"/>
      <c r="Q210" s="36"/>
      <c r="R210" s="36"/>
      <c r="S210" s="36"/>
      <c r="T210" s="36"/>
    </row>
    <row r="211" spans="1:20" ht="15.75">
      <c r="A211" s="13">
        <v>47908</v>
      </c>
      <c r="B211" s="44">
        <v>31</v>
      </c>
      <c r="C211" s="35">
        <v>122.58</v>
      </c>
      <c r="D211" s="35">
        <v>297.94099999999997</v>
      </c>
      <c r="E211" s="41">
        <v>729.47900000000004</v>
      </c>
      <c r="F211" s="35">
        <v>1150</v>
      </c>
      <c r="G211" s="35">
        <v>100</v>
      </c>
      <c r="H211" s="43">
        <v>600</v>
      </c>
      <c r="I211" s="35">
        <v>695</v>
      </c>
      <c r="J211" s="35">
        <v>50</v>
      </c>
      <c r="K211" s="36"/>
      <c r="L211" s="36"/>
      <c r="M211" s="36"/>
      <c r="N211" s="36"/>
      <c r="O211" s="36"/>
      <c r="P211" s="36"/>
      <c r="Q211" s="36"/>
      <c r="R211" s="36"/>
      <c r="S211" s="36"/>
      <c r="T211" s="36"/>
    </row>
    <row r="212" spans="1:20" ht="15.75">
      <c r="A212" s="13">
        <v>47939</v>
      </c>
      <c r="B212" s="44">
        <v>30</v>
      </c>
      <c r="C212" s="35">
        <v>141.29300000000001</v>
      </c>
      <c r="D212" s="35">
        <v>267.99299999999999</v>
      </c>
      <c r="E212" s="41">
        <v>829.71400000000006</v>
      </c>
      <c r="F212" s="35">
        <v>1239</v>
      </c>
      <c r="G212" s="35">
        <v>100</v>
      </c>
      <c r="H212" s="43">
        <v>600</v>
      </c>
      <c r="I212" s="35">
        <v>695</v>
      </c>
      <c r="J212" s="35">
        <v>50</v>
      </c>
      <c r="K212" s="36"/>
      <c r="L212" s="36"/>
      <c r="M212" s="36"/>
      <c r="N212" s="36"/>
      <c r="O212" s="36"/>
      <c r="P212" s="36"/>
      <c r="Q212" s="36"/>
      <c r="R212" s="36"/>
      <c r="S212" s="36"/>
      <c r="T212" s="36"/>
    </row>
    <row r="213" spans="1:20" ht="15.75">
      <c r="A213" s="13">
        <v>47969</v>
      </c>
      <c r="B213" s="44">
        <v>31</v>
      </c>
      <c r="C213" s="35">
        <v>194.20500000000001</v>
      </c>
      <c r="D213" s="35">
        <v>267.46600000000001</v>
      </c>
      <c r="E213" s="41">
        <v>812.32899999999995</v>
      </c>
      <c r="F213" s="35">
        <v>1274</v>
      </c>
      <c r="G213" s="35">
        <v>75</v>
      </c>
      <c r="H213" s="43">
        <v>600</v>
      </c>
      <c r="I213" s="35">
        <v>695</v>
      </c>
      <c r="J213" s="35">
        <v>50</v>
      </c>
      <c r="K213" s="36"/>
      <c r="L213" s="36"/>
      <c r="M213" s="36"/>
      <c r="N213" s="36"/>
      <c r="O213" s="36"/>
      <c r="P213" s="36"/>
      <c r="Q213" s="36"/>
      <c r="R213" s="36"/>
      <c r="S213" s="36"/>
      <c r="T213" s="36"/>
    </row>
    <row r="214" spans="1:20" ht="15.75">
      <c r="A214" s="13">
        <v>48000</v>
      </c>
      <c r="B214" s="44">
        <v>30</v>
      </c>
      <c r="C214" s="35">
        <v>194.20500000000001</v>
      </c>
      <c r="D214" s="35">
        <v>267.46600000000001</v>
      </c>
      <c r="E214" s="41">
        <v>812.32899999999995</v>
      </c>
      <c r="F214" s="35">
        <v>1274</v>
      </c>
      <c r="G214" s="35">
        <v>50</v>
      </c>
      <c r="H214" s="43">
        <v>600</v>
      </c>
      <c r="I214" s="35">
        <v>695</v>
      </c>
      <c r="J214" s="35">
        <v>50</v>
      </c>
      <c r="K214" s="36"/>
      <c r="L214" s="36"/>
      <c r="M214" s="36"/>
      <c r="N214" s="36"/>
      <c r="O214" s="36"/>
      <c r="P214" s="36"/>
      <c r="Q214" s="36"/>
      <c r="R214" s="36"/>
      <c r="S214" s="36"/>
      <c r="T214" s="36"/>
    </row>
    <row r="215" spans="1:20" ht="15.75">
      <c r="A215" s="13">
        <v>48030</v>
      </c>
      <c r="B215" s="44">
        <v>31</v>
      </c>
      <c r="C215" s="35">
        <v>194.20500000000001</v>
      </c>
      <c r="D215" s="35">
        <v>267.46600000000001</v>
      </c>
      <c r="E215" s="41">
        <v>812.32899999999995</v>
      </c>
      <c r="F215" s="35">
        <v>1274</v>
      </c>
      <c r="G215" s="35">
        <v>50</v>
      </c>
      <c r="H215" s="43">
        <v>600</v>
      </c>
      <c r="I215" s="35">
        <v>695</v>
      </c>
      <c r="J215" s="35">
        <v>0</v>
      </c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1:20" ht="15.75">
      <c r="A216" s="13">
        <v>48061</v>
      </c>
      <c r="B216" s="44">
        <v>31</v>
      </c>
      <c r="C216" s="35">
        <v>194.20500000000001</v>
      </c>
      <c r="D216" s="35">
        <v>267.46600000000001</v>
      </c>
      <c r="E216" s="41">
        <v>812.32899999999995</v>
      </c>
      <c r="F216" s="35">
        <v>1274</v>
      </c>
      <c r="G216" s="35">
        <v>50</v>
      </c>
      <c r="H216" s="43">
        <v>600</v>
      </c>
      <c r="I216" s="35">
        <v>695</v>
      </c>
      <c r="J216" s="35">
        <v>0</v>
      </c>
      <c r="K216" s="36"/>
      <c r="L216" s="36"/>
      <c r="M216" s="36"/>
      <c r="N216" s="36"/>
      <c r="O216" s="36"/>
      <c r="P216" s="36"/>
      <c r="Q216" s="36"/>
      <c r="R216" s="36"/>
      <c r="S216" s="36"/>
      <c r="T216" s="36"/>
    </row>
    <row r="217" spans="1:20" ht="15.75">
      <c r="A217" s="13">
        <v>48092</v>
      </c>
      <c r="B217" s="44">
        <v>30</v>
      </c>
      <c r="C217" s="35">
        <v>194.20500000000001</v>
      </c>
      <c r="D217" s="35">
        <v>267.46600000000001</v>
      </c>
      <c r="E217" s="41">
        <v>812.32899999999995</v>
      </c>
      <c r="F217" s="35">
        <v>1274</v>
      </c>
      <c r="G217" s="35">
        <v>50</v>
      </c>
      <c r="H217" s="43">
        <v>600</v>
      </c>
      <c r="I217" s="35">
        <v>695</v>
      </c>
      <c r="J217" s="35">
        <v>0</v>
      </c>
      <c r="K217" s="36"/>
      <c r="L217" s="36"/>
      <c r="M217" s="36"/>
      <c r="N217" s="36"/>
      <c r="O217" s="36"/>
      <c r="P217" s="36"/>
      <c r="Q217" s="36"/>
      <c r="R217" s="36"/>
      <c r="S217" s="36"/>
      <c r="T217" s="36"/>
    </row>
    <row r="218" spans="1:20" ht="15.75">
      <c r="A218" s="13">
        <v>48122</v>
      </c>
      <c r="B218" s="44">
        <v>31</v>
      </c>
      <c r="C218" s="35">
        <v>131.881</v>
      </c>
      <c r="D218" s="35">
        <v>277.16699999999997</v>
      </c>
      <c r="E218" s="41">
        <v>829.952</v>
      </c>
      <c r="F218" s="35">
        <v>1239</v>
      </c>
      <c r="G218" s="35">
        <v>75</v>
      </c>
      <c r="H218" s="43">
        <v>600</v>
      </c>
      <c r="I218" s="35">
        <v>695</v>
      </c>
      <c r="J218" s="35">
        <v>0</v>
      </c>
      <c r="K218" s="36"/>
      <c r="L218" s="36"/>
      <c r="M218" s="36"/>
      <c r="N218" s="36"/>
      <c r="O218" s="36"/>
      <c r="P218" s="36"/>
      <c r="Q218" s="36"/>
      <c r="R218" s="36"/>
      <c r="S218" s="36"/>
      <c r="T218" s="36"/>
    </row>
    <row r="219" spans="1:20" ht="15.75">
      <c r="A219" s="13">
        <v>48153</v>
      </c>
      <c r="B219" s="44">
        <v>30</v>
      </c>
      <c r="C219" s="35">
        <v>122.58</v>
      </c>
      <c r="D219" s="35">
        <v>297.94099999999997</v>
      </c>
      <c r="E219" s="41">
        <v>729.47900000000004</v>
      </c>
      <c r="F219" s="35">
        <v>1150</v>
      </c>
      <c r="G219" s="35">
        <v>100</v>
      </c>
      <c r="H219" s="43">
        <v>600</v>
      </c>
      <c r="I219" s="35">
        <v>695</v>
      </c>
      <c r="J219" s="35">
        <v>50</v>
      </c>
      <c r="K219" s="36"/>
      <c r="L219" s="36"/>
      <c r="M219" s="36"/>
      <c r="N219" s="36"/>
      <c r="O219" s="36"/>
      <c r="P219" s="36"/>
      <c r="Q219" s="36"/>
      <c r="R219" s="36"/>
      <c r="S219" s="36"/>
      <c r="T219" s="36"/>
    </row>
    <row r="220" spans="1:20" ht="15.75">
      <c r="A220" s="13">
        <v>48183</v>
      </c>
      <c r="B220" s="44">
        <v>31</v>
      </c>
      <c r="C220" s="35">
        <v>122.58</v>
      </c>
      <c r="D220" s="35">
        <v>297.94099999999997</v>
      </c>
      <c r="E220" s="41">
        <v>729.47900000000004</v>
      </c>
      <c r="F220" s="35">
        <v>1150</v>
      </c>
      <c r="G220" s="35">
        <v>100</v>
      </c>
      <c r="H220" s="43">
        <v>600</v>
      </c>
      <c r="I220" s="35">
        <v>695</v>
      </c>
      <c r="J220" s="35">
        <v>50</v>
      </c>
      <c r="K220" s="36"/>
      <c r="L220" s="36"/>
      <c r="M220" s="36"/>
      <c r="N220" s="36"/>
      <c r="O220" s="36"/>
      <c r="P220" s="36"/>
      <c r="Q220" s="36"/>
      <c r="R220" s="36"/>
      <c r="S220" s="36"/>
      <c r="T220" s="36"/>
    </row>
    <row r="221" spans="1:20" ht="15.75">
      <c r="A221" s="13">
        <v>48214</v>
      </c>
      <c r="B221" s="44">
        <v>31</v>
      </c>
      <c r="C221" s="35">
        <v>122.58</v>
      </c>
      <c r="D221" s="35">
        <v>297.94099999999997</v>
      </c>
      <c r="E221" s="41">
        <v>729.47900000000004</v>
      </c>
      <c r="F221" s="35">
        <v>1150</v>
      </c>
      <c r="G221" s="35">
        <v>100</v>
      </c>
      <c r="H221" s="43">
        <v>600</v>
      </c>
      <c r="I221" s="35">
        <v>695</v>
      </c>
      <c r="J221" s="35">
        <v>50</v>
      </c>
      <c r="K221" s="36"/>
      <c r="L221" s="36"/>
      <c r="M221" s="36"/>
      <c r="N221" s="36"/>
      <c r="O221" s="36"/>
      <c r="P221" s="36"/>
      <c r="Q221" s="36"/>
      <c r="R221" s="36"/>
      <c r="S221" s="36"/>
      <c r="T221" s="36"/>
    </row>
    <row r="222" spans="1:20" ht="15.75">
      <c r="A222" s="13">
        <v>48245</v>
      </c>
      <c r="B222" s="44">
        <v>29</v>
      </c>
      <c r="C222" s="35">
        <v>122.58</v>
      </c>
      <c r="D222" s="35">
        <v>297.94099999999997</v>
      </c>
      <c r="E222" s="41">
        <v>729.47900000000004</v>
      </c>
      <c r="F222" s="35">
        <v>1150</v>
      </c>
      <c r="G222" s="35">
        <v>100</v>
      </c>
      <c r="H222" s="43">
        <v>600</v>
      </c>
      <c r="I222" s="35">
        <v>695</v>
      </c>
      <c r="J222" s="35">
        <v>50</v>
      </c>
      <c r="K222" s="36"/>
      <c r="L222" s="36"/>
      <c r="M222" s="36"/>
      <c r="N222" s="36"/>
      <c r="O222" s="36"/>
      <c r="P222" s="36"/>
      <c r="Q222" s="36"/>
      <c r="R222" s="36"/>
      <c r="S222" s="36"/>
      <c r="T222" s="36"/>
    </row>
    <row r="223" spans="1:20" ht="15.75">
      <c r="A223" s="13">
        <v>48274</v>
      </c>
      <c r="B223" s="44">
        <v>31</v>
      </c>
      <c r="C223" s="35">
        <v>122.58</v>
      </c>
      <c r="D223" s="35">
        <v>297.94099999999997</v>
      </c>
      <c r="E223" s="41">
        <v>729.47900000000004</v>
      </c>
      <c r="F223" s="35">
        <v>1150</v>
      </c>
      <c r="G223" s="35">
        <v>100</v>
      </c>
      <c r="H223" s="43">
        <v>600</v>
      </c>
      <c r="I223" s="35">
        <v>695</v>
      </c>
      <c r="J223" s="35">
        <v>50</v>
      </c>
      <c r="K223" s="36"/>
      <c r="L223" s="36"/>
      <c r="M223" s="36"/>
      <c r="N223" s="36"/>
      <c r="O223" s="36"/>
      <c r="P223" s="36"/>
      <c r="Q223" s="36"/>
      <c r="R223" s="36"/>
      <c r="S223" s="36"/>
      <c r="T223" s="36"/>
    </row>
    <row r="224" spans="1:20" ht="15.75">
      <c r="A224" s="13">
        <v>48305</v>
      </c>
      <c r="B224" s="44">
        <v>30</v>
      </c>
      <c r="C224" s="35">
        <v>141.29300000000001</v>
      </c>
      <c r="D224" s="35">
        <v>267.99299999999999</v>
      </c>
      <c r="E224" s="41">
        <v>829.71400000000006</v>
      </c>
      <c r="F224" s="35">
        <v>1239</v>
      </c>
      <c r="G224" s="35">
        <v>100</v>
      </c>
      <c r="H224" s="43">
        <v>600</v>
      </c>
      <c r="I224" s="35">
        <v>695</v>
      </c>
      <c r="J224" s="35">
        <v>50</v>
      </c>
      <c r="K224" s="36"/>
      <c r="L224" s="36"/>
      <c r="M224" s="36"/>
      <c r="N224" s="36"/>
      <c r="O224" s="36"/>
      <c r="P224" s="36"/>
      <c r="Q224" s="36"/>
      <c r="R224" s="36"/>
      <c r="S224" s="36"/>
      <c r="T224" s="36"/>
    </row>
    <row r="225" spans="1:20" ht="15.75">
      <c r="A225" s="13">
        <v>48335</v>
      </c>
      <c r="B225" s="44">
        <v>31</v>
      </c>
      <c r="C225" s="35">
        <v>194.20500000000001</v>
      </c>
      <c r="D225" s="35">
        <v>267.46600000000001</v>
      </c>
      <c r="E225" s="41">
        <v>812.32899999999995</v>
      </c>
      <c r="F225" s="35">
        <v>1274</v>
      </c>
      <c r="G225" s="35">
        <v>75</v>
      </c>
      <c r="H225" s="43">
        <v>600</v>
      </c>
      <c r="I225" s="35">
        <v>695</v>
      </c>
      <c r="J225" s="35">
        <v>50</v>
      </c>
      <c r="K225" s="36"/>
      <c r="L225" s="36"/>
      <c r="M225" s="36"/>
      <c r="N225" s="36"/>
      <c r="O225" s="36"/>
      <c r="P225" s="36"/>
      <c r="Q225" s="36"/>
      <c r="R225" s="36"/>
      <c r="S225" s="36"/>
      <c r="T225" s="36"/>
    </row>
    <row r="226" spans="1:20" ht="15.75">
      <c r="A226" s="13">
        <v>48366</v>
      </c>
      <c r="B226" s="44">
        <v>30</v>
      </c>
      <c r="C226" s="35">
        <v>194.20500000000001</v>
      </c>
      <c r="D226" s="35">
        <v>267.46600000000001</v>
      </c>
      <c r="E226" s="41">
        <v>812.32899999999995</v>
      </c>
      <c r="F226" s="35">
        <v>1274</v>
      </c>
      <c r="G226" s="35">
        <v>50</v>
      </c>
      <c r="H226" s="43">
        <v>600</v>
      </c>
      <c r="I226" s="35">
        <v>695</v>
      </c>
      <c r="J226" s="35">
        <v>50</v>
      </c>
      <c r="K226" s="36"/>
      <c r="L226" s="36"/>
      <c r="M226" s="36"/>
      <c r="N226" s="36"/>
      <c r="O226" s="36"/>
      <c r="P226" s="36"/>
      <c r="Q226" s="36"/>
      <c r="R226" s="36"/>
      <c r="S226" s="36"/>
      <c r="T226" s="36"/>
    </row>
    <row r="227" spans="1:20" ht="15.75">
      <c r="A227" s="13">
        <v>48396</v>
      </c>
      <c r="B227" s="44">
        <v>31</v>
      </c>
      <c r="C227" s="35">
        <v>194.20500000000001</v>
      </c>
      <c r="D227" s="35">
        <v>267.46600000000001</v>
      </c>
      <c r="E227" s="41">
        <v>812.32899999999995</v>
      </c>
      <c r="F227" s="35">
        <v>1274</v>
      </c>
      <c r="G227" s="35">
        <v>50</v>
      </c>
      <c r="H227" s="43">
        <v>600</v>
      </c>
      <c r="I227" s="35">
        <v>695</v>
      </c>
      <c r="J227" s="35">
        <v>0</v>
      </c>
      <c r="K227" s="36"/>
      <c r="L227" s="36"/>
      <c r="M227" s="36"/>
      <c r="N227" s="36"/>
      <c r="O227" s="36"/>
      <c r="P227" s="36"/>
      <c r="Q227" s="36"/>
      <c r="R227" s="36"/>
      <c r="S227" s="36"/>
      <c r="T227" s="36"/>
    </row>
    <row r="228" spans="1:20" ht="15.75">
      <c r="A228" s="13">
        <v>48427</v>
      </c>
      <c r="B228" s="44">
        <v>31</v>
      </c>
      <c r="C228" s="35">
        <v>194.20500000000001</v>
      </c>
      <c r="D228" s="35">
        <v>267.46600000000001</v>
      </c>
      <c r="E228" s="41">
        <v>812.32899999999995</v>
      </c>
      <c r="F228" s="35">
        <v>1274</v>
      </c>
      <c r="G228" s="35">
        <v>50</v>
      </c>
      <c r="H228" s="43">
        <v>600</v>
      </c>
      <c r="I228" s="35">
        <v>695</v>
      </c>
      <c r="J228" s="35">
        <v>0</v>
      </c>
      <c r="K228" s="36"/>
      <c r="L228" s="36"/>
      <c r="M228" s="36"/>
      <c r="N228" s="36"/>
      <c r="O228" s="36"/>
      <c r="P228" s="36"/>
      <c r="Q228" s="36"/>
      <c r="R228" s="36"/>
      <c r="S228" s="36"/>
      <c r="T228" s="36"/>
    </row>
    <row r="229" spans="1:20" ht="15.75">
      <c r="A229" s="13">
        <v>48458</v>
      </c>
      <c r="B229" s="44">
        <v>30</v>
      </c>
      <c r="C229" s="35">
        <v>194.20500000000001</v>
      </c>
      <c r="D229" s="35">
        <v>267.46600000000001</v>
      </c>
      <c r="E229" s="41">
        <v>812.32899999999995</v>
      </c>
      <c r="F229" s="35">
        <v>1274</v>
      </c>
      <c r="G229" s="35">
        <v>50</v>
      </c>
      <c r="H229" s="43">
        <v>600</v>
      </c>
      <c r="I229" s="35">
        <v>695</v>
      </c>
      <c r="J229" s="35">
        <v>0</v>
      </c>
      <c r="K229" s="36"/>
      <c r="L229" s="36"/>
      <c r="M229" s="36"/>
      <c r="N229" s="36"/>
      <c r="O229" s="36"/>
      <c r="P229" s="36"/>
      <c r="Q229" s="36"/>
      <c r="R229" s="36"/>
      <c r="S229" s="36"/>
      <c r="T229" s="36"/>
    </row>
    <row r="230" spans="1:20" ht="15.75">
      <c r="A230" s="13">
        <v>48488</v>
      </c>
      <c r="B230" s="44">
        <v>31</v>
      </c>
      <c r="C230" s="35">
        <v>131.881</v>
      </c>
      <c r="D230" s="35">
        <v>277.16699999999997</v>
      </c>
      <c r="E230" s="41">
        <v>829.952</v>
      </c>
      <c r="F230" s="35">
        <v>1239</v>
      </c>
      <c r="G230" s="35">
        <v>75</v>
      </c>
      <c r="H230" s="43">
        <v>600</v>
      </c>
      <c r="I230" s="35">
        <v>695</v>
      </c>
      <c r="J230" s="35">
        <v>0</v>
      </c>
      <c r="K230" s="36"/>
      <c r="L230" s="36"/>
      <c r="M230" s="36"/>
      <c r="N230" s="36"/>
      <c r="O230" s="36"/>
      <c r="P230" s="36"/>
      <c r="Q230" s="36"/>
      <c r="R230" s="36"/>
      <c r="S230" s="36"/>
      <c r="T230" s="36"/>
    </row>
    <row r="231" spans="1:20" ht="15.75">
      <c r="A231" s="13">
        <v>48519</v>
      </c>
      <c r="B231" s="44">
        <v>30</v>
      </c>
      <c r="C231" s="35">
        <v>122.58</v>
      </c>
      <c r="D231" s="35">
        <v>297.94099999999997</v>
      </c>
      <c r="E231" s="41">
        <v>729.47900000000004</v>
      </c>
      <c r="F231" s="35">
        <v>1150</v>
      </c>
      <c r="G231" s="35">
        <v>100</v>
      </c>
      <c r="H231" s="43">
        <v>600</v>
      </c>
      <c r="I231" s="35">
        <v>695</v>
      </c>
      <c r="J231" s="35">
        <v>50</v>
      </c>
      <c r="K231" s="36"/>
      <c r="L231" s="36"/>
      <c r="M231" s="36"/>
      <c r="N231" s="36"/>
      <c r="O231" s="36"/>
      <c r="P231" s="36"/>
      <c r="Q231" s="36"/>
      <c r="R231" s="36"/>
      <c r="S231" s="36"/>
      <c r="T231" s="36"/>
    </row>
    <row r="232" spans="1:20" ht="15.75">
      <c r="A232" s="13">
        <v>48549</v>
      </c>
      <c r="B232" s="44">
        <v>31</v>
      </c>
      <c r="C232" s="35">
        <v>122.58</v>
      </c>
      <c r="D232" s="35">
        <v>297.94099999999997</v>
      </c>
      <c r="E232" s="41">
        <v>729.47900000000004</v>
      </c>
      <c r="F232" s="35">
        <v>1150</v>
      </c>
      <c r="G232" s="35">
        <v>100</v>
      </c>
      <c r="H232" s="43">
        <v>600</v>
      </c>
      <c r="I232" s="35">
        <v>695</v>
      </c>
      <c r="J232" s="35">
        <v>50</v>
      </c>
      <c r="K232" s="36"/>
      <c r="L232" s="36"/>
      <c r="M232" s="36"/>
      <c r="N232" s="36"/>
      <c r="O232" s="36"/>
      <c r="P232" s="36"/>
      <c r="Q232" s="36"/>
      <c r="R232" s="36"/>
      <c r="S232" s="36"/>
      <c r="T232" s="36"/>
    </row>
    <row r="233" spans="1:20" ht="15.75">
      <c r="A233" s="13">
        <v>48580</v>
      </c>
      <c r="B233" s="44">
        <v>31</v>
      </c>
      <c r="C233" s="35">
        <v>122.58</v>
      </c>
      <c r="D233" s="35">
        <v>297.94099999999997</v>
      </c>
      <c r="E233" s="41">
        <v>729.47900000000004</v>
      </c>
      <c r="F233" s="35">
        <v>1150</v>
      </c>
      <c r="G233" s="35">
        <v>100</v>
      </c>
      <c r="H233" s="43">
        <v>600</v>
      </c>
      <c r="I233" s="35">
        <v>695</v>
      </c>
      <c r="J233" s="35">
        <v>50</v>
      </c>
      <c r="K233" s="36"/>
      <c r="L233" s="36"/>
      <c r="M233" s="36"/>
      <c r="N233" s="36"/>
      <c r="O233" s="36"/>
      <c r="P233" s="36"/>
      <c r="Q233" s="36"/>
      <c r="R233" s="36"/>
      <c r="S233" s="36"/>
      <c r="T233" s="36"/>
    </row>
    <row r="234" spans="1:20" ht="15.75">
      <c r="A234" s="13">
        <v>48611</v>
      </c>
      <c r="B234" s="44">
        <v>28</v>
      </c>
      <c r="C234" s="35">
        <v>122.58</v>
      </c>
      <c r="D234" s="35">
        <v>297.94099999999997</v>
      </c>
      <c r="E234" s="41">
        <v>729.47900000000004</v>
      </c>
      <c r="F234" s="35">
        <v>1150</v>
      </c>
      <c r="G234" s="35">
        <v>100</v>
      </c>
      <c r="H234" s="43">
        <v>600</v>
      </c>
      <c r="I234" s="35">
        <v>695</v>
      </c>
      <c r="J234" s="35">
        <v>50</v>
      </c>
      <c r="K234" s="36"/>
      <c r="L234" s="36"/>
      <c r="M234" s="36"/>
      <c r="N234" s="36"/>
      <c r="O234" s="36"/>
      <c r="P234" s="36"/>
      <c r="Q234" s="36"/>
      <c r="R234" s="36"/>
      <c r="S234" s="36"/>
      <c r="T234" s="36"/>
    </row>
    <row r="235" spans="1:20" ht="15.75">
      <c r="A235" s="13">
        <v>48639</v>
      </c>
      <c r="B235" s="44">
        <v>31</v>
      </c>
      <c r="C235" s="35">
        <v>122.58</v>
      </c>
      <c r="D235" s="35">
        <v>297.94099999999997</v>
      </c>
      <c r="E235" s="41">
        <v>729.47900000000004</v>
      </c>
      <c r="F235" s="35">
        <v>1150</v>
      </c>
      <c r="G235" s="35">
        <v>100</v>
      </c>
      <c r="H235" s="43">
        <v>600</v>
      </c>
      <c r="I235" s="35">
        <v>695</v>
      </c>
      <c r="J235" s="35">
        <v>50</v>
      </c>
      <c r="K235" s="36"/>
      <c r="L235" s="36"/>
      <c r="M235" s="36"/>
      <c r="N235" s="36"/>
      <c r="O235" s="36"/>
      <c r="P235" s="36"/>
      <c r="Q235" s="36"/>
      <c r="R235" s="36"/>
      <c r="S235" s="36"/>
      <c r="T235" s="36"/>
    </row>
    <row r="236" spans="1:20" ht="15.75">
      <c r="A236" s="13">
        <v>48670</v>
      </c>
      <c r="B236" s="44">
        <v>30</v>
      </c>
      <c r="C236" s="35">
        <v>141.29300000000001</v>
      </c>
      <c r="D236" s="35">
        <v>267.99299999999999</v>
      </c>
      <c r="E236" s="41">
        <v>829.71400000000006</v>
      </c>
      <c r="F236" s="35">
        <v>1239</v>
      </c>
      <c r="G236" s="35">
        <v>100</v>
      </c>
      <c r="H236" s="43">
        <v>600</v>
      </c>
      <c r="I236" s="35">
        <v>695</v>
      </c>
      <c r="J236" s="35">
        <v>50</v>
      </c>
      <c r="K236" s="36"/>
      <c r="L236" s="36"/>
      <c r="M236" s="36"/>
      <c r="N236" s="36"/>
      <c r="O236" s="36"/>
      <c r="P236" s="36"/>
      <c r="Q236" s="36"/>
      <c r="R236" s="36"/>
      <c r="S236" s="36"/>
      <c r="T236" s="36"/>
    </row>
    <row r="237" spans="1:20" ht="15.75">
      <c r="A237" s="13">
        <v>48700</v>
      </c>
      <c r="B237" s="44">
        <v>31</v>
      </c>
      <c r="C237" s="35">
        <v>194.20500000000001</v>
      </c>
      <c r="D237" s="35">
        <v>267.46600000000001</v>
      </c>
      <c r="E237" s="41">
        <v>812.32899999999995</v>
      </c>
      <c r="F237" s="35">
        <v>1274</v>
      </c>
      <c r="G237" s="35">
        <v>75</v>
      </c>
      <c r="H237" s="43">
        <v>600</v>
      </c>
      <c r="I237" s="35">
        <v>695</v>
      </c>
      <c r="J237" s="35">
        <v>50</v>
      </c>
      <c r="K237" s="36"/>
      <c r="L237" s="36"/>
      <c r="M237" s="36"/>
      <c r="N237" s="36"/>
      <c r="O237" s="36"/>
      <c r="P237" s="36"/>
      <c r="Q237" s="36"/>
      <c r="R237" s="36"/>
      <c r="S237" s="36"/>
      <c r="T237" s="36"/>
    </row>
    <row r="238" spans="1:20" ht="15.75">
      <c r="A238" s="13">
        <v>48731</v>
      </c>
      <c r="B238" s="44">
        <v>30</v>
      </c>
      <c r="C238" s="35">
        <v>194.20500000000001</v>
      </c>
      <c r="D238" s="35">
        <v>267.46600000000001</v>
      </c>
      <c r="E238" s="41">
        <v>812.32899999999995</v>
      </c>
      <c r="F238" s="35">
        <v>1274</v>
      </c>
      <c r="G238" s="35">
        <v>50</v>
      </c>
      <c r="H238" s="43">
        <v>600</v>
      </c>
      <c r="I238" s="35">
        <v>695</v>
      </c>
      <c r="J238" s="35">
        <v>50</v>
      </c>
      <c r="K238" s="36"/>
      <c r="L238" s="36"/>
      <c r="M238" s="36"/>
      <c r="N238" s="36"/>
      <c r="O238" s="36"/>
      <c r="P238" s="36"/>
      <c r="Q238" s="36"/>
      <c r="R238" s="36"/>
      <c r="S238" s="36"/>
      <c r="T238" s="36"/>
    </row>
    <row r="239" spans="1:20" ht="15.75">
      <c r="A239" s="13">
        <v>48761</v>
      </c>
      <c r="B239" s="44">
        <v>31</v>
      </c>
      <c r="C239" s="35">
        <v>194.20500000000001</v>
      </c>
      <c r="D239" s="35">
        <v>267.46600000000001</v>
      </c>
      <c r="E239" s="41">
        <v>812.32899999999995</v>
      </c>
      <c r="F239" s="35">
        <v>1274</v>
      </c>
      <c r="G239" s="35">
        <v>50</v>
      </c>
      <c r="H239" s="43">
        <v>600</v>
      </c>
      <c r="I239" s="35">
        <v>695</v>
      </c>
      <c r="J239" s="35">
        <v>0</v>
      </c>
      <c r="K239" s="36"/>
      <c r="L239" s="36"/>
      <c r="M239" s="36"/>
      <c r="N239" s="36"/>
      <c r="O239" s="36"/>
      <c r="P239" s="36"/>
      <c r="Q239" s="36"/>
      <c r="R239" s="36"/>
      <c r="S239" s="36"/>
      <c r="T239" s="36"/>
    </row>
    <row r="240" spans="1:20" ht="15.75">
      <c r="A240" s="13">
        <v>48792</v>
      </c>
      <c r="B240" s="44">
        <v>31</v>
      </c>
      <c r="C240" s="35">
        <v>194.20500000000001</v>
      </c>
      <c r="D240" s="35">
        <v>267.46600000000001</v>
      </c>
      <c r="E240" s="41">
        <v>812.32899999999995</v>
      </c>
      <c r="F240" s="35">
        <v>1274</v>
      </c>
      <c r="G240" s="35">
        <v>50</v>
      </c>
      <c r="H240" s="43">
        <v>600</v>
      </c>
      <c r="I240" s="35">
        <v>695</v>
      </c>
      <c r="J240" s="35">
        <v>0</v>
      </c>
      <c r="K240" s="36"/>
      <c r="L240" s="36"/>
      <c r="M240" s="36"/>
      <c r="N240" s="36"/>
      <c r="O240" s="36"/>
      <c r="P240" s="36"/>
      <c r="Q240" s="36"/>
      <c r="R240" s="36"/>
      <c r="S240" s="36"/>
      <c r="T240" s="36"/>
    </row>
    <row r="241" spans="1:20" ht="15.75">
      <c r="A241" s="13">
        <v>48823</v>
      </c>
      <c r="B241" s="44">
        <v>30</v>
      </c>
      <c r="C241" s="35">
        <v>194.20500000000001</v>
      </c>
      <c r="D241" s="35">
        <v>267.46600000000001</v>
      </c>
      <c r="E241" s="41">
        <v>812.32899999999995</v>
      </c>
      <c r="F241" s="35">
        <v>1274</v>
      </c>
      <c r="G241" s="35">
        <v>50</v>
      </c>
      <c r="H241" s="43">
        <v>600</v>
      </c>
      <c r="I241" s="35">
        <v>695</v>
      </c>
      <c r="J241" s="35">
        <v>0</v>
      </c>
      <c r="K241" s="36"/>
      <c r="L241" s="36"/>
      <c r="M241" s="36"/>
      <c r="N241" s="36"/>
      <c r="O241" s="36"/>
      <c r="P241" s="36"/>
      <c r="Q241" s="36"/>
      <c r="R241" s="36"/>
      <c r="S241" s="36"/>
      <c r="T241" s="36"/>
    </row>
    <row r="242" spans="1:20" ht="15.75">
      <c r="A242" s="13">
        <v>48853</v>
      </c>
      <c r="B242" s="44">
        <v>31</v>
      </c>
      <c r="C242" s="35">
        <v>131.881</v>
      </c>
      <c r="D242" s="35">
        <v>277.16699999999997</v>
      </c>
      <c r="E242" s="41">
        <v>829.952</v>
      </c>
      <c r="F242" s="35">
        <v>1239</v>
      </c>
      <c r="G242" s="35">
        <v>75</v>
      </c>
      <c r="H242" s="43">
        <v>600</v>
      </c>
      <c r="I242" s="35">
        <v>695</v>
      </c>
      <c r="J242" s="35">
        <v>0</v>
      </c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1:20" ht="15.75">
      <c r="A243" s="13">
        <v>48884</v>
      </c>
      <c r="B243" s="44">
        <v>30</v>
      </c>
      <c r="C243" s="35">
        <v>122.58</v>
      </c>
      <c r="D243" s="35">
        <v>297.94099999999997</v>
      </c>
      <c r="E243" s="41">
        <v>729.47900000000004</v>
      </c>
      <c r="F243" s="35">
        <v>1150</v>
      </c>
      <c r="G243" s="35">
        <v>100</v>
      </c>
      <c r="H243" s="43">
        <v>600</v>
      </c>
      <c r="I243" s="35">
        <v>695</v>
      </c>
      <c r="J243" s="35">
        <v>50</v>
      </c>
      <c r="K243" s="36"/>
      <c r="L243" s="36"/>
      <c r="M243" s="36"/>
      <c r="N243" s="36"/>
      <c r="O243" s="36"/>
      <c r="P243" s="36"/>
      <c r="Q243" s="36"/>
      <c r="R243" s="36"/>
      <c r="S243" s="36"/>
      <c r="T243" s="36"/>
    </row>
    <row r="244" spans="1:20" ht="15.75">
      <c r="A244" s="13">
        <v>48914</v>
      </c>
      <c r="B244" s="44">
        <v>31</v>
      </c>
      <c r="C244" s="35">
        <v>122.58</v>
      </c>
      <c r="D244" s="35">
        <v>297.94099999999997</v>
      </c>
      <c r="E244" s="41">
        <v>729.47900000000004</v>
      </c>
      <c r="F244" s="35">
        <v>1150</v>
      </c>
      <c r="G244" s="35">
        <v>100</v>
      </c>
      <c r="H244" s="43">
        <v>600</v>
      </c>
      <c r="I244" s="35">
        <v>695</v>
      </c>
      <c r="J244" s="35">
        <v>50</v>
      </c>
      <c r="K244" s="36"/>
      <c r="L244" s="36"/>
      <c r="M244" s="36"/>
      <c r="N244" s="36"/>
      <c r="O244" s="36"/>
      <c r="P244" s="36"/>
      <c r="Q244" s="36"/>
      <c r="R244" s="36"/>
      <c r="S244" s="36"/>
      <c r="T244" s="36"/>
    </row>
    <row r="245" spans="1:20" ht="15.75">
      <c r="A245" s="13">
        <v>48945</v>
      </c>
      <c r="B245" s="44">
        <v>31</v>
      </c>
      <c r="C245" s="35">
        <v>122.58</v>
      </c>
      <c r="D245" s="35">
        <v>297.94099999999997</v>
      </c>
      <c r="E245" s="41">
        <v>729.47900000000004</v>
      </c>
      <c r="F245" s="35">
        <v>1150</v>
      </c>
      <c r="G245" s="35">
        <v>100</v>
      </c>
      <c r="H245" s="43">
        <v>600</v>
      </c>
      <c r="I245" s="35">
        <v>695</v>
      </c>
      <c r="J245" s="35">
        <v>50</v>
      </c>
      <c r="K245" s="36"/>
      <c r="L245" s="36"/>
      <c r="M245" s="36"/>
      <c r="N245" s="36"/>
      <c r="O245" s="36"/>
      <c r="P245" s="36"/>
      <c r="Q245" s="36"/>
      <c r="R245" s="36"/>
      <c r="S245" s="36"/>
      <c r="T245" s="36"/>
    </row>
    <row r="246" spans="1:20" ht="15.75">
      <c r="A246" s="13">
        <v>48976</v>
      </c>
      <c r="B246" s="44">
        <v>28</v>
      </c>
      <c r="C246" s="35">
        <v>122.58</v>
      </c>
      <c r="D246" s="35">
        <v>297.94099999999997</v>
      </c>
      <c r="E246" s="41">
        <v>729.47900000000004</v>
      </c>
      <c r="F246" s="35">
        <v>1150</v>
      </c>
      <c r="G246" s="35">
        <v>100</v>
      </c>
      <c r="H246" s="43">
        <v>600</v>
      </c>
      <c r="I246" s="35">
        <v>695</v>
      </c>
      <c r="J246" s="35">
        <v>50</v>
      </c>
      <c r="K246" s="36"/>
      <c r="L246" s="36"/>
      <c r="M246" s="36"/>
      <c r="N246" s="36"/>
      <c r="O246" s="36"/>
      <c r="P246" s="36"/>
      <c r="Q246" s="36"/>
      <c r="R246" s="36"/>
      <c r="S246" s="36"/>
      <c r="T246" s="36"/>
    </row>
    <row r="247" spans="1:20" ht="15.75">
      <c r="A247" s="13">
        <v>49004</v>
      </c>
      <c r="B247" s="44">
        <v>31</v>
      </c>
      <c r="C247" s="35">
        <v>122.58</v>
      </c>
      <c r="D247" s="35">
        <v>297.94099999999997</v>
      </c>
      <c r="E247" s="41">
        <v>729.47900000000004</v>
      </c>
      <c r="F247" s="35">
        <v>1150</v>
      </c>
      <c r="G247" s="35">
        <v>100</v>
      </c>
      <c r="H247" s="43">
        <v>600</v>
      </c>
      <c r="I247" s="35">
        <v>695</v>
      </c>
      <c r="J247" s="35">
        <v>50</v>
      </c>
      <c r="K247" s="36"/>
      <c r="L247" s="36"/>
      <c r="M247" s="36"/>
      <c r="N247" s="36"/>
      <c r="O247" s="36"/>
      <c r="P247" s="36"/>
      <c r="Q247" s="36"/>
      <c r="R247" s="36"/>
      <c r="S247" s="36"/>
      <c r="T247" s="36"/>
    </row>
    <row r="248" spans="1:20" ht="15.75">
      <c r="A248" s="13">
        <v>49035</v>
      </c>
      <c r="B248" s="44">
        <v>30</v>
      </c>
      <c r="C248" s="35">
        <v>141.29300000000001</v>
      </c>
      <c r="D248" s="35">
        <v>267.99299999999999</v>
      </c>
      <c r="E248" s="41">
        <v>829.71400000000006</v>
      </c>
      <c r="F248" s="35">
        <v>1239</v>
      </c>
      <c r="G248" s="35">
        <v>100</v>
      </c>
      <c r="H248" s="43">
        <v>600</v>
      </c>
      <c r="I248" s="35">
        <v>695</v>
      </c>
      <c r="J248" s="35">
        <v>50</v>
      </c>
      <c r="K248" s="36"/>
      <c r="L248" s="36"/>
      <c r="M248" s="36"/>
      <c r="N248" s="36"/>
      <c r="O248" s="36"/>
      <c r="P248" s="36"/>
      <c r="Q248" s="36"/>
      <c r="R248" s="36"/>
      <c r="S248" s="36"/>
      <c r="T248" s="36"/>
    </row>
    <row r="249" spans="1:20" ht="15.75">
      <c r="A249" s="13">
        <v>49065</v>
      </c>
      <c r="B249" s="44">
        <v>31</v>
      </c>
      <c r="C249" s="35">
        <v>194.20500000000001</v>
      </c>
      <c r="D249" s="35">
        <v>267.46600000000001</v>
      </c>
      <c r="E249" s="41">
        <v>812.32899999999995</v>
      </c>
      <c r="F249" s="35">
        <v>1274</v>
      </c>
      <c r="G249" s="35">
        <v>75</v>
      </c>
      <c r="H249" s="43">
        <v>600</v>
      </c>
      <c r="I249" s="35">
        <v>695</v>
      </c>
      <c r="J249" s="35">
        <v>50</v>
      </c>
      <c r="K249" s="36"/>
      <c r="L249" s="36"/>
      <c r="M249" s="36"/>
      <c r="N249" s="36"/>
      <c r="O249" s="36"/>
      <c r="P249" s="36"/>
      <c r="Q249" s="36"/>
      <c r="R249" s="36"/>
      <c r="S249" s="36"/>
      <c r="T249" s="36"/>
    </row>
    <row r="250" spans="1:20" ht="15.75">
      <c r="A250" s="13">
        <v>49096</v>
      </c>
      <c r="B250" s="44">
        <v>30</v>
      </c>
      <c r="C250" s="35">
        <v>194.20500000000001</v>
      </c>
      <c r="D250" s="35">
        <v>267.46600000000001</v>
      </c>
      <c r="E250" s="41">
        <v>812.32899999999995</v>
      </c>
      <c r="F250" s="35">
        <v>1274</v>
      </c>
      <c r="G250" s="35">
        <v>50</v>
      </c>
      <c r="H250" s="43">
        <v>600</v>
      </c>
      <c r="I250" s="35">
        <v>695</v>
      </c>
      <c r="J250" s="35">
        <v>50</v>
      </c>
      <c r="K250" s="36"/>
      <c r="L250" s="36"/>
      <c r="M250" s="36"/>
      <c r="N250" s="36"/>
      <c r="O250" s="36"/>
      <c r="P250" s="36"/>
      <c r="Q250" s="36"/>
      <c r="R250" s="36"/>
      <c r="S250" s="36"/>
      <c r="T250" s="36"/>
    </row>
    <row r="251" spans="1:20" ht="15.75">
      <c r="A251" s="13">
        <v>49126</v>
      </c>
      <c r="B251" s="44">
        <v>31</v>
      </c>
      <c r="C251" s="35">
        <v>194.20500000000001</v>
      </c>
      <c r="D251" s="35">
        <v>267.46600000000001</v>
      </c>
      <c r="E251" s="41">
        <v>812.32899999999995</v>
      </c>
      <c r="F251" s="35">
        <v>1274</v>
      </c>
      <c r="G251" s="35">
        <v>50</v>
      </c>
      <c r="H251" s="43">
        <v>600</v>
      </c>
      <c r="I251" s="35">
        <v>695</v>
      </c>
      <c r="J251" s="35">
        <v>0</v>
      </c>
      <c r="K251" s="36"/>
      <c r="L251" s="36"/>
      <c r="M251" s="36"/>
      <c r="N251" s="36"/>
      <c r="O251" s="36"/>
      <c r="P251" s="36"/>
      <c r="Q251" s="36"/>
      <c r="R251" s="36"/>
      <c r="S251" s="36"/>
      <c r="T251" s="36"/>
    </row>
    <row r="252" spans="1:20" ht="15.75">
      <c r="A252" s="13">
        <v>49157</v>
      </c>
      <c r="B252" s="44">
        <v>31</v>
      </c>
      <c r="C252" s="35">
        <v>194.20500000000001</v>
      </c>
      <c r="D252" s="35">
        <v>267.46600000000001</v>
      </c>
      <c r="E252" s="41">
        <v>812.32899999999995</v>
      </c>
      <c r="F252" s="35">
        <v>1274</v>
      </c>
      <c r="G252" s="35">
        <v>50</v>
      </c>
      <c r="H252" s="43">
        <v>600</v>
      </c>
      <c r="I252" s="35">
        <v>695</v>
      </c>
      <c r="J252" s="35">
        <v>0</v>
      </c>
      <c r="K252" s="36"/>
      <c r="L252" s="36"/>
      <c r="M252" s="36"/>
      <c r="N252" s="36"/>
      <c r="O252" s="36"/>
      <c r="P252" s="36"/>
      <c r="Q252" s="36"/>
      <c r="R252" s="36"/>
      <c r="S252" s="36"/>
      <c r="T252" s="36"/>
    </row>
    <row r="253" spans="1:20" ht="15.75">
      <c r="A253" s="13">
        <v>49188</v>
      </c>
      <c r="B253" s="44">
        <v>30</v>
      </c>
      <c r="C253" s="35">
        <v>194.20500000000001</v>
      </c>
      <c r="D253" s="35">
        <v>267.46600000000001</v>
      </c>
      <c r="E253" s="41">
        <v>812.32899999999995</v>
      </c>
      <c r="F253" s="35">
        <v>1274</v>
      </c>
      <c r="G253" s="35">
        <v>50</v>
      </c>
      <c r="H253" s="43">
        <v>600</v>
      </c>
      <c r="I253" s="35">
        <v>695</v>
      </c>
      <c r="J253" s="35">
        <v>0</v>
      </c>
      <c r="K253" s="36"/>
      <c r="L253" s="36"/>
      <c r="M253" s="36"/>
      <c r="N253" s="36"/>
      <c r="O253" s="36"/>
      <c r="P253" s="36"/>
      <c r="Q253" s="36"/>
      <c r="R253" s="36"/>
      <c r="S253" s="36"/>
      <c r="T253" s="36"/>
    </row>
    <row r="254" spans="1:20" ht="15.75">
      <c r="A254" s="13">
        <v>49218</v>
      </c>
      <c r="B254" s="44">
        <v>31</v>
      </c>
      <c r="C254" s="35">
        <v>131.881</v>
      </c>
      <c r="D254" s="35">
        <v>277.16699999999997</v>
      </c>
      <c r="E254" s="41">
        <v>829.952</v>
      </c>
      <c r="F254" s="35">
        <v>1239</v>
      </c>
      <c r="G254" s="35">
        <v>75</v>
      </c>
      <c r="H254" s="43">
        <v>600</v>
      </c>
      <c r="I254" s="35">
        <v>695</v>
      </c>
      <c r="J254" s="35">
        <v>0</v>
      </c>
      <c r="K254" s="36"/>
      <c r="L254" s="36"/>
      <c r="M254" s="36"/>
      <c r="N254" s="36"/>
      <c r="O254" s="36"/>
      <c r="P254" s="36"/>
      <c r="Q254" s="36"/>
      <c r="R254" s="36"/>
      <c r="S254" s="36"/>
      <c r="T254" s="36"/>
    </row>
    <row r="255" spans="1:20" ht="15.75">
      <c r="A255" s="13">
        <v>49249</v>
      </c>
      <c r="B255" s="44">
        <v>30</v>
      </c>
      <c r="C255" s="35">
        <v>122.58</v>
      </c>
      <c r="D255" s="35">
        <v>297.94099999999997</v>
      </c>
      <c r="E255" s="41">
        <v>729.47900000000004</v>
      </c>
      <c r="F255" s="35">
        <v>1150</v>
      </c>
      <c r="G255" s="35">
        <v>100</v>
      </c>
      <c r="H255" s="43">
        <v>600</v>
      </c>
      <c r="I255" s="35">
        <v>695</v>
      </c>
      <c r="J255" s="35">
        <v>50</v>
      </c>
      <c r="K255" s="36"/>
      <c r="L255" s="36"/>
      <c r="M255" s="36"/>
      <c r="N255" s="36"/>
      <c r="O255" s="36"/>
      <c r="P255" s="36"/>
      <c r="Q255" s="36"/>
      <c r="R255" s="36"/>
      <c r="S255" s="36"/>
      <c r="T255" s="36"/>
    </row>
    <row r="256" spans="1:20" ht="15.75">
      <c r="A256" s="13">
        <v>49279</v>
      </c>
      <c r="B256" s="44">
        <v>31</v>
      </c>
      <c r="C256" s="35">
        <v>122.58</v>
      </c>
      <c r="D256" s="35">
        <v>297.94099999999997</v>
      </c>
      <c r="E256" s="41">
        <v>729.47900000000004</v>
      </c>
      <c r="F256" s="35">
        <v>1150</v>
      </c>
      <c r="G256" s="35">
        <v>100</v>
      </c>
      <c r="H256" s="43">
        <v>600</v>
      </c>
      <c r="I256" s="35">
        <v>695</v>
      </c>
      <c r="J256" s="35">
        <v>50</v>
      </c>
      <c r="K256" s="36"/>
      <c r="L256" s="36"/>
      <c r="M256" s="36"/>
      <c r="N256" s="36"/>
      <c r="O256" s="36"/>
      <c r="P256" s="36"/>
      <c r="Q256" s="36"/>
      <c r="R256" s="36"/>
      <c r="S256" s="36"/>
      <c r="T256" s="36"/>
    </row>
    <row r="257" spans="1:20" ht="15.75">
      <c r="A257" s="13">
        <v>49310</v>
      </c>
      <c r="B257" s="44">
        <v>31</v>
      </c>
      <c r="C257" s="35">
        <v>122.58</v>
      </c>
      <c r="D257" s="35">
        <v>297.94099999999997</v>
      </c>
      <c r="E257" s="41">
        <v>729.47900000000004</v>
      </c>
      <c r="F257" s="35">
        <v>1150</v>
      </c>
      <c r="G257" s="35">
        <v>100</v>
      </c>
      <c r="H257" s="43">
        <v>600</v>
      </c>
      <c r="I257" s="35">
        <v>695</v>
      </c>
      <c r="J257" s="35">
        <v>50</v>
      </c>
      <c r="K257" s="36"/>
      <c r="L257" s="36"/>
      <c r="M257" s="36"/>
      <c r="N257" s="36"/>
      <c r="O257" s="36"/>
      <c r="P257" s="36"/>
      <c r="Q257" s="36"/>
      <c r="R257" s="36"/>
      <c r="S257" s="36"/>
      <c r="T257" s="36"/>
    </row>
    <row r="258" spans="1:20" ht="15.75">
      <c r="A258" s="13">
        <v>49341</v>
      </c>
      <c r="B258" s="44">
        <v>28</v>
      </c>
      <c r="C258" s="35">
        <v>122.58</v>
      </c>
      <c r="D258" s="35">
        <v>297.94099999999997</v>
      </c>
      <c r="E258" s="41">
        <v>729.47900000000004</v>
      </c>
      <c r="F258" s="35">
        <v>1150</v>
      </c>
      <c r="G258" s="35">
        <v>100</v>
      </c>
      <c r="H258" s="43">
        <v>600</v>
      </c>
      <c r="I258" s="35">
        <v>695</v>
      </c>
      <c r="J258" s="35">
        <v>50</v>
      </c>
      <c r="K258" s="36"/>
      <c r="L258" s="36"/>
      <c r="M258" s="36"/>
      <c r="N258" s="36"/>
      <c r="O258" s="36"/>
      <c r="P258" s="36"/>
      <c r="Q258" s="36"/>
      <c r="R258" s="36"/>
      <c r="S258" s="36"/>
      <c r="T258" s="36"/>
    </row>
    <row r="259" spans="1:20" ht="15.75">
      <c r="A259" s="13">
        <v>49369</v>
      </c>
      <c r="B259" s="44">
        <v>31</v>
      </c>
      <c r="C259" s="35">
        <v>122.58</v>
      </c>
      <c r="D259" s="35">
        <v>297.94099999999997</v>
      </c>
      <c r="E259" s="41">
        <v>729.47900000000004</v>
      </c>
      <c r="F259" s="35">
        <v>1150</v>
      </c>
      <c r="G259" s="35">
        <v>100</v>
      </c>
      <c r="H259" s="43">
        <v>600</v>
      </c>
      <c r="I259" s="35">
        <v>695</v>
      </c>
      <c r="J259" s="35">
        <v>50</v>
      </c>
      <c r="K259" s="36"/>
      <c r="L259" s="36"/>
      <c r="M259" s="36"/>
      <c r="N259" s="36"/>
      <c r="O259" s="36"/>
      <c r="P259" s="36"/>
      <c r="Q259" s="36"/>
      <c r="R259" s="36"/>
      <c r="S259" s="36"/>
      <c r="T259" s="36"/>
    </row>
    <row r="260" spans="1:20" ht="15.75">
      <c r="A260" s="13">
        <v>49400</v>
      </c>
      <c r="B260" s="44">
        <v>30</v>
      </c>
      <c r="C260" s="35">
        <v>141.29300000000001</v>
      </c>
      <c r="D260" s="35">
        <v>267.99299999999999</v>
      </c>
      <c r="E260" s="41">
        <v>829.71400000000006</v>
      </c>
      <c r="F260" s="35">
        <v>1239</v>
      </c>
      <c r="G260" s="35">
        <v>100</v>
      </c>
      <c r="H260" s="43">
        <v>600</v>
      </c>
      <c r="I260" s="35">
        <v>695</v>
      </c>
      <c r="J260" s="35">
        <v>50</v>
      </c>
      <c r="K260" s="36"/>
      <c r="L260" s="36"/>
      <c r="M260" s="36"/>
      <c r="N260" s="36"/>
      <c r="O260" s="36"/>
      <c r="P260" s="36"/>
      <c r="Q260" s="36"/>
      <c r="R260" s="36"/>
      <c r="S260" s="36"/>
      <c r="T260" s="36"/>
    </row>
    <row r="261" spans="1:20" ht="15.75">
      <c r="A261" s="13">
        <v>49430</v>
      </c>
      <c r="B261" s="44">
        <v>31</v>
      </c>
      <c r="C261" s="35">
        <v>194.20500000000001</v>
      </c>
      <c r="D261" s="35">
        <v>267.46600000000001</v>
      </c>
      <c r="E261" s="41">
        <v>812.32899999999995</v>
      </c>
      <c r="F261" s="35">
        <v>1274</v>
      </c>
      <c r="G261" s="35">
        <v>75</v>
      </c>
      <c r="H261" s="43">
        <v>600</v>
      </c>
      <c r="I261" s="35">
        <v>695</v>
      </c>
      <c r="J261" s="35">
        <v>50</v>
      </c>
      <c r="K261" s="36"/>
      <c r="L261" s="36"/>
      <c r="M261" s="36"/>
      <c r="N261" s="36"/>
      <c r="O261" s="36"/>
      <c r="P261" s="36"/>
      <c r="Q261" s="36"/>
      <c r="R261" s="36"/>
      <c r="S261" s="36"/>
      <c r="T261" s="36"/>
    </row>
    <row r="262" spans="1:20" ht="15.75">
      <c r="A262" s="14">
        <v>49461</v>
      </c>
      <c r="B262" s="44">
        <v>30</v>
      </c>
      <c r="C262" s="35">
        <v>194.20500000000001</v>
      </c>
      <c r="D262" s="35">
        <v>267.46600000000001</v>
      </c>
      <c r="E262" s="41">
        <v>812.32899999999995</v>
      </c>
      <c r="F262" s="35">
        <v>1274</v>
      </c>
      <c r="G262" s="35">
        <v>50</v>
      </c>
      <c r="H262" s="43">
        <v>600</v>
      </c>
      <c r="I262" s="35">
        <v>695</v>
      </c>
      <c r="J262" s="35">
        <v>50</v>
      </c>
      <c r="K262" s="36"/>
      <c r="L262" s="36"/>
      <c r="M262" s="36"/>
      <c r="N262" s="36"/>
      <c r="O262" s="36"/>
      <c r="P262" s="36"/>
      <c r="Q262" s="36"/>
      <c r="R262" s="36"/>
      <c r="S262" s="36"/>
      <c r="T262" s="36"/>
    </row>
    <row r="263" spans="1:20" ht="15.75">
      <c r="A263" s="14">
        <v>49491</v>
      </c>
      <c r="B263" s="44">
        <v>31</v>
      </c>
      <c r="C263" s="35">
        <v>194.20500000000001</v>
      </c>
      <c r="D263" s="35">
        <v>267.46600000000001</v>
      </c>
      <c r="E263" s="41">
        <v>812.32899999999995</v>
      </c>
      <c r="F263" s="35">
        <v>1274</v>
      </c>
      <c r="G263" s="35">
        <v>50</v>
      </c>
      <c r="H263" s="43">
        <v>600</v>
      </c>
      <c r="I263" s="35">
        <v>695</v>
      </c>
      <c r="J263" s="35">
        <v>0</v>
      </c>
      <c r="K263" s="36"/>
      <c r="L263" s="36"/>
      <c r="M263" s="36"/>
      <c r="N263" s="36"/>
      <c r="O263" s="36"/>
      <c r="P263" s="36"/>
      <c r="Q263" s="36"/>
      <c r="R263" s="36"/>
      <c r="S263" s="36"/>
      <c r="T263" s="36"/>
    </row>
    <row r="264" spans="1:20" ht="15.75">
      <c r="A264" s="14">
        <v>49522</v>
      </c>
      <c r="B264" s="44">
        <v>31</v>
      </c>
      <c r="C264" s="35">
        <v>194.20500000000001</v>
      </c>
      <c r="D264" s="35">
        <v>267.46600000000001</v>
      </c>
      <c r="E264" s="41">
        <v>812.32899999999995</v>
      </c>
      <c r="F264" s="35">
        <v>1274</v>
      </c>
      <c r="G264" s="35">
        <v>50</v>
      </c>
      <c r="H264" s="43">
        <v>600</v>
      </c>
      <c r="I264" s="35">
        <v>695</v>
      </c>
      <c r="J264" s="35">
        <v>0</v>
      </c>
      <c r="K264" s="36"/>
      <c r="L264" s="36"/>
      <c r="M264" s="36"/>
      <c r="N264" s="36"/>
      <c r="O264" s="36"/>
      <c r="P264" s="36"/>
      <c r="Q264" s="36"/>
      <c r="R264" s="36"/>
      <c r="S264" s="36"/>
      <c r="T264" s="36"/>
    </row>
    <row r="265" spans="1:20" ht="15.75">
      <c r="A265" s="14">
        <v>49553</v>
      </c>
      <c r="B265" s="44">
        <v>30</v>
      </c>
      <c r="C265" s="35">
        <v>194.20500000000001</v>
      </c>
      <c r="D265" s="35">
        <v>267.46600000000001</v>
      </c>
      <c r="E265" s="41">
        <v>812.32899999999995</v>
      </c>
      <c r="F265" s="35">
        <v>1274</v>
      </c>
      <c r="G265" s="35">
        <v>50</v>
      </c>
      <c r="H265" s="43">
        <v>600</v>
      </c>
      <c r="I265" s="35">
        <v>695</v>
      </c>
      <c r="J265" s="35">
        <v>0</v>
      </c>
      <c r="K265" s="36"/>
      <c r="L265" s="36"/>
      <c r="M265" s="36"/>
      <c r="N265" s="36"/>
      <c r="O265" s="36"/>
      <c r="P265" s="36"/>
      <c r="Q265" s="36"/>
      <c r="R265" s="36"/>
      <c r="S265" s="36"/>
      <c r="T265" s="36"/>
    </row>
    <row r="266" spans="1:20" ht="15.75">
      <c r="A266" s="14">
        <v>49583</v>
      </c>
      <c r="B266" s="44">
        <v>31</v>
      </c>
      <c r="C266" s="35">
        <v>131.881</v>
      </c>
      <c r="D266" s="35">
        <v>277.16699999999997</v>
      </c>
      <c r="E266" s="41">
        <v>829.952</v>
      </c>
      <c r="F266" s="35">
        <v>1239</v>
      </c>
      <c r="G266" s="35">
        <v>75</v>
      </c>
      <c r="H266" s="43">
        <v>600</v>
      </c>
      <c r="I266" s="35">
        <v>695</v>
      </c>
      <c r="J266" s="35">
        <v>0</v>
      </c>
      <c r="K266" s="36"/>
      <c r="L266" s="36"/>
      <c r="M266" s="36"/>
      <c r="N266" s="36"/>
      <c r="O266" s="36"/>
      <c r="P266" s="36"/>
      <c r="Q266" s="36"/>
      <c r="R266" s="36"/>
      <c r="S266" s="36"/>
      <c r="T266" s="36"/>
    </row>
    <row r="267" spans="1:20" ht="15.75">
      <c r="A267" s="14">
        <v>49614</v>
      </c>
      <c r="B267" s="44">
        <v>30</v>
      </c>
      <c r="C267" s="35">
        <v>122.58</v>
      </c>
      <c r="D267" s="35">
        <v>297.94099999999997</v>
      </c>
      <c r="E267" s="41">
        <v>729.47900000000004</v>
      </c>
      <c r="F267" s="35">
        <v>1150</v>
      </c>
      <c r="G267" s="35">
        <v>100</v>
      </c>
      <c r="H267" s="43">
        <v>600</v>
      </c>
      <c r="I267" s="35">
        <v>695</v>
      </c>
      <c r="J267" s="35">
        <v>50</v>
      </c>
      <c r="K267" s="36"/>
      <c r="L267" s="36"/>
      <c r="M267" s="36"/>
      <c r="N267" s="36"/>
      <c r="O267" s="36"/>
      <c r="P267" s="36"/>
      <c r="Q267" s="36"/>
      <c r="R267" s="36"/>
      <c r="S267" s="36"/>
      <c r="T267" s="36"/>
    </row>
    <row r="268" spans="1:20" ht="15.75">
      <c r="A268" s="14">
        <v>49644</v>
      </c>
      <c r="B268" s="44">
        <v>31</v>
      </c>
      <c r="C268" s="35">
        <v>122.58</v>
      </c>
      <c r="D268" s="35">
        <v>297.94099999999997</v>
      </c>
      <c r="E268" s="41">
        <v>729.47900000000004</v>
      </c>
      <c r="F268" s="35">
        <v>1150</v>
      </c>
      <c r="G268" s="35">
        <v>100</v>
      </c>
      <c r="H268" s="43">
        <v>600</v>
      </c>
      <c r="I268" s="35">
        <v>695</v>
      </c>
      <c r="J268" s="35">
        <v>50</v>
      </c>
      <c r="K268" s="36"/>
      <c r="L268" s="36"/>
      <c r="M268" s="36"/>
      <c r="N268" s="36"/>
      <c r="O268" s="36"/>
      <c r="P268" s="36"/>
      <c r="Q268" s="36"/>
      <c r="R268" s="36"/>
      <c r="S268" s="36"/>
      <c r="T268" s="36"/>
    </row>
    <row r="269" spans="1:20" ht="15.75">
      <c r="A269" s="14">
        <v>49675</v>
      </c>
      <c r="B269" s="44">
        <v>31</v>
      </c>
      <c r="C269" s="35">
        <v>122.58</v>
      </c>
      <c r="D269" s="35">
        <v>297.94099999999997</v>
      </c>
      <c r="E269" s="41">
        <v>729.47900000000004</v>
      </c>
      <c r="F269" s="35">
        <v>1150</v>
      </c>
      <c r="G269" s="35">
        <v>100</v>
      </c>
      <c r="H269" s="43">
        <v>600</v>
      </c>
      <c r="I269" s="35">
        <v>695</v>
      </c>
      <c r="J269" s="35">
        <v>50</v>
      </c>
      <c r="K269" s="36"/>
      <c r="L269" s="36"/>
      <c r="M269" s="36"/>
      <c r="N269" s="36"/>
      <c r="O269" s="36"/>
      <c r="P269" s="36"/>
      <c r="Q269" s="36"/>
      <c r="R269" s="36"/>
      <c r="S269" s="36"/>
      <c r="T269" s="36"/>
    </row>
    <row r="270" spans="1:20" ht="15.75">
      <c r="A270" s="14">
        <v>49706</v>
      </c>
      <c r="B270" s="44">
        <v>29</v>
      </c>
      <c r="C270" s="35">
        <v>122.58</v>
      </c>
      <c r="D270" s="35">
        <v>297.94099999999997</v>
      </c>
      <c r="E270" s="41">
        <v>729.47900000000004</v>
      </c>
      <c r="F270" s="35">
        <v>1150</v>
      </c>
      <c r="G270" s="35">
        <v>100</v>
      </c>
      <c r="H270" s="43">
        <v>600</v>
      </c>
      <c r="I270" s="35">
        <v>695</v>
      </c>
      <c r="J270" s="35">
        <v>50</v>
      </c>
      <c r="K270" s="36"/>
      <c r="L270" s="36"/>
      <c r="M270" s="36"/>
      <c r="N270" s="36"/>
      <c r="O270" s="36"/>
      <c r="P270" s="36"/>
      <c r="Q270" s="36"/>
      <c r="R270" s="36"/>
      <c r="S270" s="36"/>
      <c r="T270" s="36"/>
    </row>
    <row r="271" spans="1:20" ht="15.75">
      <c r="A271" s="14">
        <v>49735</v>
      </c>
      <c r="B271" s="44">
        <v>31</v>
      </c>
      <c r="C271" s="35">
        <v>122.58</v>
      </c>
      <c r="D271" s="35">
        <v>297.94099999999997</v>
      </c>
      <c r="E271" s="41">
        <v>729.47900000000004</v>
      </c>
      <c r="F271" s="35">
        <v>1150</v>
      </c>
      <c r="G271" s="35">
        <v>100</v>
      </c>
      <c r="H271" s="43">
        <v>600</v>
      </c>
      <c r="I271" s="35">
        <v>695</v>
      </c>
      <c r="J271" s="35">
        <v>50</v>
      </c>
      <c r="K271" s="36"/>
      <c r="L271" s="36"/>
      <c r="M271" s="36"/>
      <c r="N271" s="36"/>
      <c r="O271" s="36"/>
      <c r="P271" s="36"/>
      <c r="Q271" s="36"/>
      <c r="R271" s="36"/>
      <c r="S271" s="36"/>
      <c r="T271" s="36"/>
    </row>
    <row r="272" spans="1:20" ht="15.75">
      <c r="A272" s="14">
        <v>49766</v>
      </c>
      <c r="B272" s="44">
        <v>30</v>
      </c>
      <c r="C272" s="35">
        <v>141.29300000000001</v>
      </c>
      <c r="D272" s="35">
        <v>267.99299999999999</v>
      </c>
      <c r="E272" s="41">
        <v>829.71400000000006</v>
      </c>
      <c r="F272" s="35">
        <v>1239</v>
      </c>
      <c r="G272" s="35">
        <v>100</v>
      </c>
      <c r="H272" s="43">
        <v>600</v>
      </c>
      <c r="I272" s="35">
        <v>695</v>
      </c>
      <c r="J272" s="35">
        <v>50</v>
      </c>
      <c r="K272" s="36"/>
      <c r="L272" s="36"/>
      <c r="M272" s="36"/>
      <c r="N272" s="36"/>
      <c r="O272" s="36"/>
      <c r="P272" s="36"/>
      <c r="Q272" s="36"/>
      <c r="R272" s="36"/>
      <c r="S272" s="36"/>
      <c r="T272" s="36"/>
    </row>
    <row r="273" spans="1:20" ht="15.75">
      <c r="A273" s="14">
        <v>49796</v>
      </c>
      <c r="B273" s="44">
        <v>31</v>
      </c>
      <c r="C273" s="35">
        <v>194.20500000000001</v>
      </c>
      <c r="D273" s="35">
        <v>267.46600000000001</v>
      </c>
      <c r="E273" s="41">
        <v>812.32899999999995</v>
      </c>
      <c r="F273" s="35">
        <v>1274</v>
      </c>
      <c r="G273" s="35">
        <v>75</v>
      </c>
      <c r="H273" s="43">
        <v>600</v>
      </c>
      <c r="I273" s="35">
        <v>695</v>
      </c>
      <c r="J273" s="35">
        <v>50</v>
      </c>
      <c r="K273" s="36"/>
      <c r="L273" s="36"/>
      <c r="M273" s="36"/>
      <c r="N273" s="36"/>
      <c r="O273" s="36"/>
      <c r="P273" s="36"/>
      <c r="Q273" s="36"/>
      <c r="R273" s="36"/>
      <c r="S273" s="36"/>
      <c r="T273" s="36"/>
    </row>
    <row r="274" spans="1:20" ht="15.75">
      <c r="A274" s="14">
        <v>49827</v>
      </c>
      <c r="B274" s="44">
        <v>30</v>
      </c>
      <c r="C274" s="35">
        <v>194.20500000000001</v>
      </c>
      <c r="D274" s="35">
        <v>267.46600000000001</v>
      </c>
      <c r="E274" s="41">
        <v>812.32899999999995</v>
      </c>
      <c r="F274" s="35">
        <v>1274</v>
      </c>
      <c r="G274" s="35">
        <v>50</v>
      </c>
      <c r="H274" s="43">
        <v>600</v>
      </c>
      <c r="I274" s="35">
        <v>695</v>
      </c>
      <c r="J274" s="35">
        <v>50</v>
      </c>
      <c r="K274" s="36"/>
      <c r="L274" s="36"/>
      <c r="M274" s="36"/>
      <c r="N274" s="36"/>
      <c r="O274" s="36"/>
      <c r="P274" s="36"/>
      <c r="Q274" s="36"/>
      <c r="R274" s="36"/>
      <c r="S274" s="36"/>
      <c r="T274" s="36"/>
    </row>
    <row r="275" spans="1:20" ht="15.75">
      <c r="A275" s="14">
        <v>49857</v>
      </c>
      <c r="B275" s="44">
        <v>31</v>
      </c>
      <c r="C275" s="35">
        <v>194.20500000000001</v>
      </c>
      <c r="D275" s="35">
        <v>267.46600000000001</v>
      </c>
      <c r="E275" s="41">
        <v>812.32899999999995</v>
      </c>
      <c r="F275" s="35">
        <v>1274</v>
      </c>
      <c r="G275" s="35">
        <v>50</v>
      </c>
      <c r="H275" s="43">
        <v>600</v>
      </c>
      <c r="I275" s="35">
        <v>695</v>
      </c>
      <c r="J275" s="35">
        <v>0</v>
      </c>
      <c r="K275" s="36"/>
      <c r="L275" s="36"/>
      <c r="M275" s="36"/>
      <c r="N275" s="36"/>
      <c r="O275" s="36"/>
      <c r="P275" s="36"/>
      <c r="Q275" s="36"/>
      <c r="R275" s="36"/>
      <c r="S275" s="36"/>
      <c r="T275" s="36"/>
    </row>
    <row r="276" spans="1:20" ht="15.75">
      <c r="A276" s="14">
        <v>49888</v>
      </c>
      <c r="B276" s="44">
        <v>31</v>
      </c>
      <c r="C276" s="35">
        <v>194.20500000000001</v>
      </c>
      <c r="D276" s="35">
        <v>267.46600000000001</v>
      </c>
      <c r="E276" s="41">
        <v>812.32899999999995</v>
      </c>
      <c r="F276" s="35">
        <v>1274</v>
      </c>
      <c r="G276" s="35">
        <v>50</v>
      </c>
      <c r="H276" s="43">
        <v>600</v>
      </c>
      <c r="I276" s="35">
        <v>695</v>
      </c>
      <c r="J276" s="35">
        <v>0</v>
      </c>
      <c r="K276" s="36"/>
      <c r="L276" s="36"/>
      <c r="M276" s="36"/>
      <c r="N276" s="36"/>
      <c r="O276" s="36"/>
      <c r="P276" s="36"/>
      <c r="Q276" s="36"/>
      <c r="R276" s="36"/>
      <c r="S276" s="36"/>
      <c r="T276" s="36"/>
    </row>
    <row r="277" spans="1:20" ht="15.75">
      <c r="A277" s="14">
        <v>49919</v>
      </c>
      <c r="B277" s="44">
        <v>30</v>
      </c>
      <c r="C277" s="35">
        <v>194.20500000000001</v>
      </c>
      <c r="D277" s="35">
        <v>267.46600000000001</v>
      </c>
      <c r="E277" s="41">
        <v>812.32899999999995</v>
      </c>
      <c r="F277" s="35">
        <v>1274</v>
      </c>
      <c r="G277" s="35">
        <v>50</v>
      </c>
      <c r="H277" s="43">
        <v>600</v>
      </c>
      <c r="I277" s="35">
        <v>695</v>
      </c>
      <c r="J277" s="35">
        <v>0</v>
      </c>
      <c r="K277" s="36"/>
      <c r="L277" s="36"/>
      <c r="M277" s="36"/>
      <c r="N277" s="36"/>
      <c r="O277" s="36"/>
      <c r="P277" s="36"/>
      <c r="Q277" s="36"/>
      <c r="R277" s="36"/>
      <c r="S277" s="36"/>
      <c r="T277" s="36"/>
    </row>
    <row r="278" spans="1:20" ht="15.75">
      <c r="A278" s="14">
        <v>49949</v>
      </c>
      <c r="B278" s="44">
        <v>31</v>
      </c>
      <c r="C278" s="35">
        <v>131.881</v>
      </c>
      <c r="D278" s="35">
        <v>277.16699999999997</v>
      </c>
      <c r="E278" s="41">
        <v>829.952</v>
      </c>
      <c r="F278" s="35">
        <v>1239</v>
      </c>
      <c r="G278" s="35">
        <v>75</v>
      </c>
      <c r="H278" s="43">
        <v>600</v>
      </c>
      <c r="I278" s="35">
        <v>695</v>
      </c>
      <c r="J278" s="35">
        <v>0</v>
      </c>
      <c r="K278" s="36"/>
      <c r="L278" s="36"/>
      <c r="M278" s="36"/>
      <c r="N278" s="36"/>
      <c r="O278" s="36"/>
      <c r="P278" s="36"/>
      <c r="Q278" s="36"/>
      <c r="R278" s="36"/>
      <c r="S278" s="36"/>
      <c r="T278" s="36"/>
    </row>
    <row r="279" spans="1:20" ht="15.75">
      <c r="A279" s="14">
        <v>49980</v>
      </c>
      <c r="B279" s="44">
        <v>30</v>
      </c>
      <c r="C279" s="35">
        <v>122.58</v>
      </c>
      <c r="D279" s="35">
        <v>297.94099999999997</v>
      </c>
      <c r="E279" s="41">
        <v>729.47900000000004</v>
      </c>
      <c r="F279" s="35">
        <v>1150</v>
      </c>
      <c r="G279" s="35">
        <v>100</v>
      </c>
      <c r="H279" s="43">
        <v>600</v>
      </c>
      <c r="I279" s="35">
        <v>695</v>
      </c>
      <c r="J279" s="35">
        <v>50</v>
      </c>
      <c r="K279" s="36"/>
      <c r="L279" s="36"/>
      <c r="M279" s="36"/>
      <c r="N279" s="36"/>
      <c r="O279" s="36"/>
      <c r="P279" s="36"/>
      <c r="Q279" s="36"/>
      <c r="R279" s="36"/>
      <c r="S279" s="36"/>
      <c r="T279" s="36"/>
    </row>
    <row r="280" spans="1:20" ht="15.75">
      <c r="A280" s="14">
        <v>50010</v>
      </c>
      <c r="B280" s="44">
        <v>31</v>
      </c>
      <c r="C280" s="35">
        <v>122.58</v>
      </c>
      <c r="D280" s="35">
        <v>297.94099999999997</v>
      </c>
      <c r="E280" s="41">
        <v>729.47900000000004</v>
      </c>
      <c r="F280" s="35">
        <v>1150</v>
      </c>
      <c r="G280" s="35">
        <v>100</v>
      </c>
      <c r="H280" s="43">
        <v>600</v>
      </c>
      <c r="I280" s="35">
        <v>695</v>
      </c>
      <c r="J280" s="35">
        <v>50</v>
      </c>
      <c r="K280" s="36"/>
      <c r="L280" s="36"/>
      <c r="M280" s="36"/>
      <c r="N280" s="36"/>
      <c r="O280" s="36"/>
      <c r="P280" s="36"/>
      <c r="Q280" s="36"/>
      <c r="R280" s="36"/>
      <c r="S280" s="36"/>
      <c r="T280" s="36"/>
    </row>
    <row r="281" spans="1:20" ht="15.75">
      <c r="A281" s="14">
        <v>50041</v>
      </c>
      <c r="B281" s="44">
        <v>31</v>
      </c>
      <c r="C281" s="35">
        <v>122.58</v>
      </c>
      <c r="D281" s="35">
        <v>297.94099999999997</v>
      </c>
      <c r="E281" s="41">
        <v>729.47900000000004</v>
      </c>
      <c r="F281" s="35">
        <v>1150</v>
      </c>
      <c r="G281" s="35">
        <v>100</v>
      </c>
      <c r="H281" s="43">
        <v>600</v>
      </c>
      <c r="I281" s="35">
        <v>695</v>
      </c>
      <c r="J281" s="35">
        <v>50</v>
      </c>
      <c r="K281" s="36"/>
      <c r="L281" s="36"/>
      <c r="M281" s="36"/>
      <c r="N281" s="36"/>
      <c r="O281" s="36"/>
      <c r="P281" s="36"/>
      <c r="Q281" s="36"/>
      <c r="R281" s="36"/>
      <c r="S281" s="36"/>
      <c r="T281" s="36"/>
    </row>
    <row r="282" spans="1:20" ht="15.75">
      <c r="A282" s="14">
        <v>50072</v>
      </c>
      <c r="B282" s="44">
        <v>28</v>
      </c>
      <c r="C282" s="35">
        <v>122.58</v>
      </c>
      <c r="D282" s="35">
        <v>297.94099999999997</v>
      </c>
      <c r="E282" s="41">
        <v>729.47900000000004</v>
      </c>
      <c r="F282" s="35">
        <v>1150</v>
      </c>
      <c r="G282" s="35">
        <v>100</v>
      </c>
      <c r="H282" s="43">
        <v>600</v>
      </c>
      <c r="I282" s="35">
        <v>695</v>
      </c>
      <c r="J282" s="35">
        <v>50</v>
      </c>
      <c r="K282" s="36"/>
      <c r="L282" s="36"/>
      <c r="M282" s="36"/>
      <c r="N282" s="36"/>
      <c r="O282" s="36"/>
      <c r="P282" s="36"/>
      <c r="Q282" s="36"/>
      <c r="R282" s="36"/>
      <c r="S282" s="36"/>
      <c r="T282" s="36"/>
    </row>
    <row r="283" spans="1:20" ht="15.75">
      <c r="A283" s="14">
        <v>50100</v>
      </c>
      <c r="B283" s="44">
        <v>31</v>
      </c>
      <c r="C283" s="35">
        <v>122.58</v>
      </c>
      <c r="D283" s="35">
        <v>297.94099999999997</v>
      </c>
      <c r="E283" s="41">
        <v>729.47900000000004</v>
      </c>
      <c r="F283" s="35">
        <v>1150</v>
      </c>
      <c r="G283" s="35">
        <v>100</v>
      </c>
      <c r="H283" s="43">
        <v>600</v>
      </c>
      <c r="I283" s="35">
        <v>695</v>
      </c>
      <c r="J283" s="35">
        <v>50</v>
      </c>
      <c r="K283" s="36"/>
      <c r="L283" s="36"/>
      <c r="M283" s="36"/>
      <c r="N283" s="36"/>
      <c r="O283" s="36"/>
      <c r="P283" s="36"/>
      <c r="Q283" s="36"/>
      <c r="R283" s="36"/>
      <c r="S283" s="36"/>
      <c r="T283" s="36"/>
    </row>
    <row r="284" spans="1:20" ht="15.75">
      <c r="A284" s="14">
        <v>50131</v>
      </c>
      <c r="B284" s="44">
        <v>30</v>
      </c>
      <c r="C284" s="35">
        <v>141.29300000000001</v>
      </c>
      <c r="D284" s="35">
        <v>267.99299999999999</v>
      </c>
      <c r="E284" s="41">
        <v>829.71400000000006</v>
      </c>
      <c r="F284" s="35">
        <v>1239</v>
      </c>
      <c r="G284" s="35">
        <v>100</v>
      </c>
      <c r="H284" s="43">
        <v>600</v>
      </c>
      <c r="I284" s="35">
        <v>695</v>
      </c>
      <c r="J284" s="35">
        <v>50</v>
      </c>
      <c r="K284" s="36"/>
      <c r="L284" s="36"/>
      <c r="M284" s="36"/>
      <c r="N284" s="36"/>
      <c r="O284" s="36"/>
      <c r="P284" s="36"/>
      <c r="Q284" s="36"/>
      <c r="R284" s="36"/>
      <c r="S284" s="36"/>
      <c r="T284" s="36"/>
    </row>
    <row r="285" spans="1:20" ht="15.75">
      <c r="A285" s="14">
        <v>50161</v>
      </c>
      <c r="B285" s="44">
        <v>31</v>
      </c>
      <c r="C285" s="35">
        <v>194.20500000000001</v>
      </c>
      <c r="D285" s="35">
        <v>267.46600000000001</v>
      </c>
      <c r="E285" s="41">
        <v>812.32899999999995</v>
      </c>
      <c r="F285" s="35">
        <v>1274</v>
      </c>
      <c r="G285" s="35">
        <v>75</v>
      </c>
      <c r="H285" s="43">
        <v>600</v>
      </c>
      <c r="I285" s="35">
        <v>695</v>
      </c>
      <c r="J285" s="35">
        <v>50</v>
      </c>
      <c r="K285" s="36"/>
      <c r="L285" s="36"/>
      <c r="M285" s="36"/>
      <c r="N285" s="36"/>
      <c r="O285" s="36"/>
      <c r="P285" s="36"/>
      <c r="Q285" s="36"/>
      <c r="R285" s="36"/>
      <c r="S285" s="36"/>
      <c r="T285" s="36"/>
    </row>
    <row r="286" spans="1:20" ht="15.75">
      <c r="A286" s="14">
        <v>50192</v>
      </c>
      <c r="B286" s="44">
        <v>30</v>
      </c>
      <c r="C286" s="35">
        <v>194.20500000000001</v>
      </c>
      <c r="D286" s="35">
        <v>267.46600000000001</v>
      </c>
      <c r="E286" s="41">
        <v>812.32899999999995</v>
      </c>
      <c r="F286" s="35">
        <v>1274</v>
      </c>
      <c r="G286" s="35">
        <v>50</v>
      </c>
      <c r="H286" s="43">
        <v>600</v>
      </c>
      <c r="I286" s="35">
        <v>695</v>
      </c>
      <c r="J286" s="35">
        <v>50</v>
      </c>
      <c r="K286" s="36"/>
      <c r="L286" s="36"/>
      <c r="M286" s="36"/>
      <c r="N286" s="36"/>
      <c r="O286" s="36"/>
      <c r="P286" s="36"/>
      <c r="Q286" s="36"/>
      <c r="R286" s="36"/>
      <c r="S286" s="36"/>
      <c r="T286" s="36"/>
    </row>
    <row r="287" spans="1:20" ht="15.75">
      <c r="A287" s="14">
        <v>50222</v>
      </c>
      <c r="B287" s="44">
        <v>31</v>
      </c>
      <c r="C287" s="35">
        <v>194.20500000000001</v>
      </c>
      <c r="D287" s="35">
        <v>267.46600000000001</v>
      </c>
      <c r="E287" s="41">
        <v>812.32899999999995</v>
      </c>
      <c r="F287" s="35">
        <v>1274</v>
      </c>
      <c r="G287" s="35">
        <v>50</v>
      </c>
      <c r="H287" s="43">
        <v>600</v>
      </c>
      <c r="I287" s="35">
        <v>695</v>
      </c>
      <c r="J287" s="35">
        <v>0</v>
      </c>
      <c r="K287" s="36"/>
      <c r="L287" s="36"/>
      <c r="M287" s="36"/>
      <c r="N287" s="36"/>
      <c r="O287" s="36"/>
      <c r="P287" s="36"/>
      <c r="Q287" s="36"/>
      <c r="R287" s="36"/>
      <c r="S287" s="36"/>
      <c r="T287" s="36"/>
    </row>
    <row r="288" spans="1:20" ht="15.75">
      <c r="A288" s="14">
        <v>50253</v>
      </c>
      <c r="B288" s="44">
        <v>31</v>
      </c>
      <c r="C288" s="35">
        <v>194.20500000000001</v>
      </c>
      <c r="D288" s="35">
        <v>267.46600000000001</v>
      </c>
      <c r="E288" s="41">
        <v>812.32899999999995</v>
      </c>
      <c r="F288" s="35">
        <v>1274</v>
      </c>
      <c r="G288" s="35">
        <v>50</v>
      </c>
      <c r="H288" s="43">
        <v>600</v>
      </c>
      <c r="I288" s="35">
        <v>695</v>
      </c>
      <c r="J288" s="35">
        <v>0</v>
      </c>
      <c r="K288" s="36"/>
      <c r="L288" s="36"/>
      <c r="M288" s="36"/>
      <c r="N288" s="36"/>
      <c r="O288" s="36"/>
      <c r="P288" s="36"/>
      <c r="Q288" s="36"/>
      <c r="R288" s="36"/>
      <c r="S288" s="36"/>
      <c r="T288" s="36"/>
    </row>
    <row r="289" spans="1:20" ht="15.75">
      <c r="A289" s="14">
        <v>50284</v>
      </c>
      <c r="B289" s="44">
        <v>30</v>
      </c>
      <c r="C289" s="35">
        <v>194.20500000000001</v>
      </c>
      <c r="D289" s="35">
        <v>267.46600000000001</v>
      </c>
      <c r="E289" s="41">
        <v>812.32899999999995</v>
      </c>
      <c r="F289" s="35">
        <v>1274</v>
      </c>
      <c r="G289" s="35">
        <v>50</v>
      </c>
      <c r="H289" s="43">
        <v>600</v>
      </c>
      <c r="I289" s="35">
        <v>695</v>
      </c>
      <c r="J289" s="35">
        <v>0</v>
      </c>
      <c r="K289" s="36"/>
      <c r="L289" s="36"/>
      <c r="M289" s="36"/>
      <c r="N289" s="36"/>
      <c r="O289" s="36"/>
      <c r="P289" s="36"/>
      <c r="Q289" s="36"/>
      <c r="R289" s="36"/>
      <c r="S289" s="36"/>
      <c r="T289" s="36"/>
    </row>
    <row r="290" spans="1:20" ht="15.75">
      <c r="A290" s="14">
        <v>50314</v>
      </c>
      <c r="B290" s="44">
        <v>31</v>
      </c>
      <c r="C290" s="35">
        <v>131.881</v>
      </c>
      <c r="D290" s="35">
        <v>277.16699999999997</v>
      </c>
      <c r="E290" s="41">
        <v>829.952</v>
      </c>
      <c r="F290" s="35">
        <v>1239</v>
      </c>
      <c r="G290" s="35">
        <v>75</v>
      </c>
      <c r="H290" s="43">
        <v>600</v>
      </c>
      <c r="I290" s="35">
        <v>695</v>
      </c>
      <c r="J290" s="35">
        <v>0</v>
      </c>
      <c r="K290" s="36"/>
      <c r="L290" s="36"/>
      <c r="M290" s="36"/>
      <c r="N290" s="36"/>
      <c r="O290" s="36"/>
      <c r="P290" s="36"/>
      <c r="Q290" s="36"/>
      <c r="R290" s="36"/>
      <c r="S290" s="36"/>
      <c r="T290" s="36"/>
    </row>
    <row r="291" spans="1:20" ht="15.75">
      <c r="A291" s="14">
        <v>50345</v>
      </c>
      <c r="B291" s="44">
        <v>30</v>
      </c>
      <c r="C291" s="35">
        <v>122.58</v>
      </c>
      <c r="D291" s="35">
        <v>297.94099999999997</v>
      </c>
      <c r="E291" s="41">
        <v>729.47900000000004</v>
      </c>
      <c r="F291" s="35">
        <v>1150</v>
      </c>
      <c r="G291" s="35">
        <v>100</v>
      </c>
      <c r="H291" s="43">
        <v>600</v>
      </c>
      <c r="I291" s="35">
        <v>695</v>
      </c>
      <c r="J291" s="35">
        <v>50</v>
      </c>
      <c r="K291" s="36"/>
      <c r="L291" s="36"/>
      <c r="M291" s="36"/>
      <c r="N291" s="36"/>
      <c r="O291" s="36"/>
      <c r="P291" s="36"/>
      <c r="Q291" s="36"/>
      <c r="R291" s="36"/>
      <c r="S291" s="36"/>
      <c r="T291" s="36"/>
    </row>
    <row r="292" spans="1:20" ht="15.75">
      <c r="A292" s="14">
        <v>50375</v>
      </c>
      <c r="B292" s="44">
        <v>31</v>
      </c>
      <c r="C292" s="35">
        <v>122.58</v>
      </c>
      <c r="D292" s="35">
        <v>297.94099999999997</v>
      </c>
      <c r="E292" s="41">
        <v>729.47900000000004</v>
      </c>
      <c r="F292" s="35">
        <v>1150</v>
      </c>
      <c r="G292" s="35">
        <v>100</v>
      </c>
      <c r="H292" s="43">
        <v>600</v>
      </c>
      <c r="I292" s="35">
        <v>695</v>
      </c>
      <c r="J292" s="35">
        <v>50</v>
      </c>
      <c r="K292" s="36"/>
      <c r="L292" s="36"/>
      <c r="M292" s="36"/>
      <c r="N292" s="36"/>
      <c r="O292" s="36"/>
      <c r="P292" s="36"/>
      <c r="Q292" s="36"/>
      <c r="R292" s="36"/>
      <c r="S292" s="36"/>
      <c r="T292" s="36"/>
    </row>
    <row r="293" spans="1:20" ht="15.75">
      <c r="A293" s="13">
        <v>50436</v>
      </c>
      <c r="B293" s="44">
        <v>31</v>
      </c>
      <c r="C293" s="35">
        <v>122.58</v>
      </c>
      <c r="D293" s="35">
        <v>297.94099999999997</v>
      </c>
      <c r="E293" s="41">
        <v>729.47900000000004</v>
      </c>
      <c r="F293" s="35">
        <v>1150</v>
      </c>
      <c r="G293" s="35">
        <v>100</v>
      </c>
      <c r="H293" s="43">
        <v>600</v>
      </c>
      <c r="I293" s="35">
        <v>695</v>
      </c>
      <c r="J293" s="35">
        <v>50</v>
      </c>
      <c r="K293" s="36"/>
      <c r="L293" s="36"/>
      <c r="M293" s="36"/>
      <c r="N293" s="36"/>
      <c r="O293" s="36"/>
      <c r="P293" s="36"/>
      <c r="Q293" s="36"/>
      <c r="R293" s="36"/>
      <c r="S293" s="36"/>
      <c r="T293" s="36"/>
    </row>
    <row r="294" spans="1:20" ht="15.75">
      <c r="A294" s="13">
        <v>50464</v>
      </c>
      <c r="B294" s="44">
        <v>28</v>
      </c>
      <c r="C294" s="35">
        <v>122.58</v>
      </c>
      <c r="D294" s="35">
        <v>297.94099999999997</v>
      </c>
      <c r="E294" s="41">
        <v>729.47900000000004</v>
      </c>
      <c r="F294" s="35">
        <v>1150</v>
      </c>
      <c r="G294" s="35">
        <v>100</v>
      </c>
      <c r="H294" s="43">
        <v>600</v>
      </c>
      <c r="I294" s="35">
        <v>695</v>
      </c>
      <c r="J294" s="35">
        <v>50</v>
      </c>
      <c r="K294" s="36"/>
      <c r="L294" s="36"/>
      <c r="M294" s="36"/>
      <c r="N294" s="36"/>
      <c r="O294" s="36"/>
      <c r="P294" s="36"/>
      <c r="Q294" s="36"/>
      <c r="R294" s="36"/>
      <c r="S294" s="36"/>
      <c r="T294" s="36"/>
    </row>
    <row r="295" spans="1:20" ht="15.75">
      <c r="A295" s="13">
        <v>50495</v>
      </c>
      <c r="B295" s="44">
        <v>31</v>
      </c>
      <c r="C295" s="35">
        <v>122.58</v>
      </c>
      <c r="D295" s="35">
        <v>297.94099999999997</v>
      </c>
      <c r="E295" s="41">
        <v>729.47900000000004</v>
      </c>
      <c r="F295" s="35">
        <v>1150</v>
      </c>
      <c r="G295" s="35">
        <v>100</v>
      </c>
      <c r="H295" s="43">
        <v>600</v>
      </c>
      <c r="I295" s="35">
        <v>695</v>
      </c>
      <c r="J295" s="35">
        <v>50</v>
      </c>
      <c r="K295" s="36"/>
      <c r="L295" s="36"/>
      <c r="M295" s="36"/>
      <c r="N295" s="36"/>
      <c r="O295" s="36"/>
      <c r="P295" s="36"/>
      <c r="Q295" s="36"/>
      <c r="R295" s="36"/>
      <c r="S295" s="36"/>
      <c r="T295" s="36"/>
    </row>
    <row r="296" spans="1:20" ht="15.75">
      <c r="A296" s="13">
        <v>50525</v>
      </c>
      <c r="B296" s="44">
        <v>30</v>
      </c>
      <c r="C296" s="35">
        <v>141.29300000000001</v>
      </c>
      <c r="D296" s="35">
        <v>267.99299999999999</v>
      </c>
      <c r="E296" s="41">
        <v>829.71400000000006</v>
      </c>
      <c r="F296" s="35">
        <v>1239</v>
      </c>
      <c r="G296" s="35">
        <v>100</v>
      </c>
      <c r="H296" s="43">
        <v>600</v>
      </c>
      <c r="I296" s="35">
        <v>695</v>
      </c>
      <c r="J296" s="35">
        <v>50</v>
      </c>
      <c r="K296" s="36"/>
      <c r="L296" s="36"/>
      <c r="M296" s="36"/>
      <c r="N296" s="36"/>
      <c r="O296" s="36"/>
      <c r="P296" s="36"/>
      <c r="Q296" s="36"/>
      <c r="R296" s="36"/>
      <c r="S296" s="36"/>
      <c r="T296" s="36"/>
    </row>
    <row r="297" spans="1:20" ht="15.75">
      <c r="A297" s="13">
        <v>50556</v>
      </c>
      <c r="B297" s="44">
        <v>31</v>
      </c>
      <c r="C297" s="35">
        <v>194.20500000000001</v>
      </c>
      <c r="D297" s="35">
        <v>267.46600000000001</v>
      </c>
      <c r="E297" s="41">
        <v>812.32899999999995</v>
      </c>
      <c r="F297" s="35">
        <v>1274</v>
      </c>
      <c r="G297" s="35">
        <v>75</v>
      </c>
      <c r="H297" s="43">
        <v>600</v>
      </c>
      <c r="I297" s="35">
        <v>695</v>
      </c>
      <c r="J297" s="35">
        <v>50</v>
      </c>
      <c r="K297" s="36"/>
      <c r="L297" s="36"/>
      <c r="M297" s="36"/>
      <c r="N297" s="36"/>
      <c r="O297" s="36"/>
      <c r="P297" s="36"/>
      <c r="Q297" s="36"/>
      <c r="R297" s="36"/>
      <c r="S297" s="36"/>
      <c r="T297" s="36"/>
    </row>
    <row r="298" spans="1:20" ht="15.75">
      <c r="A298" s="13">
        <v>50586</v>
      </c>
      <c r="B298" s="44">
        <v>30</v>
      </c>
      <c r="C298" s="35">
        <v>194.20500000000001</v>
      </c>
      <c r="D298" s="35">
        <v>267.46600000000001</v>
      </c>
      <c r="E298" s="41">
        <v>812.32899999999995</v>
      </c>
      <c r="F298" s="35">
        <v>1274</v>
      </c>
      <c r="G298" s="35">
        <v>50</v>
      </c>
      <c r="H298" s="43">
        <v>600</v>
      </c>
      <c r="I298" s="35">
        <v>695</v>
      </c>
      <c r="J298" s="35">
        <v>50</v>
      </c>
      <c r="K298" s="36"/>
      <c r="L298" s="36"/>
      <c r="M298" s="36"/>
      <c r="N298" s="36"/>
      <c r="O298" s="36"/>
      <c r="P298" s="36"/>
      <c r="Q298" s="36"/>
      <c r="R298" s="36"/>
      <c r="S298" s="36"/>
      <c r="T298" s="36"/>
    </row>
    <row r="299" spans="1:20" ht="15.75">
      <c r="A299" s="13">
        <v>50617</v>
      </c>
      <c r="B299" s="44">
        <v>31</v>
      </c>
      <c r="C299" s="35">
        <v>194.20500000000001</v>
      </c>
      <c r="D299" s="35">
        <v>267.46600000000001</v>
      </c>
      <c r="E299" s="41">
        <v>812.32899999999995</v>
      </c>
      <c r="F299" s="35">
        <v>1274</v>
      </c>
      <c r="G299" s="35">
        <v>50</v>
      </c>
      <c r="H299" s="43">
        <v>600</v>
      </c>
      <c r="I299" s="35">
        <v>695</v>
      </c>
      <c r="J299" s="35">
        <v>0</v>
      </c>
      <c r="K299" s="36"/>
      <c r="L299" s="36"/>
      <c r="M299" s="36"/>
      <c r="N299" s="36"/>
      <c r="O299" s="36"/>
      <c r="P299" s="36"/>
      <c r="Q299" s="36"/>
      <c r="R299" s="36"/>
      <c r="S299" s="36"/>
      <c r="T299" s="36"/>
    </row>
    <row r="300" spans="1:20" ht="15.75">
      <c r="A300" s="13">
        <v>50648</v>
      </c>
      <c r="B300" s="44">
        <v>31</v>
      </c>
      <c r="C300" s="35">
        <v>194.20500000000001</v>
      </c>
      <c r="D300" s="35">
        <v>267.46600000000001</v>
      </c>
      <c r="E300" s="41">
        <v>812.32899999999995</v>
      </c>
      <c r="F300" s="35">
        <v>1274</v>
      </c>
      <c r="G300" s="35">
        <v>50</v>
      </c>
      <c r="H300" s="43">
        <v>600</v>
      </c>
      <c r="I300" s="35">
        <v>695</v>
      </c>
      <c r="J300" s="35">
        <v>0</v>
      </c>
      <c r="K300" s="36"/>
      <c r="L300" s="36"/>
      <c r="M300" s="36"/>
      <c r="N300" s="36"/>
      <c r="O300" s="36"/>
      <c r="P300" s="36"/>
      <c r="Q300" s="36"/>
      <c r="R300" s="36"/>
      <c r="S300" s="36"/>
      <c r="T300" s="36"/>
    </row>
    <row r="301" spans="1:20" ht="15.75">
      <c r="A301" s="13">
        <v>50678</v>
      </c>
      <c r="B301" s="44">
        <v>30</v>
      </c>
      <c r="C301" s="35">
        <v>194.20500000000001</v>
      </c>
      <c r="D301" s="35">
        <v>267.46600000000001</v>
      </c>
      <c r="E301" s="41">
        <v>812.32899999999995</v>
      </c>
      <c r="F301" s="35">
        <v>1274</v>
      </c>
      <c r="G301" s="35">
        <v>50</v>
      </c>
      <c r="H301" s="43">
        <v>600</v>
      </c>
      <c r="I301" s="35">
        <v>695</v>
      </c>
      <c r="J301" s="35">
        <v>0</v>
      </c>
      <c r="K301" s="36"/>
      <c r="L301" s="36"/>
      <c r="M301" s="36"/>
      <c r="N301" s="36"/>
      <c r="O301" s="36"/>
      <c r="P301" s="36"/>
      <c r="Q301" s="36"/>
      <c r="R301" s="36"/>
      <c r="S301" s="36"/>
      <c r="T301" s="36"/>
    </row>
    <row r="302" spans="1:20" ht="15.75">
      <c r="A302" s="13">
        <v>50709</v>
      </c>
      <c r="B302" s="44">
        <v>31</v>
      </c>
      <c r="C302" s="35">
        <v>131.881</v>
      </c>
      <c r="D302" s="35">
        <v>277.16699999999997</v>
      </c>
      <c r="E302" s="41">
        <v>829.952</v>
      </c>
      <c r="F302" s="35">
        <v>1239</v>
      </c>
      <c r="G302" s="35">
        <v>75</v>
      </c>
      <c r="H302" s="43">
        <v>600</v>
      </c>
      <c r="I302" s="35">
        <v>695</v>
      </c>
      <c r="J302" s="35">
        <v>0</v>
      </c>
      <c r="K302" s="36"/>
      <c r="L302" s="36"/>
      <c r="M302" s="36"/>
      <c r="N302" s="36"/>
      <c r="O302" s="36"/>
      <c r="P302" s="36"/>
      <c r="Q302" s="36"/>
      <c r="R302" s="36"/>
      <c r="S302" s="36"/>
      <c r="T302" s="36"/>
    </row>
    <row r="303" spans="1:20" ht="15.75">
      <c r="A303" s="13">
        <v>50739</v>
      </c>
      <c r="B303" s="44">
        <v>30</v>
      </c>
      <c r="C303" s="35">
        <v>122.58</v>
      </c>
      <c r="D303" s="35">
        <v>297.94099999999997</v>
      </c>
      <c r="E303" s="41">
        <v>729.47900000000004</v>
      </c>
      <c r="F303" s="35">
        <v>1150</v>
      </c>
      <c r="G303" s="35">
        <v>100</v>
      </c>
      <c r="H303" s="43">
        <v>600</v>
      </c>
      <c r="I303" s="35">
        <v>695</v>
      </c>
      <c r="J303" s="35">
        <v>50</v>
      </c>
      <c r="K303" s="36"/>
      <c r="L303" s="36"/>
      <c r="M303" s="36"/>
      <c r="N303" s="36"/>
      <c r="O303" s="36"/>
      <c r="P303" s="36"/>
      <c r="Q303" s="36"/>
      <c r="R303" s="36"/>
      <c r="S303" s="36"/>
      <c r="T303" s="36"/>
    </row>
    <row r="304" spans="1:20" ht="15.75">
      <c r="A304" s="13">
        <v>50770</v>
      </c>
      <c r="B304" s="44">
        <v>31</v>
      </c>
      <c r="C304" s="35">
        <v>122.58</v>
      </c>
      <c r="D304" s="35">
        <v>297.94099999999997</v>
      </c>
      <c r="E304" s="41">
        <v>729.47900000000004</v>
      </c>
      <c r="F304" s="35">
        <v>1150</v>
      </c>
      <c r="G304" s="35">
        <v>100</v>
      </c>
      <c r="H304" s="43">
        <v>600</v>
      </c>
      <c r="I304" s="35">
        <v>695</v>
      </c>
      <c r="J304" s="35">
        <v>50</v>
      </c>
      <c r="K304" s="36"/>
      <c r="L304" s="36"/>
      <c r="M304" s="36"/>
      <c r="N304" s="36"/>
      <c r="O304" s="36"/>
      <c r="P304" s="36"/>
      <c r="Q304" s="36"/>
      <c r="R304" s="36"/>
      <c r="S304" s="36"/>
      <c r="T304" s="36"/>
    </row>
    <row r="305" spans="1:20" ht="15.75">
      <c r="A305" s="13">
        <v>50801</v>
      </c>
      <c r="B305" s="44">
        <v>31</v>
      </c>
      <c r="C305" s="35">
        <v>122.58</v>
      </c>
      <c r="D305" s="35">
        <v>297.94099999999997</v>
      </c>
      <c r="E305" s="41">
        <v>729.47900000000004</v>
      </c>
      <c r="F305" s="35">
        <v>1150</v>
      </c>
      <c r="G305" s="35">
        <v>100</v>
      </c>
      <c r="H305" s="43">
        <v>600</v>
      </c>
      <c r="I305" s="35">
        <v>695</v>
      </c>
      <c r="J305" s="35">
        <v>50</v>
      </c>
      <c r="K305" s="36"/>
      <c r="L305" s="36"/>
      <c r="M305" s="36"/>
      <c r="N305" s="36"/>
      <c r="O305" s="36"/>
      <c r="P305" s="36"/>
      <c r="Q305" s="36"/>
      <c r="R305" s="36"/>
      <c r="S305" s="36"/>
      <c r="T305" s="36"/>
    </row>
    <row r="306" spans="1:20" ht="15.75">
      <c r="A306" s="13">
        <v>50829</v>
      </c>
      <c r="B306" s="44">
        <v>28</v>
      </c>
      <c r="C306" s="35">
        <v>122.58</v>
      </c>
      <c r="D306" s="35">
        <v>297.94099999999997</v>
      </c>
      <c r="E306" s="41">
        <v>729.47900000000004</v>
      </c>
      <c r="F306" s="35">
        <v>1150</v>
      </c>
      <c r="G306" s="35">
        <v>100</v>
      </c>
      <c r="H306" s="43">
        <v>600</v>
      </c>
      <c r="I306" s="35">
        <v>695</v>
      </c>
      <c r="J306" s="35">
        <v>50</v>
      </c>
      <c r="K306" s="36"/>
      <c r="L306" s="36"/>
      <c r="M306" s="36"/>
      <c r="N306" s="36"/>
      <c r="O306" s="36"/>
      <c r="P306" s="36"/>
      <c r="Q306" s="36"/>
      <c r="R306" s="36"/>
      <c r="S306" s="36"/>
      <c r="T306" s="36"/>
    </row>
    <row r="307" spans="1:20" ht="15.75">
      <c r="A307" s="13">
        <v>50860</v>
      </c>
      <c r="B307" s="44">
        <v>31</v>
      </c>
      <c r="C307" s="35">
        <v>122.58</v>
      </c>
      <c r="D307" s="35">
        <v>297.94099999999997</v>
      </c>
      <c r="E307" s="41">
        <v>729.47900000000004</v>
      </c>
      <c r="F307" s="35">
        <v>1150</v>
      </c>
      <c r="G307" s="35">
        <v>100</v>
      </c>
      <c r="H307" s="43">
        <v>600</v>
      </c>
      <c r="I307" s="35">
        <v>695</v>
      </c>
      <c r="J307" s="35">
        <v>50</v>
      </c>
      <c r="K307" s="36"/>
      <c r="L307" s="36"/>
      <c r="M307" s="36"/>
      <c r="N307" s="36"/>
      <c r="O307" s="36"/>
      <c r="P307" s="36"/>
      <c r="Q307" s="36"/>
      <c r="R307" s="36"/>
      <c r="S307" s="36"/>
      <c r="T307" s="36"/>
    </row>
    <row r="308" spans="1:20" ht="15.75">
      <c r="A308" s="13">
        <v>50890</v>
      </c>
      <c r="B308" s="44">
        <v>30</v>
      </c>
      <c r="C308" s="35">
        <v>141.29300000000001</v>
      </c>
      <c r="D308" s="35">
        <v>267.99299999999999</v>
      </c>
      <c r="E308" s="41">
        <v>829.71400000000006</v>
      </c>
      <c r="F308" s="35">
        <v>1239</v>
      </c>
      <c r="G308" s="35">
        <v>100</v>
      </c>
      <c r="H308" s="43">
        <v>600</v>
      </c>
      <c r="I308" s="35">
        <v>695</v>
      </c>
      <c r="J308" s="35">
        <v>50</v>
      </c>
      <c r="K308" s="36"/>
      <c r="L308" s="36"/>
      <c r="M308" s="36"/>
      <c r="N308" s="36"/>
      <c r="O308" s="36"/>
      <c r="P308" s="36"/>
      <c r="Q308" s="36"/>
      <c r="R308" s="36"/>
      <c r="S308" s="36"/>
      <c r="T308" s="36"/>
    </row>
    <row r="309" spans="1:20" ht="15.75">
      <c r="A309" s="13">
        <v>50921</v>
      </c>
      <c r="B309" s="44">
        <v>31</v>
      </c>
      <c r="C309" s="35">
        <v>194.20500000000001</v>
      </c>
      <c r="D309" s="35">
        <v>267.46600000000001</v>
      </c>
      <c r="E309" s="41">
        <v>812.32899999999995</v>
      </c>
      <c r="F309" s="35">
        <v>1274</v>
      </c>
      <c r="G309" s="35">
        <v>75</v>
      </c>
      <c r="H309" s="43">
        <v>600</v>
      </c>
      <c r="I309" s="35">
        <v>695</v>
      </c>
      <c r="J309" s="35">
        <v>50</v>
      </c>
      <c r="K309" s="36"/>
      <c r="L309" s="36"/>
      <c r="M309" s="36"/>
      <c r="N309" s="36"/>
      <c r="O309" s="36"/>
      <c r="P309" s="36"/>
      <c r="Q309" s="36"/>
      <c r="R309" s="36"/>
      <c r="S309" s="36"/>
      <c r="T309" s="36"/>
    </row>
    <row r="310" spans="1:20" ht="15.75">
      <c r="A310" s="13">
        <v>50951</v>
      </c>
      <c r="B310" s="44">
        <v>30</v>
      </c>
      <c r="C310" s="35">
        <v>194.20500000000001</v>
      </c>
      <c r="D310" s="35">
        <v>267.46600000000001</v>
      </c>
      <c r="E310" s="41">
        <v>812.32899999999995</v>
      </c>
      <c r="F310" s="35">
        <v>1274</v>
      </c>
      <c r="G310" s="35">
        <v>50</v>
      </c>
      <c r="H310" s="43">
        <v>600</v>
      </c>
      <c r="I310" s="35">
        <v>695</v>
      </c>
      <c r="J310" s="35">
        <v>50</v>
      </c>
      <c r="K310" s="36"/>
      <c r="L310" s="36"/>
      <c r="M310" s="36"/>
      <c r="N310" s="36"/>
      <c r="O310" s="36"/>
      <c r="P310" s="36"/>
      <c r="Q310" s="36"/>
      <c r="R310" s="36"/>
      <c r="S310" s="36"/>
      <c r="T310" s="36"/>
    </row>
    <row r="311" spans="1:20" ht="15.75">
      <c r="A311" s="13">
        <v>50982</v>
      </c>
      <c r="B311" s="44">
        <v>31</v>
      </c>
      <c r="C311" s="35">
        <v>194.20500000000001</v>
      </c>
      <c r="D311" s="35">
        <v>267.46600000000001</v>
      </c>
      <c r="E311" s="41">
        <v>812.32899999999995</v>
      </c>
      <c r="F311" s="35">
        <v>1274</v>
      </c>
      <c r="G311" s="35">
        <v>50</v>
      </c>
      <c r="H311" s="43">
        <v>600</v>
      </c>
      <c r="I311" s="35">
        <v>695</v>
      </c>
      <c r="J311" s="35">
        <v>0</v>
      </c>
      <c r="K311" s="36"/>
      <c r="L311" s="36"/>
      <c r="M311" s="36"/>
      <c r="N311" s="36"/>
      <c r="O311" s="36"/>
      <c r="P311" s="36"/>
      <c r="Q311" s="36"/>
      <c r="R311" s="36"/>
      <c r="S311" s="36"/>
      <c r="T311" s="36"/>
    </row>
    <row r="312" spans="1:20" ht="15.75">
      <c r="A312" s="13">
        <v>51013</v>
      </c>
      <c r="B312" s="44">
        <v>31</v>
      </c>
      <c r="C312" s="35">
        <v>194.20500000000001</v>
      </c>
      <c r="D312" s="35">
        <v>267.46600000000001</v>
      </c>
      <c r="E312" s="41">
        <v>812.32899999999995</v>
      </c>
      <c r="F312" s="35">
        <v>1274</v>
      </c>
      <c r="G312" s="35">
        <v>50</v>
      </c>
      <c r="H312" s="43">
        <v>600</v>
      </c>
      <c r="I312" s="35">
        <v>695</v>
      </c>
      <c r="J312" s="35">
        <v>0</v>
      </c>
      <c r="K312" s="36"/>
      <c r="L312" s="36"/>
      <c r="M312" s="36"/>
      <c r="N312" s="36"/>
      <c r="O312" s="36"/>
      <c r="P312" s="36"/>
      <c r="Q312" s="36"/>
      <c r="R312" s="36"/>
      <c r="S312" s="36"/>
      <c r="T312" s="36"/>
    </row>
    <row r="313" spans="1:20" ht="15.75">
      <c r="A313" s="13">
        <v>51043</v>
      </c>
      <c r="B313" s="44">
        <v>30</v>
      </c>
      <c r="C313" s="35">
        <v>194.20500000000001</v>
      </c>
      <c r="D313" s="35">
        <v>267.46600000000001</v>
      </c>
      <c r="E313" s="41">
        <v>812.32899999999995</v>
      </c>
      <c r="F313" s="35">
        <v>1274</v>
      </c>
      <c r="G313" s="35">
        <v>50</v>
      </c>
      <c r="H313" s="43">
        <v>600</v>
      </c>
      <c r="I313" s="35">
        <v>695</v>
      </c>
      <c r="J313" s="35">
        <v>0</v>
      </c>
      <c r="K313" s="36"/>
      <c r="L313" s="36"/>
      <c r="M313" s="36"/>
      <c r="N313" s="36"/>
      <c r="O313" s="36"/>
      <c r="P313" s="36"/>
      <c r="Q313" s="36"/>
      <c r="R313" s="36"/>
      <c r="S313" s="36"/>
      <c r="T313" s="36"/>
    </row>
    <row r="314" spans="1:20" ht="15.75">
      <c r="A314" s="13">
        <v>51074</v>
      </c>
      <c r="B314" s="44">
        <v>31</v>
      </c>
      <c r="C314" s="35">
        <v>131.881</v>
      </c>
      <c r="D314" s="35">
        <v>277.16699999999997</v>
      </c>
      <c r="E314" s="41">
        <v>829.952</v>
      </c>
      <c r="F314" s="35">
        <v>1239</v>
      </c>
      <c r="G314" s="35">
        <v>75</v>
      </c>
      <c r="H314" s="43">
        <v>600</v>
      </c>
      <c r="I314" s="35">
        <v>695</v>
      </c>
      <c r="J314" s="35">
        <v>0</v>
      </c>
      <c r="K314" s="36"/>
      <c r="L314" s="36"/>
      <c r="M314" s="36"/>
      <c r="N314" s="36"/>
      <c r="O314" s="36"/>
      <c r="P314" s="36"/>
      <c r="Q314" s="36"/>
      <c r="R314" s="36"/>
      <c r="S314" s="36"/>
      <c r="T314" s="36"/>
    </row>
    <row r="315" spans="1:20" ht="15.75">
      <c r="A315" s="13">
        <v>51104</v>
      </c>
      <c r="B315" s="44">
        <v>30</v>
      </c>
      <c r="C315" s="35">
        <v>122.58</v>
      </c>
      <c r="D315" s="35">
        <v>297.94099999999997</v>
      </c>
      <c r="E315" s="41">
        <v>729.47900000000004</v>
      </c>
      <c r="F315" s="35">
        <v>1150</v>
      </c>
      <c r="G315" s="35">
        <v>100</v>
      </c>
      <c r="H315" s="43">
        <v>600</v>
      </c>
      <c r="I315" s="35">
        <v>695</v>
      </c>
      <c r="J315" s="35">
        <v>50</v>
      </c>
      <c r="K315" s="36"/>
      <c r="L315" s="36"/>
      <c r="M315" s="36"/>
      <c r="N315" s="36"/>
      <c r="O315" s="36"/>
      <c r="P315" s="36"/>
      <c r="Q315" s="36"/>
      <c r="R315" s="36"/>
      <c r="S315" s="36"/>
      <c r="T315" s="36"/>
    </row>
    <row r="316" spans="1:20" ht="15.75">
      <c r="A316" s="13">
        <v>51135</v>
      </c>
      <c r="B316" s="44">
        <v>31</v>
      </c>
      <c r="C316" s="35">
        <v>122.58</v>
      </c>
      <c r="D316" s="35">
        <v>297.94099999999997</v>
      </c>
      <c r="E316" s="41">
        <v>729.47900000000004</v>
      </c>
      <c r="F316" s="35">
        <v>1150</v>
      </c>
      <c r="G316" s="35">
        <v>100</v>
      </c>
      <c r="H316" s="43">
        <v>600</v>
      </c>
      <c r="I316" s="35">
        <v>695</v>
      </c>
      <c r="J316" s="35">
        <v>50</v>
      </c>
      <c r="K316" s="36"/>
      <c r="L316" s="36"/>
      <c r="M316" s="36"/>
      <c r="N316" s="36"/>
      <c r="O316" s="36"/>
      <c r="P316" s="36"/>
      <c r="Q316" s="36"/>
      <c r="R316" s="36"/>
      <c r="S316" s="36"/>
      <c r="T316" s="36"/>
    </row>
    <row r="317" spans="1:20" ht="15.75">
      <c r="A317" s="13">
        <v>51166</v>
      </c>
      <c r="B317" s="44">
        <v>31</v>
      </c>
      <c r="C317" s="35">
        <v>122.58</v>
      </c>
      <c r="D317" s="35">
        <v>297.94099999999997</v>
      </c>
      <c r="E317" s="41">
        <v>729.47900000000004</v>
      </c>
      <c r="F317" s="35">
        <v>1150</v>
      </c>
      <c r="G317" s="35">
        <v>100</v>
      </c>
      <c r="H317" s="43">
        <v>600</v>
      </c>
      <c r="I317" s="35">
        <v>695</v>
      </c>
      <c r="J317" s="35">
        <v>50</v>
      </c>
      <c r="K317" s="36"/>
      <c r="L317" s="36"/>
      <c r="M317" s="36"/>
      <c r="N317" s="36"/>
      <c r="O317" s="36"/>
      <c r="P317" s="36"/>
      <c r="Q317" s="36"/>
      <c r="R317" s="36"/>
      <c r="S317" s="36"/>
      <c r="T317" s="36"/>
    </row>
    <row r="318" spans="1:20" ht="15.75">
      <c r="A318" s="13">
        <v>51194</v>
      </c>
      <c r="B318" s="44">
        <v>29</v>
      </c>
      <c r="C318" s="35">
        <v>122.58</v>
      </c>
      <c r="D318" s="35">
        <v>297.94099999999997</v>
      </c>
      <c r="E318" s="41">
        <v>729.47900000000004</v>
      </c>
      <c r="F318" s="35">
        <v>1150</v>
      </c>
      <c r="G318" s="35">
        <v>100</v>
      </c>
      <c r="H318" s="43">
        <v>600</v>
      </c>
      <c r="I318" s="35">
        <v>695</v>
      </c>
      <c r="J318" s="35">
        <v>50</v>
      </c>
      <c r="K318" s="36"/>
      <c r="L318" s="36"/>
      <c r="M318" s="36"/>
      <c r="N318" s="36"/>
      <c r="O318" s="36"/>
      <c r="P318" s="36"/>
      <c r="Q318" s="36"/>
      <c r="R318" s="36"/>
      <c r="S318" s="36"/>
      <c r="T318" s="36"/>
    </row>
    <row r="319" spans="1:20" ht="15.75">
      <c r="A319" s="13">
        <v>51226</v>
      </c>
      <c r="B319" s="44">
        <v>31</v>
      </c>
      <c r="C319" s="35">
        <v>122.58</v>
      </c>
      <c r="D319" s="35">
        <v>297.94099999999997</v>
      </c>
      <c r="E319" s="41">
        <v>729.47900000000004</v>
      </c>
      <c r="F319" s="35">
        <v>1150</v>
      </c>
      <c r="G319" s="35">
        <v>100</v>
      </c>
      <c r="H319" s="43">
        <v>600</v>
      </c>
      <c r="I319" s="35">
        <v>695</v>
      </c>
      <c r="J319" s="35">
        <v>50</v>
      </c>
      <c r="K319" s="36"/>
      <c r="L319" s="36"/>
      <c r="M319" s="36"/>
      <c r="N319" s="36"/>
      <c r="O319" s="36"/>
      <c r="P319" s="36"/>
      <c r="Q319" s="36"/>
      <c r="R319" s="36"/>
      <c r="S319" s="36"/>
      <c r="T319" s="36"/>
    </row>
    <row r="320" spans="1:20" ht="15.75">
      <c r="A320" s="13">
        <v>51256</v>
      </c>
      <c r="B320" s="44">
        <v>30</v>
      </c>
      <c r="C320" s="35">
        <v>141.29300000000001</v>
      </c>
      <c r="D320" s="35">
        <v>267.99299999999999</v>
      </c>
      <c r="E320" s="41">
        <v>829.71400000000006</v>
      </c>
      <c r="F320" s="35">
        <v>1239</v>
      </c>
      <c r="G320" s="35">
        <v>100</v>
      </c>
      <c r="H320" s="43">
        <v>600</v>
      </c>
      <c r="I320" s="35">
        <v>695</v>
      </c>
      <c r="J320" s="35">
        <v>50</v>
      </c>
      <c r="K320" s="36"/>
      <c r="L320" s="36"/>
      <c r="M320" s="36"/>
      <c r="N320" s="36"/>
      <c r="O320" s="36"/>
      <c r="P320" s="36"/>
      <c r="Q320" s="36"/>
      <c r="R320" s="36"/>
      <c r="S320" s="36"/>
      <c r="T320" s="36"/>
    </row>
    <row r="321" spans="1:20" ht="15.75">
      <c r="A321" s="13">
        <v>51287</v>
      </c>
      <c r="B321" s="44">
        <v>31</v>
      </c>
      <c r="C321" s="35">
        <v>194.20500000000001</v>
      </c>
      <c r="D321" s="35">
        <v>267.46600000000001</v>
      </c>
      <c r="E321" s="41">
        <v>812.32899999999995</v>
      </c>
      <c r="F321" s="35">
        <v>1274</v>
      </c>
      <c r="G321" s="35">
        <v>75</v>
      </c>
      <c r="H321" s="43">
        <v>600</v>
      </c>
      <c r="I321" s="35">
        <v>695</v>
      </c>
      <c r="J321" s="35">
        <v>50</v>
      </c>
      <c r="K321" s="36"/>
      <c r="L321" s="36"/>
      <c r="M321" s="36"/>
      <c r="N321" s="36"/>
      <c r="O321" s="36"/>
      <c r="P321" s="36"/>
      <c r="Q321" s="36"/>
      <c r="R321" s="36"/>
      <c r="S321" s="36"/>
      <c r="T321" s="36"/>
    </row>
    <row r="322" spans="1:20" ht="15.75">
      <c r="A322" s="13">
        <v>51317</v>
      </c>
      <c r="B322" s="44">
        <v>30</v>
      </c>
      <c r="C322" s="35">
        <v>194.20500000000001</v>
      </c>
      <c r="D322" s="35">
        <v>267.46600000000001</v>
      </c>
      <c r="E322" s="41">
        <v>812.32899999999995</v>
      </c>
      <c r="F322" s="35">
        <v>1274</v>
      </c>
      <c r="G322" s="35">
        <v>50</v>
      </c>
      <c r="H322" s="43">
        <v>600</v>
      </c>
      <c r="I322" s="35">
        <v>695</v>
      </c>
      <c r="J322" s="35">
        <v>50</v>
      </c>
      <c r="K322" s="36"/>
      <c r="L322" s="36"/>
      <c r="M322" s="36"/>
      <c r="N322" s="36"/>
      <c r="O322" s="36"/>
      <c r="P322" s="36"/>
      <c r="Q322" s="36"/>
      <c r="R322" s="36"/>
      <c r="S322" s="36"/>
      <c r="T322" s="36"/>
    </row>
    <row r="323" spans="1:20" ht="15.75">
      <c r="A323" s="13">
        <v>51348</v>
      </c>
      <c r="B323" s="44">
        <v>31</v>
      </c>
      <c r="C323" s="35">
        <v>194.20500000000001</v>
      </c>
      <c r="D323" s="35">
        <v>267.46600000000001</v>
      </c>
      <c r="E323" s="41">
        <v>812.32899999999995</v>
      </c>
      <c r="F323" s="35">
        <v>1274</v>
      </c>
      <c r="G323" s="35">
        <v>50</v>
      </c>
      <c r="H323" s="43">
        <v>600</v>
      </c>
      <c r="I323" s="35">
        <v>695</v>
      </c>
      <c r="J323" s="35">
        <v>0</v>
      </c>
      <c r="K323" s="36"/>
      <c r="L323" s="36"/>
      <c r="M323" s="36"/>
      <c r="N323" s="36"/>
      <c r="O323" s="36"/>
      <c r="P323" s="36"/>
      <c r="Q323" s="36"/>
      <c r="R323" s="36"/>
      <c r="S323" s="36"/>
      <c r="T323" s="36"/>
    </row>
    <row r="324" spans="1:20" ht="15.75">
      <c r="A324" s="13">
        <v>51379</v>
      </c>
      <c r="B324" s="44">
        <v>31</v>
      </c>
      <c r="C324" s="35">
        <v>194.20500000000001</v>
      </c>
      <c r="D324" s="35">
        <v>267.46600000000001</v>
      </c>
      <c r="E324" s="41">
        <v>812.32899999999995</v>
      </c>
      <c r="F324" s="35">
        <v>1274</v>
      </c>
      <c r="G324" s="35">
        <v>50</v>
      </c>
      <c r="H324" s="43">
        <v>600</v>
      </c>
      <c r="I324" s="35">
        <v>695</v>
      </c>
      <c r="J324" s="35">
        <v>0</v>
      </c>
      <c r="K324" s="36"/>
      <c r="L324" s="36"/>
      <c r="M324" s="36"/>
      <c r="N324" s="36"/>
      <c r="O324" s="36"/>
      <c r="P324" s="36"/>
      <c r="Q324" s="36"/>
      <c r="R324" s="36"/>
      <c r="S324" s="36"/>
      <c r="T324" s="36"/>
    </row>
    <row r="325" spans="1:20" ht="15.75">
      <c r="A325" s="13">
        <v>51409</v>
      </c>
      <c r="B325" s="44">
        <v>30</v>
      </c>
      <c r="C325" s="35">
        <v>194.20500000000001</v>
      </c>
      <c r="D325" s="35">
        <v>267.46600000000001</v>
      </c>
      <c r="E325" s="41">
        <v>812.32899999999995</v>
      </c>
      <c r="F325" s="35">
        <v>1274</v>
      </c>
      <c r="G325" s="35">
        <v>50</v>
      </c>
      <c r="H325" s="43">
        <v>600</v>
      </c>
      <c r="I325" s="35">
        <v>695</v>
      </c>
      <c r="J325" s="35">
        <v>0</v>
      </c>
      <c r="K325" s="36"/>
      <c r="L325" s="36"/>
      <c r="M325" s="36"/>
      <c r="N325" s="36"/>
      <c r="O325" s="36"/>
      <c r="P325" s="36"/>
      <c r="Q325" s="36"/>
      <c r="R325" s="36"/>
      <c r="S325" s="36"/>
      <c r="T325" s="36"/>
    </row>
    <row r="326" spans="1:20" ht="15.75">
      <c r="A326" s="13">
        <v>51440</v>
      </c>
      <c r="B326" s="44">
        <v>31</v>
      </c>
      <c r="C326" s="35">
        <v>131.881</v>
      </c>
      <c r="D326" s="35">
        <v>277.16699999999997</v>
      </c>
      <c r="E326" s="41">
        <v>829.952</v>
      </c>
      <c r="F326" s="35">
        <v>1239</v>
      </c>
      <c r="G326" s="35">
        <v>75</v>
      </c>
      <c r="H326" s="43">
        <v>600</v>
      </c>
      <c r="I326" s="35">
        <v>695</v>
      </c>
      <c r="J326" s="35">
        <v>0</v>
      </c>
      <c r="K326" s="36"/>
      <c r="L326" s="36"/>
      <c r="M326" s="36"/>
      <c r="N326" s="36"/>
      <c r="O326" s="36"/>
      <c r="P326" s="36"/>
      <c r="Q326" s="36"/>
      <c r="R326" s="36"/>
      <c r="S326" s="36"/>
      <c r="T326" s="36"/>
    </row>
    <row r="327" spans="1:20" ht="15.75">
      <c r="A327" s="13">
        <v>51470</v>
      </c>
      <c r="B327" s="44">
        <v>30</v>
      </c>
      <c r="C327" s="35">
        <v>122.58</v>
      </c>
      <c r="D327" s="35">
        <v>297.94099999999997</v>
      </c>
      <c r="E327" s="41">
        <v>729.47900000000004</v>
      </c>
      <c r="F327" s="35">
        <v>1150</v>
      </c>
      <c r="G327" s="35">
        <v>100</v>
      </c>
      <c r="H327" s="43">
        <v>600</v>
      </c>
      <c r="I327" s="35">
        <v>695</v>
      </c>
      <c r="J327" s="35">
        <v>50</v>
      </c>
      <c r="K327" s="36"/>
      <c r="L327" s="36"/>
      <c r="M327" s="36"/>
      <c r="N327" s="36"/>
      <c r="O327" s="36"/>
      <c r="P327" s="36"/>
      <c r="Q327" s="36"/>
      <c r="R327" s="36"/>
      <c r="S327" s="36"/>
      <c r="T327" s="36"/>
    </row>
    <row r="328" spans="1:20" ht="15.75">
      <c r="A328" s="13">
        <v>51501</v>
      </c>
      <c r="B328" s="44">
        <v>31</v>
      </c>
      <c r="C328" s="35">
        <v>122.58</v>
      </c>
      <c r="D328" s="35">
        <v>297.94099999999997</v>
      </c>
      <c r="E328" s="41">
        <v>729.47900000000004</v>
      </c>
      <c r="F328" s="35">
        <v>1150</v>
      </c>
      <c r="G328" s="35">
        <v>100</v>
      </c>
      <c r="H328" s="43">
        <v>600</v>
      </c>
      <c r="I328" s="35">
        <v>695</v>
      </c>
      <c r="J328" s="35">
        <v>50</v>
      </c>
      <c r="K328" s="36"/>
      <c r="L328" s="36"/>
      <c r="M328" s="36"/>
      <c r="N328" s="36"/>
      <c r="O328" s="36"/>
      <c r="P328" s="36"/>
      <c r="Q328" s="36"/>
      <c r="R328" s="36"/>
      <c r="S328" s="36"/>
      <c r="T328" s="36"/>
    </row>
    <row r="329" spans="1:20" ht="15.75">
      <c r="A329" s="13">
        <v>51532</v>
      </c>
      <c r="B329" s="44">
        <v>31</v>
      </c>
      <c r="C329" s="35">
        <v>122.58</v>
      </c>
      <c r="D329" s="35">
        <v>297.94099999999997</v>
      </c>
      <c r="E329" s="41">
        <v>729.47900000000004</v>
      </c>
      <c r="F329" s="35">
        <v>1150</v>
      </c>
      <c r="G329" s="35">
        <v>100</v>
      </c>
      <c r="H329" s="43">
        <v>600</v>
      </c>
      <c r="I329" s="35">
        <v>695</v>
      </c>
      <c r="J329" s="35">
        <v>50</v>
      </c>
      <c r="K329" s="36"/>
      <c r="L329" s="36"/>
      <c r="M329" s="36"/>
      <c r="N329" s="36"/>
      <c r="O329" s="36"/>
      <c r="P329" s="36"/>
      <c r="Q329" s="36"/>
      <c r="R329" s="36"/>
      <c r="S329" s="36"/>
      <c r="T329" s="36"/>
    </row>
    <row r="330" spans="1:20" ht="15.75">
      <c r="A330" s="13">
        <v>51560</v>
      </c>
      <c r="B330" s="44">
        <v>28</v>
      </c>
      <c r="C330" s="35">
        <v>122.58</v>
      </c>
      <c r="D330" s="35">
        <v>297.94099999999997</v>
      </c>
      <c r="E330" s="41">
        <v>729.47900000000004</v>
      </c>
      <c r="F330" s="35">
        <v>1150</v>
      </c>
      <c r="G330" s="35">
        <v>100</v>
      </c>
      <c r="H330" s="43">
        <v>600</v>
      </c>
      <c r="I330" s="35">
        <v>695</v>
      </c>
      <c r="J330" s="35">
        <v>50</v>
      </c>
      <c r="K330" s="36"/>
      <c r="L330" s="36"/>
      <c r="M330" s="36"/>
      <c r="N330" s="36"/>
      <c r="O330" s="36"/>
      <c r="P330" s="36"/>
      <c r="Q330" s="36"/>
      <c r="R330" s="36"/>
      <c r="S330" s="36"/>
      <c r="T330" s="36"/>
    </row>
    <row r="331" spans="1:20" ht="15.75">
      <c r="A331" s="13">
        <v>51591</v>
      </c>
      <c r="B331" s="44">
        <v>31</v>
      </c>
      <c r="C331" s="35">
        <v>122.58</v>
      </c>
      <c r="D331" s="35">
        <v>297.94099999999997</v>
      </c>
      <c r="E331" s="41">
        <v>729.47900000000004</v>
      </c>
      <c r="F331" s="35">
        <v>1150</v>
      </c>
      <c r="G331" s="35">
        <v>100</v>
      </c>
      <c r="H331" s="43">
        <v>600</v>
      </c>
      <c r="I331" s="35">
        <v>695</v>
      </c>
      <c r="J331" s="35">
        <v>50</v>
      </c>
      <c r="K331" s="36"/>
      <c r="L331" s="36"/>
      <c r="M331" s="36"/>
      <c r="N331" s="36"/>
      <c r="O331" s="36"/>
      <c r="P331" s="36"/>
      <c r="Q331" s="36"/>
      <c r="R331" s="36"/>
      <c r="S331" s="36"/>
      <c r="T331" s="36"/>
    </row>
    <row r="332" spans="1:20" ht="15.75">
      <c r="A332" s="13">
        <v>51621</v>
      </c>
      <c r="B332" s="44">
        <v>30</v>
      </c>
      <c r="C332" s="35">
        <v>141.29300000000001</v>
      </c>
      <c r="D332" s="35">
        <v>267.99299999999999</v>
      </c>
      <c r="E332" s="41">
        <v>829.71400000000006</v>
      </c>
      <c r="F332" s="35">
        <v>1239</v>
      </c>
      <c r="G332" s="35">
        <v>100</v>
      </c>
      <c r="H332" s="43">
        <v>600</v>
      </c>
      <c r="I332" s="35">
        <v>695</v>
      </c>
      <c r="J332" s="35">
        <v>50</v>
      </c>
      <c r="K332" s="36"/>
      <c r="L332" s="36"/>
      <c r="M332" s="36"/>
      <c r="N332" s="36"/>
      <c r="O332" s="36"/>
      <c r="P332" s="36"/>
      <c r="Q332" s="36"/>
      <c r="R332" s="36"/>
      <c r="S332" s="36"/>
      <c r="T332" s="36"/>
    </row>
    <row r="333" spans="1:20" ht="15.75">
      <c r="A333" s="13">
        <v>51652</v>
      </c>
      <c r="B333" s="44">
        <v>31</v>
      </c>
      <c r="C333" s="35">
        <v>194.20500000000001</v>
      </c>
      <c r="D333" s="35">
        <v>267.46600000000001</v>
      </c>
      <c r="E333" s="41">
        <v>812.32899999999995</v>
      </c>
      <c r="F333" s="35">
        <v>1274</v>
      </c>
      <c r="G333" s="35">
        <v>75</v>
      </c>
      <c r="H333" s="43">
        <v>600</v>
      </c>
      <c r="I333" s="35">
        <v>695</v>
      </c>
      <c r="J333" s="35">
        <v>50</v>
      </c>
      <c r="K333" s="36"/>
      <c r="L333" s="36"/>
      <c r="M333" s="36"/>
      <c r="N333" s="36"/>
      <c r="O333" s="36"/>
      <c r="P333" s="36"/>
      <c r="Q333" s="36"/>
      <c r="R333" s="36"/>
      <c r="S333" s="36"/>
      <c r="T333" s="36"/>
    </row>
    <row r="334" spans="1:20" ht="15.75">
      <c r="A334" s="13">
        <v>51682</v>
      </c>
      <c r="B334" s="44">
        <v>30</v>
      </c>
      <c r="C334" s="35">
        <v>194.20500000000001</v>
      </c>
      <c r="D334" s="35">
        <v>267.46600000000001</v>
      </c>
      <c r="E334" s="41">
        <v>812.32899999999995</v>
      </c>
      <c r="F334" s="35">
        <v>1274</v>
      </c>
      <c r="G334" s="35">
        <v>50</v>
      </c>
      <c r="H334" s="43">
        <v>600</v>
      </c>
      <c r="I334" s="35">
        <v>695</v>
      </c>
      <c r="J334" s="35">
        <v>50</v>
      </c>
      <c r="K334" s="36"/>
      <c r="L334" s="36"/>
      <c r="M334" s="36"/>
      <c r="N334" s="36"/>
      <c r="O334" s="36"/>
      <c r="P334" s="36"/>
      <c r="Q334" s="36"/>
      <c r="R334" s="36"/>
      <c r="S334" s="36"/>
      <c r="T334" s="36"/>
    </row>
    <row r="335" spans="1:20" ht="15.75">
      <c r="A335" s="13">
        <v>51713</v>
      </c>
      <c r="B335" s="44">
        <v>31</v>
      </c>
      <c r="C335" s="35">
        <v>194.20500000000001</v>
      </c>
      <c r="D335" s="35">
        <v>267.46600000000001</v>
      </c>
      <c r="E335" s="41">
        <v>812.32899999999995</v>
      </c>
      <c r="F335" s="35">
        <v>1274</v>
      </c>
      <c r="G335" s="35">
        <v>50</v>
      </c>
      <c r="H335" s="43">
        <v>600</v>
      </c>
      <c r="I335" s="35">
        <v>695</v>
      </c>
      <c r="J335" s="35">
        <v>0</v>
      </c>
      <c r="K335" s="36"/>
      <c r="L335" s="36"/>
      <c r="M335" s="36"/>
      <c r="N335" s="36"/>
      <c r="O335" s="36"/>
      <c r="P335" s="36"/>
      <c r="Q335" s="36"/>
      <c r="R335" s="36"/>
      <c r="S335" s="36"/>
      <c r="T335" s="36"/>
    </row>
    <row r="336" spans="1:20" ht="15.75">
      <c r="A336" s="13">
        <v>51744</v>
      </c>
      <c r="B336" s="44">
        <v>31</v>
      </c>
      <c r="C336" s="35">
        <v>194.20500000000001</v>
      </c>
      <c r="D336" s="35">
        <v>267.46600000000001</v>
      </c>
      <c r="E336" s="41">
        <v>812.32899999999995</v>
      </c>
      <c r="F336" s="35">
        <v>1274</v>
      </c>
      <c r="G336" s="35">
        <v>50</v>
      </c>
      <c r="H336" s="43">
        <v>600</v>
      </c>
      <c r="I336" s="35">
        <v>695</v>
      </c>
      <c r="J336" s="35">
        <v>0</v>
      </c>
      <c r="K336" s="36"/>
      <c r="L336" s="36"/>
      <c r="M336" s="36"/>
      <c r="N336" s="36"/>
      <c r="O336" s="36"/>
      <c r="P336" s="36"/>
      <c r="Q336" s="36"/>
      <c r="R336" s="36"/>
      <c r="S336" s="36"/>
      <c r="T336" s="36"/>
    </row>
    <row r="337" spans="1:20" ht="15.75">
      <c r="A337" s="13">
        <v>51774</v>
      </c>
      <c r="B337" s="44">
        <v>30</v>
      </c>
      <c r="C337" s="35">
        <v>194.20500000000001</v>
      </c>
      <c r="D337" s="35">
        <v>267.46600000000001</v>
      </c>
      <c r="E337" s="41">
        <v>812.32899999999995</v>
      </c>
      <c r="F337" s="35">
        <v>1274</v>
      </c>
      <c r="G337" s="35">
        <v>50</v>
      </c>
      <c r="H337" s="43">
        <v>600</v>
      </c>
      <c r="I337" s="35">
        <v>695</v>
      </c>
      <c r="J337" s="35">
        <v>0</v>
      </c>
      <c r="K337" s="36"/>
      <c r="L337" s="36"/>
      <c r="M337" s="36"/>
      <c r="N337" s="36"/>
      <c r="O337" s="36"/>
      <c r="P337" s="36"/>
      <c r="Q337" s="36"/>
      <c r="R337" s="36"/>
      <c r="S337" s="36"/>
      <c r="T337" s="36"/>
    </row>
    <row r="338" spans="1:20" ht="15.75">
      <c r="A338" s="13">
        <v>51805</v>
      </c>
      <c r="B338" s="44">
        <v>31</v>
      </c>
      <c r="C338" s="35">
        <v>131.881</v>
      </c>
      <c r="D338" s="35">
        <v>277.16699999999997</v>
      </c>
      <c r="E338" s="41">
        <v>829.952</v>
      </c>
      <c r="F338" s="35">
        <v>1239</v>
      </c>
      <c r="G338" s="35">
        <v>75</v>
      </c>
      <c r="H338" s="43">
        <v>600</v>
      </c>
      <c r="I338" s="35">
        <v>695</v>
      </c>
      <c r="J338" s="35">
        <v>0</v>
      </c>
      <c r="K338" s="36"/>
      <c r="L338" s="36"/>
      <c r="M338" s="36"/>
      <c r="N338" s="36"/>
      <c r="O338" s="36"/>
      <c r="P338" s="36"/>
      <c r="Q338" s="36"/>
      <c r="R338" s="36"/>
      <c r="S338" s="36"/>
      <c r="T338" s="36"/>
    </row>
    <row r="339" spans="1:20" ht="15.75">
      <c r="A339" s="13">
        <v>51835</v>
      </c>
      <c r="B339" s="44">
        <v>30</v>
      </c>
      <c r="C339" s="35">
        <v>122.58</v>
      </c>
      <c r="D339" s="35">
        <v>297.94099999999997</v>
      </c>
      <c r="E339" s="41">
        <v>729.47900000000004</v>
      </c>
      <c r="F339" s="35">
        <v>1150</v>
      </c>
      <c r="G339" s="35">
        <v>100</v>
      </c>
      <c r="H339" s="43">
        <v>600</v>
      </c>
      <c r="I339" s="35">
        <v>695</v>
      </c>
      <c r="J339" s="35">
        <v>50</v>
      </c>
      <c r="K339" s="36"/>
      <c r="L339" s="36"/>
      <c r="M339" s="36"/>
      <c r="N339" s="36"/>
      <c r="O339" s="36"/>
      <c r="P339" s="36"/>
      <c r="Q339" s="36"/>
      <c r="R339" s="36"/>
      <c r="S339" s="36"/>
      <c r="T339" s="36"/>
    </row>
    <row r="340" spans="1:20" ht="15.75">
      <c r="A340" s="13">
        <v>51866</v>
      </c>
      <c r="B340" s="44">
        <v>31</v>
      </c>
      <c r="C340" s="35">
        <v>122.58</v>
      </c>
      <c r="D340" s="35">
        <v>297.94099999999997</v>
      </c>
      <c r="E340" s="41">
        <v>729.47900000000004</v>
      </c>
      <c r="F340" s="35">
        <v>1150</v>
      </c>
      <c r="G340" s="35">
        <v>100</v>
      </c>
      <c r="H340" s="43">
        <v>600</v>
      </c>
      <c r="I340" s="35">
        <v>695</v>
      </c>
      <c r="J340" s="35">
        <v>50</v>
      </c>
      <c r="K340" s="36"/>
      <c r="L340" s="36"/>
      <c r="M340" s="36"/>
      <c r="N340" s="36"/>
      <c r="O340" s="36"/>
      <c r="P340" s="36"/>
      <c r="Q340" s="36"/>
      <c r="R340" s="36"/>
      <c r="S340" s="36"/>
      <c r="T340" s="36"/>
    </row>
    <row r="341" spans="1:20" ht="15.75">
      <c r="A341" s="13">
        <v>51897</v>
      </c>
      <c r="B341" s="44">
        <v>31</v>
      </c>
      <c r="C341" s="35">
        <v>122.58</v>
      </c>
      <c r="D341" s="35">
        <v>297.94099999999997</v>
      </c>
      <c r="E341" s="41">
        <v>729.47900000000004</v>
      </c>
      <c r="F341" s="35">
        <v>1150</v>
      </c>
      <c r="G341" s="35">
        <v>100</v>
      </c>
      <c r="H341" s="43">
        <v>600</v>
      </c>
      <c r="I341" s="35">
        <v>695</v>
      </c>
      <c r="J341" s="35">
        <v>50</v>
      </c>
      <c r="K341" s="36"/>
      <c r="L341" s="36"/>
      <c r="M341" s="36"/>
      <c r="N341" s="36"/>
      <c r="O341" s="36"/>
      <c r="P341" s="36"/>
      <c r="Q341" s="36"/>
      <c r="R341" s="36"/>
      <c r="S341" s="36"/>
      <c r="T341" s="36"/>
    </row>
    <row r="342" spans="1:20" ht="15.75">
      <c r="A342" s="13">
        <v>51925</v>
      </c>
      <c r="B342" s="44">
        <v>28</v>
      </c>
      <c r="C342" s="35">
        <v>122.58</v>
      </c>
      <c r="D342" s="35">
        <v>297.94099999999997</v>
      </c>
      <c r="E342" s="41">
        <v>729.47900000000004</v>
      </c>
      <c r="F342" s="35">
        <v>1150</v>
      </c>
      <c r="G342" s="35">
        <v>100</v>
      </c>
      <c r="H342" s="43">
        <v>600</v>
      </c>
      <c r="I342" s="35">
        <v>695</v>
      </c>
      <c r="J342" s="35">
        <v>50</v>
      </c>
      <c r="K342" s="36"/>
      <c r="L342" s="36"/>
      <c r="M342" s="36"/>
      <c r="N342" s="36"/>
      <c r="O342" s="36"/>
      <c r="P342" s="36"/>
      <c r="Q342" s="36"/>
      <c r="R342" s="36"/>
      <c r="S342" s="36"/>
      <c r="T342" s="36"/>
    </row>
    <row r="343" spans="1:20" ht="15.75">
      <c r="A343" s="13">
        <v>51956</v>
      </c>
      <c r="B343" s="44">
        <v>31</v>
      </c>
      <c r="C343" s="35">
        <v>122.58</v>
      </c>
      <c r="D343" s="35">
        <v>297.94099999999997</v>
      </c>
      <c r="E343" s="41">
        <v>729.47900000000004</v>
      </c>
      <c r="F343" s="35">
        <v>1150</v>
      </c>
      <c r="G343" s="35">
        <v>100</v>
      </c>
      <c r="H343" s="43">
        <v>600</v>
      </c>
      <c r="I343" s="35">
        <v>695</v>
      </c>
      <c r="J343" s="35">
        <v>50</v>
      </c>
      <c r="K343" s="36"/>
      <c r="L343" s="36"/>
      <c r="M343" s="36"/>
      <c r="N343" s="36"/>
      <c r="O343" s="36"/>
      <c r="P343" s="36"/>
      <c r="Q343" s="36"/>
      <c r="R343" s="36"/>
      <c r="S343" s="36"/>
      <c r="T343" s="36"/>
    </row>
    <row r="344" spans="1:20" ht="15.75">
      <c r="A344" s="13">
        <v>51986</v>
      </c>
      <c r="B344" s="44">
        <v>30</v>
      </c>
      <c r="C344" s="35">
        <v>141.29300000000001</v>
      </c>
      <c r="D344" s="35">
        <v>267.99299999999999</v>
      </c>
      <c r="E344" s="41">
        <v>829.71400000000006</v>
      </c>
      <c r="F344" s="35">
        <v>1239</v>
      </c>
      <c r="G344" s="35">
        <v>100</v>
      </c>
      <c r="H344" s="43">
        <v>600</v>
      </c>
      <c r="I344" s="35">
        <v>695</v>
      </c>
      <c r="J344" s="35">
        <v>50</v>
      </c>
      <c r="K344" s="36"/>
      <c r="L344" s="36"/>
      <c r="M344" s="36"/>
      <c r="N344" s="36"/>
      <c r="O344" s="36"/>
      <c r="P344" s="36"/>
      <c r="Q344" s="36"/>
      <c r="R344" s="36"/>
      <c r="S344" s="36"/>
      <c r="T344" s="36"/>
    </row>
    <row r="345" spans="1:20" ht="15.75">
      <c r="A345" s="13">
        <v>52017</v>
      </c>
      <c r="B345" s="44">
        <v>31</v>
      </c>
      <c r="C345" s="35">
        <v>194.20500000000001</v>
      </c>
      <c r="D345" s="35">
        <v>267.46600000000001</v>
      </c>
      <c r="E345" s="41">
        <v>812.32899999999995</v>
      </c>
      <c r="F345" s="35">
        <v>1274</v>
      </c>
      <c r="G345" s="35">
        <v>75</v>
      </c>
      <c r="H345" s="43">
        <v>600</v>
      </c>
      <c r="I345" s="35">
        <v>695</v>
      </c>
      <c r="J345" s="35">
        <v>50</v>
      </c>
      <c r="K345" s="36"/>
      <c r="L345" s="36"/>
      <c r="M345" s="36"/>
      <c r="N345" s="36"/>
      <c r="O345" s="36"/>
      <c r="P345" s="36"/>
      <c r="Q345" s="36"/>
      <c r="R345" s="36"/>
      <c r="S345" s="36"/>
      <c r="T345" s="36"/>
    </row>
    <row r="346" spans="1:20" ht="15.75">
      <c r="A346" s="13">
        <v>52047</v>
      </c>
      <c r="B346" s="44">
        <v>30</v>
      </c>
      <c r="C346" s="35">
        <v>194.20500000000001</v>
      </c>
      <c r="D346" s="35">
        <v>267.46600000000001</v>
      </c>
      <c r="E346" s="41">
        <v>812.32899999999995</v>
      </c>
      <c r="F346" s="35">
        <v>1274</v>
      </c>
      <c r="G346" s="35">
        <v>50</v>
      </c>
      <c r="H346" s="43">
        <v>600</v>
      </c>
      <c r="I346" s="35">
        <v>695</v>
      </c>
      <c r="J346" s="35">
        <v>50</v>
      </c>
      <c r="K346" s="36"/>
      <c r="L346" s="36"/>
      <c r="M346" s="36"/>
      <c r="N346" s="36"/>
      <c r="O346" s="36"/>
      <c r="P346" s="36"/>
      <c r="Q346" s="36"/>
      <c r="R346" s="36"/>
      <c r="S346" s="36"/>
      <c r="T346" s="36"/>
    </row>
    <row r="347" spans="1:20" ht="15.75">
      <c r="A347" s="13">
        <v>52078</v>
      </c>
      <c r="B347" s="44">
        <v>31</v>
      </c>
      <c r="C347" s="35">
        <v>194.20500000000001</v>
      </c>
      <c r="D347" s="35">
        <v>267.46600000000001</v>
      </c>
      <c r="E347" s="41">
        <v>812.32899999999995</v>
      </c>
      <c r="F347" s="35">
        <v>1274</v>
      </c>
      <c r="G347" s="35">
        <v>50</v>
      </c>
      <c r="H347" s="43">
        <v>600</v>
      </c>
      <c r="I347" s="35">
        <v>695</v>
      </c>
      <c r="J347" s="35">
        <v>0</v>
      </c>
      <c r="K347" s="36"/>
      <c r="L347" s="36"/>
      <c r="M347" s="36"/>
      <c r="N347" s="36"/>
      <c r="O347" s="36"/>
      <c r="P347" s="36"/>
      <c r="Q347" s="36"/>
      <c r="R347" s="36"/>
      <c r="S347" s="36"/>
      <c r="T347" s="36"/>
    </row>
    <row r="348" spans="1:20" ht="15.75">
      <c r="A348" s="13">
        <v>52109</v>
      </c>
      <c r="B348" s="44">
        <v>31</v>
      </c>
      <c r="C348" s="35">
        <v>194.20500000000001</v>
      </c>
      <c r="D348" s="35">
        <v>267.46600000000001</v>
      </c>
      <c r="E348" s="41">
        <v>812.32899999999995</v>
      </c>
      <c r="F348" s="35">
        <v>1274</v>
      </c>
      <c r="G348" s="35">
        <v>50</v>
      </c>
      <c r="H348" s="43">
        <v>600</v>
      </c>
      <c r="I348" s="35">
        <v>695</v>
      </c>
      <c r="J348" s="35">
        <v>0</v>
      </c>
      <c r="K348" s="36"/>
      <c r="L348" s="36"/>
      <c r="M348" s="36"/>
      <c r="N348" s="36"/>
      <c r="O348" s="36"/>
      <c r="P348" s="36"/>
      <c r="Q348" s="36"/>
      <c r="R348" s="36"/>
      <c r="S348" s="36"/>
      <c r="T348" s="36"/>
    </row>
    <row r="349" spans="1:20" ht="15.75">
      <c r="A349" s="13">
        <v>52139</v>
      </c>
      <c r="B349" s="44">
        <v>30</v>
      </c>
      <c r="C349" s="35">
        <v>194.20500000000001</v>
      </c>
      <c r="D349" s="35">
        <v>267.46600000000001</v>
      </c>
      <c r="E349" s="41">
        <v>812.32899999999995</v>
      </c>
      <c r="F349" s="35">
        <v>1274</v>
      </c>
      <c r="G349" s="35">
        <v>50</v>
      </c>
      <c r="H349" s="43">
        <v>600</v>
      </c>
      <c r="I349" s="35">
        <v>695</v>
      </c>
      <c r="J349" s="35">
        <v>0</v>
      </c>
      <c r="K349" s="36"/>
      <c r="L349" s="36"/>
      <c r="M349" s="36"/>
      <c r="N349" s="36"/>
      <c r="O349" s="36"/>
      <c r="P349" s="36"/>
      <c r="Q349" s="36"/>
      <c r="R349" s="36"/>
      <c r="S349" s="36"/>
      <c r="T349" s="36"/>
    </row>
    <row r="350" spans="1:20" ht="15.75">
      <c r="A350" s="13">
        <v>52170</v>
      </c>
      <c r="B350" s="44">
        <v>31</v>
      </c>
      <c r="C350" s="35">
        <v>131.881</v>
      </c>
      <c r="D350" s="35">
        <v>277.16699999999997</v>
      </c>
      <c r="E350" s="41">
        <v>829.952</v>
      </c>
      <c r="F350" s="35">
        <v>1239</v>
      </c>
      <c r="G350" s="35">
        <v>75</v>
      </c>
      <c r="H350" s="43">
        <v>600</v>
      </c>
      <c r="I350" s="35">
        <v>695</v>
      </c>
      <c r="J350" s="35">
        <v>0</v>
      </c>
      <c r="K350" s="36"/>
      <c r="L350" s="36"/>
      <c r="M350" s="36"/>
      <c r="N350" s="36"/>
      <c r="O350" s="36"/>
      <c r="P350" s="36"/>
      <c r="Q350" s="36"/>
      <c r="R350" s="36"/>
      <c r="S350" s="36"/>
      <c r="T350" s="36"/>
    </row>
    <row r="351" spans="1:20" ht="15.75">
      <c r="A351" s="13">
        <v>52200</v>
      </c>
      <c r="B351" s="44">
        <v>30</v>
      </c>
      <c r="C351" s="35">
        <v>122.58</v>
      </c>
      <c r="D351" s="35">
        <v>297.94099999999997</v>
      </c>
      <c r="E351" s="41">
        <v>729.47900000000004</v>
      </c>
      <c r="F351" s="35">
        <v>1150</v>
      </c>
      <c r="G351" s="35">
        <v>100</v>
      </c>
      <c r="H351" s="43">
        <v>600</v>
      </c>
      <c r="I351" s="35">
        <v>695</v>
      </c>
      <c r="J351" s="35">
        <v>50</v>
      </c>
      <c r="K351" s="36"/>
      <c r="L351" s="36"/>
      <c r="M351" s="36"/>
      <c r="N351" s="36"/>
      <c r="O351" s="36"/>
      <c r="P351" s="36"/>
      <c r="Q351" s="36"/>
      <c r="R351" s="36"/>
      <c r="S351" s="36"/>
      <c r="T351" s="36"/>
    </row>
    <row r="352" spans="1:20" ht="15.75">
      <c r="A352" s="13">
        <v>52231</v>
      </c>
      <c r="B352" s="44">
        <v>31</v>
      </c>
      <c r="C352" s="35">
        <v>122.58</v>
      </c>
      <c r="D352" s="35">
        <v>297.94099999999997</v>
      </c>
      <c r="E352" s="41">
        <v>729.47900000000004</v>
      </c>
      <c r="F352" s="35">
        <v>1150</v>
      </c>
      <c r="G352" s="35">
        <v>100</v>
      </c>
      <c r="H352" s="43">
        <v>600</v>
      </c>
      <c r="I352" s="35">
        <v>695</v>
      </c>
      <c r="J352" s="35">
        <v>50</v>
      </c>
      <c r="K352" s="36"/>
      <c r="L352" s="36"/>
      <c r="M352" s="36"/>
      <c r="N352" s="36"/>
      <c r="O352" s="36"/>
      <c r="P352" s="36"/>
      <c r="Q352" s="36"/>
      <c r="R352" s="36"/>
      <c r="S352" s="36"/>
      <c r="T352" s="36"/>
    </row>
    <row r="353" spans="1:20" ht="15.75">
      <c r="A353" s="13">
        <v>52262</v>
      </c>
      <c r="B353" s="44">
        <v>31</v>
      </c>
      <c r="C353" s="35">
        <v>122.58</v>
      </c>
      <c r="D353" s="35">
        <v>297.94099999999997</v>
      </c>
      <c r="E353" s="41">
        <v>729.47900000000004</v>
      </c>
      <c r="F353" s="35">
        <v>1150</v>
      </c>
      <c r="G353" s="35">
        <v>100</v>
      </c>
      <c r="H353" s="43">
        <v>600</v>
      </c>
      <c r="I353" s="35">
        <v>695</v>
      </c>
      <c r="J353" s="35">
        <v>50</v>
      </c>
      <c r="K353" s="36"/>
      <c r="L353" s="36"/>
      <c r="M353" s="36"/>
      <c r="N353" s="36"/>
      <c r="O353" s="36"/>
      <c r="P353" s="36"/>
      <c r="Q353" s="36"/>
      <c r="R353" s="36"/>
      <c r="S353" s="36"/>
      <c r="T353" s="36"/>
    </row>
    <row r="354" spans="1:20" ht="15.75">
      <c r="A354" s="13">
        <v>52290</v>
      </c>
      <c r="B354" s="44">
        <v>28</v>
      </c>
      <c r="C354" s="35">
        <v>122.58</v>
      </c>
      <c r="D354" s="35">
        <v>297.94099999999997</v>
      </c>
      <c r="E354" s="41">
        <v>729.47900000000004</v>
      </c>
      <c r="F354" s="35">
        <v>1150</v>
      </c>
      <c r="G354" s="35">
        <v>100</v>
      </c>
      <c r="H354" s="43">
        <v>600</v>
      </c>
      <c r="I354" s="35">
        <v>695</v>
      </c>
      <c r="J354" s="35">
        <v>50</v>
      </c>
      <c r="K354" s="36"/>
      <c r="L354" s="36"/>
      <c r="M354" s="36"/>
      <c r="N354" s="36"/>
      <c r="O354" s="36"/>
      <c r="P354" s="36"/>
      <c r="Q354" s="36"/>
      <c r="R354" s="36"/>
      <c r="S354" s="36"/>
      <c r="T354" s="36"/>
    </row>
    <row r="355" spans="1:20" ht="15.75">
      <c r="A355" s="13">
        <v>52321</v>
      </c>
      <c r="B355" s="44">
        <v>31</v>
      </c>
      <c r="C355" s="35">
        <v>122.58</v>
      </c>
      <c r="D355" s="35">
        <v>297.94099999999997</v>
      </c>
      <c r="E355" s="41">
        <v>729.47900000000004</v>
      </c>
      <c r="F355" s="35">
        <v>1150</v>
      </c>
      <c r="G355" s="35">
        <v>100</v>
      </c>
      <c r="H355" s="43">
        <v>600</v>
      </c>
      <c r="I355" s="35">
        <v>695</v>
      </c>
      <c r="J355" s="35">
        <v>50</v>
      </c>
      <c r="K355" s="36"/>
      <c r="L355" s="36"/>
      <c r="M355" s="36"/>
      <c r="N355" s="36"/>
      <c r="O355" s="36"/>
      <c r="P355" s="36"/>
      <c r="Q355" s="36"/>
      <c r="R355" s="36"/>
      <c r="S355" s="36"/>
      <c r="T355" s="36"/>
    </row>
    <row r="356" spans="1:20" ht="15.75">
      <c r="A356" s="13">
        <v>52351</v>
      </c>
      <c r="B356" s="44">
        <v>30</v>
      </c>
      <c r="C356" s="35">
        <v>141.29300000000001</v>
      </c>
      <c r="D356" s="35">
        <v>267.99299999999999</v>
      </c>
      <c r="E356" s="41">
        <v>829.71400000000006</v>
      </c>
      <c r="F356" s="35">
        <v>1239</v>
      </c>
      <c r="G356" s="35">
        <v>100</v>
      </c>
      <c r="H356" s="43">
        <v>600</v>
      </c>
      <c r="I356" s="35">
        <v>695</v>
      </c>
      <c r="J356" s="35">
        <v>50</v>
      </c>
      <c r="K356" s="36"/>
      <c r="L356" s="36"/>
      <c r="M356" s="36"/>
      <c r="N356" s="36"/>
      <c r="O356" s="36"/>
      <c r="P356" s="36"/>
      <c r="Q356" s="36"/>
      <c r="R356" s="36"/>
      <c r="S356" s="36"/>
      <c r="T356" s="36"/>
    </row>
    <row r="357" spans="1:20" ht="15.75">
      <c r="A357" s="13">
        <v>52382</v>
      </c>
      <c r="B357" s="44">
        <v>31</v>
      </c>
      <c r="C357" s="35">
        <v>194.20500000000001</v>
      </c>
      <c r="D357" s="35">
        <v>267.46600000000001</v>
      </c>
      <c r="E357" s="41">
        <v>812.32899999999995</v>
      </c>
      <c r="F357" s="35">
        <v>1274</v>
      </c>
      <c r="G357" s="35">
        <v>75</v>
      </c>
      <c r="H357" s="43">
        <v>600</v>
      </c>
      <c r="I357" s="35">
        <v>695</v>
      </c>
      <c r="J357" s="35">
        <v>50</v>
      </c>
      <c r="K357" s="36"/>
      <c r="L357" s="36"/>
      <c r="M357" s="36"/>
      <c r="N357" s="36"/>
      <c r="O357" s="36"/>
      <c r="P357" s="36"/>
      <c r="Q357" s="36"/>
      <c r="R357" s="36"/>
      <c r="S357" s="36"/>
      <c r="T357" s="36"/>
    </row>
    <row r="358" spans="1:20" ht="15.75">
      <c r="A358" s="13">
        <v>52412</v>
      </c>
      <c r="B358" s="44">
        <v>30</v>
      </c>
      <c r="C358" s="35">
        <v>194.20500000000001</v>
      </c>
      <c r="D358" s="35">
        <v>267.46600000000001</v>
      </c>
      <c r="E358" s="41">
        <v>812.32899999999995</v>
      </c>
      <c r="F358" s="35">
        <v>1274</v>
      </c>
      <c r="G358" s="35">
        <v>50</v>
      </c>
      <c r="H358" s="43">
        <v>600</v>
      </c>
      <c r="I358" s="35">
        <v>695</v>
      </c>
      <c r="J358" s="35">
        <v>50</v>
      </c>
      <c r="K358" s="36"/>
      <c r="L358" s="36"/>
      <c r="M358" s="36"/>
      <c r="N358" s="36"/>
      <c r="O358" s="36"/>
      <c r="P358" s="36"/>
      <c r="Q358" s="36"/>
      <c r="R358" s="36"/>
      <c r="S358" s="36"/>
      <c r="T358" s="36"/>
    </row>
    <row r="359" spans="1:20" ht="15.75">
      <c r="A359" s="13">
        <v>52443</v>
      </c>
      <c r="B359" s="44">
        <v>31</v>
      </c>
      <c r="C359" s="35">
        <v>194.20500000000001</v>
      </c>
      <c r="D359" s="35">
        <v>267.46600000000001</v>
      </c>
      <c r="E359" s="41">
        <v>812.32899999999995</v>
      </c>
      <c r="F359" s="35">
        <v>1274</v>
      </c>
      <c r="G359" s="35">
        <v>50</v>
      </c>
      <c r="H359" s="43">
        <v>600</v>
      </c>
      <c r="I359" s="35">
        <v>695</v>
      </c>
      <c r="J359" s="35">
        <v>0</v>
      </c>
      <c r="K359" s="36"/>
      <c r="L359" s="36"/>
      <c r="M359" s="36"/>
      <c r="N359" s="36"/>
      <c r="O359" s="36"/>
      <c r="P359" s="36"/>
      <c r="Q359" s="36"/>
      <c r="R359" s="36"/>
      <c r="S359" s="36"/>
      <c r="T359" s="36"/>
    </row>
    <row r="360" spans="1:20" ht="15.75">
      <c r="A360" s="13">
        <v>52474</v>
      </c>
      <c r="B360" s="44">
        <v>31</v>
      </c>
      <c r="C360" s="35">
        <v>194.20500000000001</v>
      </c>
      <c r="D360" s="35">
        <v>267.46600000000001</v>
      </c>
      <c r="E360" s="41">
        <v>812.32899999999995</v>
      </c>
      <c r="F360" s="35">
        <v>1274</v>
      </c>
      <c r="G360" s="35">
        <v>50</v>
      </c>
      <c r="H360" s="43">
        <v>600</v>
      </c>
      <c r="I360" s="35">
        <v>695</v>
      </c>
      <c r="J360" s="35">
        <v>0</v>
      </c>
      <c r="K360" s="36"/>
      <c r="L360" s="36"/>
      <c r="M360" s="36"/>
      <c r="N360" s="36"/>
      <c r="O360" s="36"/>
      <c r="P360" s="36"/>
      <c r="Q360" s="36"/>
      <c r="R360" s="36"/>
      <c r="S360" s="36"/>
      <c r="T360" s="36"/>
    </row>
    <row r="361" spans="1:20" ht="15.75">
      <c r="A361" s="13">
        <v>52504</v>
      </c>
      <c r="B361" s="44">
        <v>30</v>
      </c>
      <c r="C361" s="35">
        <v>194.20500000000001</v>
      </c>
      <c r="D361" s="35">
        <v>267.46600000000001</v>
      </c>
      <c r="E361" s="41">
        <v>812.32899999999995</v>
      </c>
      <c r="F361" s="35">
        <v>1274</v>
      </c>
      <c r="G361" s="35">
        <v>50</v>
      </c>
      <c r="H361" s="43">
        <v>600</v>
      </c>
      <c r="I361" s="35">
        <v>695</v>
      </c>
      <c r="J361" s="35">
        <v>0</v>
      </c>
      <c r="K361" s="36"/>
      <c r="L361" s="36"/>
      <c r="M361" s="36"/>
      <c r="N361" s="36"/>
      <c r="O361" s="36"/>
      <c r="P361" s="36"/>
      <c r="Q361" s="36"/>
      <c r="R361" s="36"/>
      <c r="S361" s="36"/>
      <c r="T361" s="36"/>
    </row>
    <row r="362" spans="1:20" ht="15.75">
      <c r="A362" s="13">
        <v>52535</v>
      </c>
      <c r="B362" s="44">
        <v>31</v>
      </c>
      <c r="C362" s="35">
        <v>131.881</v>
      </c>
      <c r="D362" s="35">
        <v>277.16699999999997</v>
      </c>
      <c r="E362" s="41">
        <v>829.952</v>
      </c>
      <c r="F362" s="35">
        <v>1239</v>
      </c>
      <c r="G362" s="35">
        <v>75</v>
      </c>
      <c r="H362" s="43">
        <v>600</v>
      </c>
      <c r="I362" s="35">
        <v>695</v>
      </c>
      <c r="J362" s="35">
        <v>0</v>
      </c>
      <c r="K362" s="36"/>
      <c r="L362" s="36"/>
      <c r="M362" s="36"/>
      <c r="N362" s="36"/>
      <c r="O362" s="36"/>
      <c r="P362" s="36"/>
      <c r="Q362" s="36"/>
      <c r="R362" s="36"/>
      <c r="S362" s="36"/>
      <c r="T362" s="36"/>
    </row>
    <row r="363" spans="1:20" ht="15.75">
      <c r="A363" s="13">
        <v>52565</v>
      </c>
      <c r="B363" s="44">
        <v>30</v>
      </c>
      <c r="C363" s="35">
        <v>122.58</v>
      </c>
      <c r="D363" s="35">
        <v>297.94099999999997</v>
      </c>
      <c r="E363" s="41">
        <v>729.47900000000004</v>
      </c>
      <c r="F363" s="35">
        <v>1150</v>
      </c>
      <c r="G363" s="35">
        <v>100</v>
      </c>
      <c r="H363" s="43">
        <v>600</v>
      </c>
      <c r="I363" s="35">
        <v>695</v>
      </c>
      <c r="J363" s="35">
        <v>50</v>
      </c>
      <c r="K363" s="36"/>
      <c r="L363" s="36"/>
      <c r="M363" s="36"/>
      <c r="N363" s="36"/>
      <c r="O363" s="36"/>
      <c r="P363" s="36"/>
      <c r="Q363" s="36"/>
      <c r="R363" s="36"/>
      <c r="S363" s="36"/>
      <c r="T363" s="36"/>
    </row>
    <row r="364" spans="1:20" ht="15.75">
      <c r="A364" s="13">
        <v>52596</v>
      </c>
      <c r="B364" s="44">
        <v>31</v>
      </c>
      <c r="C364" s="35">
        <v>122.58</v>
      </c>
      <c r="D364" s="35">
        <v>297.94099999999997</v>
      </c>
      <c r="E364" s="41">
        <v>729.47900000000004</v>
      </c>
      <c r="F364" s="35">
        <v>1150</v>
      </c>
      <c r="G364" s="35">
        <v>100</v>
      </c>
      <c r="H364" s="43">
        <v>600</v>
      </c>
      <c r="I364" s="35">
        <v>695</v>
      </c>
      <c r="J364" s="35">
        <v>50</v>
      </c>
      <c r="K364" s="36"/>
      <c r="L364" s="36"/>
      <c r="M364" s="36"/>
      <c r="N364" s="36"/>
      <c r="O364" s="36"/>
      <c r="P364" s="36"/>
      <c r="Q364" s="36"/>
      <c r="R364" s="36"/>
      <c r="S364" s="36"/>
      <c r="T364" s="36"/>
    </row>
    <row r="365" spans="1:20" ht="15.75">
      <c r="A365" s="13">
        <v>52627</v>
      </c>
      <c r="B365" s="44">
        <v>31</v>
      </c>
      <c r="C365" s="35">
        <v>122.58</v>
      </c>
      <c r="D365" s="35">
        <v>297.94099999999997</v>
      </c>
      <c r="E365" s="41">
        <v>729.47900000000004</v>
      </c>
      <c r="F365" s="35">
        <v>1150</v>
      </c>
      <c r="G365" s="35">
        <v>100</v>
      </c>
      <c r="H365" s="43">
        <v>600</v>
      </c>
      <c r="I365" s="35">
        <v>695</v>
      </c>
      <c r="J365" s="35">
        <v>50</v>
      </c>
      <c r="K365" s="36"/>
      <c r="L365" s="36"/>
      <c r="M365" s="36"/>
      <c r="N365" s="36"/>
      <c r="O365" s="36"/>
      <c r="P365" s="36"/>
      <c r="Q365" s="36"/>
      <c r="R365" s="36"/>
      <c r="S365" s="36"/>
      <c r="T365" s="36"/>
    </row>
    <row r="366" spans="1:20" ht="15.75">
      <c r="A366" s="13">
        <v>52655</v>
      </c>
      <c r="B366" s="44">
        <v>29</v>
      </c>
      <c r="C366" s="35">
        <v>122.58</v>
      </c>
      <c r="D366" s="35">
        <v>297.94099999999997</v>
      </c>
      <c r="E366" s="41">
        <v>729.47900000000004</v>
      </c>
      <c r="F366" s="35">
        <v>1150</v>
      </c>
      <c r="G366" s="35">
        <v>100</v>
      </c>
      <c r="H366" s="43">
        <v>600</v>
      </c>
      <c r="I366" s="35">
        <v>695</v>
      </c>
      <c r="J366" s="35">
        <v>50</v>
      </c>
      <c r="K366" s="36"/>
      <c r="L366" s="36"/>
      <c r="M366" s="36"/>
      <c r="N366" s="36"/>
      <c r="O366" s="36"/>
      <c r="P366" s="36"/>
      <c r="Q366" s="36"/>
      <c r="R366" s="36"/>
      <c r="S366" s="36"/>
      <c r="T366" s="36"/>
    </row>
    <row r="367" spans="1:20" ht="15.75">
      <c r="A367" s="13">
        <v>52687</v>
      </c>
      <c r="B367" s="44">
        <v>31</v>
      </c>
      <c r="C367" s="35">
        <v>122.58</v>
      </c>
      <c r="D367" s="35">
        <v>297.94099999999997</v>
      </c>
      <c r="E367" s="41">
        <v>729.47900000000004</v>
      </c>
      <c r="F367" s="35">
        <v>1150</v>
      </c>
      <c r="G367" s="35">
        <v>100</v>
      </c>
      <c r="H367" s="43">
        <v>600</v>
      </c>
      <c r="I367" s="35">
        <v>695</v>
      </c>
      <c r="J367" s="35">
        <v>50</v>
      </c>
      <c r="K367" s="36"/>
      <c r="L367" s="36"/>
      <c r="M367" s="36"/>
      <c r="N367" s="36"/>
      <c r="O367" s="36"/>
      <c r="P367" s="36"/>
      <c r="Q367" s="36"/>
      <c r="R367" s="36"/>
      <c r="S367" s="36"/>
      <c r="T367" s="36"/>
    </row>
    <row r="368" spans="1:20" ht="15.75">
      <c r="A368" s="13">
        <v>52717</v>
      </c>
      <c r="B368" s="44">
        <v>30</v>
      </c>
      <c r="C368" s="35">
        <v>141.29300000000001</v>
      </c>
      <c r="D368" s="35">
        <v>267.99299999999999</v>
      </c>
      <c r="E368" s="41">
        <v>829.71400000000006</v>
      </c>
      <c r="F368" s="35">
        <v>1239</v>
      </c>
      <c r="G368" s="35">
        <v>100</v>
      </c>
      <c r="H368" s="43">
        <v>600</v>
      </c>
      <c r="I368" s="35">
        <v>695</v>
      </c>
      <c r="J368" s="35">
        <v>50</v>
      </c>
      <c r="K368" s="36"/>
      <c r="L368" s="36"/>
      <c r="M368" s="36"/>
      <c r="N368" s="36"/>
      <c r="O368" s="36"/>
      <c r="P368" s="36"/>
      <c r="Q368" s="36"/>
      <c r="R368" s="36"/>
      <c r="S368" s="36"/>
      <c r="T368" s="36"/>
    </row>
    <row r="369" spans="1:20" ht="15.75">
      <c r="A369" s="13">
        <v>52748</v>
      </c>
      <c r="B369" s="44">
        <v>31</v>
      </c>
      <c r="C369" s="35">
        <v>194.20500000000001</v>
      </c>
      <c r="D369" s="35">
        <v>267.46600000000001</v>
      </c>
      <c r="E369" s="41">
        <v>812.32899999999995</v>
      </c>
      <c r="F369" s="35">
        <v>1274</v>
      </c>
      <c r="G369" s="35">
        <v>75</v>
      </c>
      <c r="H369" s="43">
        <v>600</v>
      </c>
      <c r="I369" s="35">
        <v>695</v>
      </c>
      <c r="J369" s="35">
        <v>50</v>
      </c>
      <c r="K369" s="36"/>
      <c r="L369" s="36"/>
      <c r="M369" s="36"/>
      <c r="N369" s="36"/>
      <c r="O369" s="36"/>
      <c r="P369" s="36"/>
      <c r="Q369" s="36"/>
      <c r="R369" s="36"/>
      <c r="S369" s="36"/>
      <c r="T369" s="36"/>
    </row>
    <row r="370" spans="1:20" ht="15.75">
      <c r="A370" s="13">
        <v>52778</v>
      </c>
      <c r="B370" s="44">
        <v>30</v>
      </c>
      <c r="C370" s="35">
        <v>194.20500000000001</v>
      </c>
      <c r="D370" s="35">
        <v>267.46600000000001</v>
      </c>
      <c r="E370" s="41">
        <v>812.32899999999995</v>
      </c>
      <c r="F370" s="35">
        <v>1274</v>
      </c>
      <c r="G370" s="35">
        <v>50</v>
      </c>
      <c r="H370" s="43">
        <v>600</v>
      </c>
      <c r="I370" s="35">
        <v>695</v>
      </c>
      <c r="J370" s="35">
        <v>50</v>
      </c>
      <c r="K370" s="36"/>
      <c r="L370" s="36"/>
      <c r="M370" s="36"/>
      <c r="N370" s="36"/>
      <c r="O370" s="36"/>
      <c r="P370" s="36"/>
      <c r="Q370" s="36"/>
      <c r="R370" s="36"/>
      <c r="S370" s="36"/>
      <c r="T370" s="36"/>
    </row>
    <row r="371" spans="1:20" ht="15.75">
      <c r="A371" s="13">
        <v>52809</v>
      </c>
      <c r="B371" s="44">
        <v>31</v>
      </c>
      <c r="C371" s="35">
        <v>194.20500000000001</v>
      </c>
      <c r="D371" s="35">
        <v>267.46600000000001</v>
      </c>
      <c r="E371" s="41">
        <v>812.32899999999995</v>
      </c>
      <c r="F371" s="35">
        <v>1274</v>
      </c>
      <c r="G371" s="35">
        <v>50</v>
      </c>
      <c r="H371" s="43">
        <v>600</v>
      </c>
      <c r="I371" s="35">
        <v>695</v>
      </c>
      <c r="J371" s="35">
        <v>0</v>
      </c>
      <c r="K371" s="36"/>
      <c r="L371" s="36"/>
      <c r="M371" s="36"/>
      <c r="N371" s="36"/>
      <c r="O371" s="36"/>
      <c r="P371" s="36"/>
      <c r="Q371" s="36"/>
      <c r="R371" s="36"/>
      <c r="S371" s="36"/>
      <c r="T371" s="36"/>
    </row>
    <row r="372" spans="1:20" ht="15.75">
      <c r="A372" s="13">
        <v>52840</v>
      </c>
      <c r="B372" s="44">
        <v>31</v>
      </c>
      <c r="C372" s="35">
        <v>194.20500000000001</v>
      </c>
      <c r="D372" s="35">
        <v>267.46600000000001</v>
      </c>
      <c r="E372" s="41">
        <v>812.32899999999995</v>
      </c>
      <c r="F372" s="35">
        <v>1274</v>
      </c>
      <c r="G372" s="35">
        <v>50</v>
      </c>
      <c r="H372" s="43">
        <v>600</v>
      </c>
      <c r="I372" s="35">
        <v>695</v>
      </c>
      <c r="J372" s="35">
        <v>0</v>
      </c>
      <c r="K372" s="36"/>
      <c r="L372" s="36"/>
      <c r="M372" s="36"/>
      <c r="N372" s="36"/>
      <c r="O372" s="36"/>
      <c r="P372" s="36"/>
      <c r="Q372" s="36"/>
      <c r="R372" s="36"/>
      <c r="S372" s="36"/>
      <c r="T372" s="36"/>
    </row>
    <row r="373" spans="1:20" ht="15.75">
      <c r="A373" s="13">
        <v>52870</v>
      </c>
      <c r="B373" s="44">
        <v>30</v>
      </c>
      <c r="C373" s="35">
        <v>194.20500000000001</v>
      </c>
      <c r="D373" s="35">
        <v>267.46600000000001</v>
      </c>
      <c r="E373" s="41">
        <v>812.32899999999995</v>
      </c>
      <c r="F373" s="35">
        <v>1274</v>
      </c>
      <c r="G373" s="35">
        <v>50</v>
      </c>
      <c r="H373" s="43">
        <v>600</v>
      </c>
      <c r="I373" s="35">
        <v>695</v>
      </c>
      <c r="J373" s="35">
        <v>0</v>
      </c>
      <c r="K373" s="36"/>
      <c r="L373" s="36"/>
      <c r="M373" s="36"/>
      <c r="N373" s="36"/>
      <c r="O373" s="36"/>
      <c r="P373" s="36"/>
      <c r="Q373" s="36"/>
      <c r="R373" s="36"/>
      <c r="S373" s="36"/>
      <c r="T373" s="36"/>
    </row>
    <row r="374" spans="1:20" ht="15.75">
      <c r="A374" s="13">
        <v>52901</v>
      </c>
      <c r="B374" s="44">
        <v>31</v>
      </c>
      <c r="C374" s="35">
        <v>131.881</v>
      </c>
      <c r="D374" s="35">
        <v>277.16699999999997</v>
      </c>
      <c r="E374" s="41">
        <v>829.952</v>
      </c>
      <c r="F374" s="35">
        <v>1239</v>
      </c>
      <c r="G374" s="35">
        <v>75</v>
      </c>
      <c r="H374" s="43">
        <v>600</v>
      </c>
      <c r="I374" s="35">
        <v>695</v>
      </c>
      <c r="J374" s="35">
        <v>0</v>
      </c>
      <c r="K374" s="36"/>
      <c r="L374" s="36"/>
      <c r="M374" s="36"/>
      <c r="N374" s="36"/>
      <c r="O374" s="36"/>
      <c r="P374" s="36"/>
      <c r="Q374" s="36"/>
      <c r="R374" s="36"/>
      <c r="S374" s="36"/>
      <c r="T374" s="36"/>
    </row>
    <row r="375" spans="1:20" ht="15.75">
      <c r="A375" s="13">
        <v>52931</v>
      </c>
      <c r="B375" s="44">
        <v>30</v>
      </c>
      <c r="C375" s="35">
        <v>122.58</v>
      </c>
      <c r="D375" s="35">
        <v>297.94099999999997</v>
      </c>
      <c r="E375" s="41">
        <v>729.47900000000004</v>
      </c>
      <c r="F375" s="35">
        <v>1150</v>
      </c>
      <c r="G375" s="35">
        <v>100</v>
      </c>
      <c r="H375" s="43">
        <v>600</v>
      </c>
      <c r="I375" s="35">
        <v>695</v>
      </c>
      <c r="J375" s="35">
        <v>50</v>
      </c>
      <c r="K375" s="36"/>
      <c r="L375" s="36"/>
      <c r="M375" s="36"/>
      <c r="N375" s="36"/>
      <c r="O375" s="36"/>
      <c r="P375" s="36"/>
      <c r="Q375" s="36"/>
      <c r="R375" s="36"/>
      <c r="S375" s="36"/>
      <c r="T375" s="36"/>
    </row>
    <row r="376" spans="1:20" ht="15.75">
      <c r="A376" s="13">
        <v>52962</v>
      </c>
      <c r="B376" s="44">
        <v>31</v>
      </c>
      <c r="C376" s="35">
        <v>122.58</v>
      </c>
      <c r="D376" s="35">
        <v>297.94099999999997</v>
      </c>
      <c r="E376" s="41">
        <v>729.47900000000004</v>
      </c>
      <c r="F376" s="35">
        <v>1150</v>
      </c>
      <c r="G376" s="35">
        <v>100</v>
      </c>
      <c r="H376" s="43">
        <v>600</v>
      </c>
      <c r="I376" s="35">
        <v>695</v>
      </c>
      <c r="J376" s="35">
        <v>50</v>
      </c>
      <c r="K376" s="36"/>
      <c r="L376" s="36"/>
      <c r="M376" s="36"/>
      <c r="N376" s="36"/>
      <c r="O376" s="36"/>
      <c r="P376" s="36"/>
      <c r="Q376" s="36"/>
      <c r="R376" s="36"/>
      <c r="S376" s="36"/>
      <c r="T376" s="36"/>
    </row>
    <row r="377" spans="1:20" ht="15.75">
      <c r="A377" s="13">
        <v>52993</v>
      </c>
      <c r="B377" s="44">
        <v>31</v>
      </c>
      <c r="C377" s="35">
        <v>122.58</v>
      </c>
      <c r="D377" s="35">
        <v>297.94099999999997</v>
      </c>
      <c r="E377" s="41">
        <v>729.47900000000004</v>
      </c>
      <c r="F377" s="35">
        <v>1150</v>
      </c>
      <c r="G377" s="35">
        <v>100</v>
      </c>
      <c r="H377" s="43">
        <v>600</v>
      </c>
      <c r="I377" s="35">
        <v>695</v>
      </c>
      <c r="J377" s="35">
        <v>50</v>
      </c>
      <c r="K377" s="36"/>
      <c r="L377" s="36"/>
      <c r="M377" s="36"/>
      <c r="N377" s="36"/>
      <c r="O377" s="36"/>
      <c r="P377" s="36"/>
      <c r="Q377" s="36"/>
      <c r="R377" s="36"/>
      <c r="S377" s="36"/>
      <c r="T377" s="36"/>
    </row>
    <row r="378" spans="1:20" ht="15.75">
      <c r="A378" s="13">
        <v>53021</v>
      </c>
      <c r="B378" s="44">
        <v>28</v>
      </c>
      <c r="C378" s="35">
        <v>122.58</v>
      </c>
      <c r="D378" s="35">
        <v>297.94099999999997</v>
      </c>
      <c r="E378" s="41">
        <v>729.47900000000004</v>
      </c>
      <c r="F378" s="35">
        <v>1150</v>
      </c>
      <c r="G378" s="35">
        <v>100</v>
      </c>
      <c r="H378" s="43">
        <v>600</v>
      </c>
      <c r="I378" s="35">
        <v>695</v>
      </c>
      <c r="J378" s="35">
        <v>50</v>
      </c>
      <c r="K378" s="36"/>
      <c r="L378" s="36"/>
      <c r="M378" s="36"/>
      <c r="N378" s="36"/>
      <c r="O378" s="36"/>
      <c r="P378" s="36"/>
      <c r="Q378" s="36"/>
      <c r="R378" s="36"/>
      <c r="S378" s="36"/>
      <c r="T378" s="36"/>
    </row>
    <row r="379" spans="1:20" ht="15.75">
      <c r="A379" s="13">
        <v>53052</v>
      </c>
      <c r="B379" s="44">
        <v>31</v>
      </c>
      <c r="C379" s="35">
        <v>122.58</v>
      </c>
      <c r="D379" s="35">
        <v>297.94099999999997</v>
      </c>
      <c r="E379" s="41">
        <v>729.47900000000004</v>
      </c>
      <c r="F379" s="35">
        <v>1150</v>
      </c>
      <c r="G379" s="35">
        <v>100</v>
      </c>
      <c r="H379" s="43">
        <v>600</v>
      </c>
      <c r="I379" s="35">
        <v>695</v>
      </c>
      <c r="J379" s="35">
        <v>50</v>
      </c>
      <c r="K379" s="36"/>
      <c r="L379" s="36"/>
      <c r="M379" s="36"/>
      <c r="N379" s="36"/>
      <c r="O379" s="36"/>
      <c r="P379" s="36"/>
      <c r="Q379" s="36"/>
      <c r="R379" s="36"/>
      <c r="S379" s="36"/>
      <c r="T379" s="36"/>
    </row>
    <row r="380" spans="1:20" ht="15.75">
      <c r="A380" s="13">
        <v>53082</v>
      </c>
      <c r="B380" s="44">
        <v>30</v>
      </c>
      <c r="C380" s="35">
        <v>141.29300000000001</v>
      </c>
      <c r="D380" s="35">
        <v>267.99299999999999</v>
      </c>
      <c r="E380" s="41">
        <v>829.71400000000006</v>
      </c>
      <c r="F380" s="35">
        <v>1239</v>
      </c>
      <c r="G380" s="35">
        <v>100</v>
      </c>
      <c r="H380" s="43">
        <v>600</v>
      </c>
      <c r="I380" s="35">
        <v>695</v>
      </c>
      <c r="J380" s="35">
        <v>50</v>
      </c>
      <c r="K380" s="36"/>
      <c r="L380" s="36"/>
      <c r="M380" s="36"/>
      <c r="N380" s="36"/>
      <c r="O380" s="36"/>
      <c r="P380" s="36"/>
      <c r="Q380" s="36"/>
      <c r="R380" s="36"/>
      <c r="S380" s="36"/>
      <c r="T380" s="36"/>
    </row>
    <row r="381" spans="1:20" ht="15.75">
      <c r="A381" s="13">
        <v>53113</v>
      </c>
      <c r="B381" s="44">
        <v>31</v>
      </c>
      <c r="C381" s="35">
        <v>194.20500000000001</v>
      </c>
      <c r="D381" s="35">
        <v>267.46600000000001</v>
      </c>
      <c r="E381" s="41">
        <v>812.32899999999995</v>
      </c>
      <c r="F381" s="35">
        <v>1274</v>
      </c>
      <c r="G381" s="35">
        <v>75</v>
      </c>
      <c r="H381" s="43">
        <v>600</v>
      </c>
      <c r="I381" s="35">
        <v>695</v>
      </c>
      <c r="J381" s="35">
        <v>50</v>
      </c>
      <c r="K381" s="36"/>
      <c r="L381" s="36"/>
      <c r="M381" s="36"/>
      <c r="N381" s="36"/>
      <c r="O381" s="36"/>
      <c r="P381" s="36"/>
      <c r="Q381" s="36"/>
      <c r="R381" s="36"/>
      <c r="S381" s="36"/>
      <c r="T381" s="36"/>
    </row>
    <row r="382" spans="1:20" ht="15.75">
      <c r="A382" s="13">
        <v>53143</v>
      </c>
      <c r="B382" s="44">
        <v>30</v>
      </c>
      <c r="C382" s="35">
        <v>194.20500000000001</v>
      </c>
      <c r="D382" s="35">
        <v>267.46600000000001</v>
      </c>
      <c r="E382" s="41">
        <v>812.32899999999995</v>
      </c>
      <c r="F382" s="35">
        <v>1274</v>
      </c>
      <c r="G382" s="35">
        <v>50</v>
      </c>
      <c r="H382" s="43">
        <v>600</v>
      </c>
      <c r="I382" s="35">
        <v>695</v>
      </c>
      <c r="J382" s="35">
        <v>50</v>
      </c>
      <c r="K382" s="36"/>
      <c r="L382" s="36"/>
      <c r="M382" s="36"/>
      <c r="N382" s="36"/>
      <c r="O382" s="36"/>
      <c r="P382" s="36"/>
      <c r="Q382" s="36"/>
      <c r="R382" s="36"/>
      <c r="S382" s="36"/>
      <c r="T382" s="36"/>
    </row>
    <row r="383" spans="1:20" ht="15.75">
      <c r="A383" s="13">
        <v>53174</v>
      </c>
      <c r="B383" s="44">
        <v>31</v>
      </c>
      <c r="C383" s="35">
        <v>194.20500000000001</v>
      </c>
      <c r="D383" s="35">
        <v>267.46600000000001</v>
      </c>
      <c r="E383" s="41">
        <v>812.32899999999995</v>
      </c>
      <c r="F383" s="35">
        <v>1274</v>
      </c>
      <c r="G383" s="35">
        <v>50</v>
      </c>
      <c r="H383" s="43">
        <v>600</v>
      </c>
      <c r="I383" s="35">
        <v>695</v>
      </c>
      <c r="J383" s="35">
        <v>0</v>
      </c>
      <c r="K383" s="36"/>
      <c r="L383" s="36"/>
      <c r="M383" s="36"/>
      <c r="N383" s="36"/>
      <c r="O383" s="36"/>
      <c r="P383" s="36"/>
      <c r="Q383" s="36"/>
      <c r="R383" s="36"/>
      <c r="S383" s="36"/>
      <c r="T383" s="36"/>
    </row>
    <row r="384" spans="1:20" ht="15.75">
      <c r="A384" s="13">
        <v>53205</v>
      </c>
      <c r="B384" s="44">
        <v>31</v>
      </c>
      <c r="C384" s="35">
        <v>194.20500000000001</v>
      </c>
      <c r="D384" s="35">
        <v>267.46600000000001</v>
      </c>
      <c r="E384" s="41">
        <v>812.32899999999995</v>
      </c>
      <c r="F384" s="35">
        <v>1274</v>
      </c>
      <c r="G384" s="35">
        <v>50</v>
      </c>
      <c r="H384" s="43">
        <v>600</v>
      </c>
      <c r="I384" s="35">
        <v>695</v>
      </c>
      <c r="J384" s="35">
        <v>0</v>
      </c>
      <c r="K384" s="36"/>
      <c r="L384" s="36"/>
      <c r="M384" s="36"/>
      <c r="N384" s="36"/>
      <c r="O384" s="36"/>
      <c r="P384" s="36"/>
      <c r="Q384" s="36"/>
      <c r="R384" s="36"/>
      <c r="S384" s="36"/>
      <c r="T384" s="36"/>
    </row>
    <row r="385" spans="1:20" ht="15.75">
      <c r="A385" s="13">
        <v>53235</v>
      </c>
      <c r="B385" s="44">
        <v>30</v>
      </c>
      <c r="C385" s="35">
        <v>194.20500000000001</v>
      </c>
      <c r="D385" s="35">
        <v>267.46600000000001</v>
      </c>
      <c r="E385" s="41">
        <v>812.32899999999995</v>
      </c>
      <c r="F385" s="35">
        <v>1274</v>
      </c>
      <c r="G385" s="35">
        <v>50</v>
      </c>
      <c r="H385" s="43">
        <v>600</v>
      </c>
      <c r="I385" s="35">
        <v>695</v>
      </c>
      <c r="J385" s="35">
        <v>0</v>
      </c>
      <c r="K385" s="36"/>
      <c r="L385" s="36"/>
      <c r="M385" s="36"/>
      <c r="N385" s="36"/>
      <c r="O385" s="36"/>
      <c r="P385" s="36"/>
      <c r="Q385" s="36"/>
      <c r="R385" s="36"/>
      <c r="S385" s="36"/>
      <c r="T385" s="36"/>
    </row>
    <row r="386" spans="1:20" ht="15.75">
      <c r="A386" s="13">
        <v>53266</v>
      </c>
      <c r="B386" s="44">
        <v>31</v>
      </c>
      <c r="C386" s="35">
        <v>131.881</v>
      </c>
      <c r="D386" s="35">
        <v>277.16699999999997</v>
      </c>
      <c r="E386" s="41">
        <v>829.952</v>
      </c>
      <c r="F386" s="35">
        <v>1239</v>
      </c>
      <c r="G386" s="35">
        <v>75</v>
      </c>
      <c r="H386" s="43">
        <v>600</v>
      </c>
      <c r="I386" s="35">
        <v>695</v>
      </c>
      <c r="J386" s="35">
        <v>0</v>
      </c>
      <c r="K386" s="36"/>
      <c r="L386" s="36"/>
      <c r="M386" s="36"/>
      <c r="N386" s="36"/>
      <c r="O386" s="36"/>
      <c r="P386" s="36"/>
      <c r="Q386" s="36"/>
      <c r="R386" s="36"/>
      <c r="S386" s="36"/>
      <c r="T386" s="36"/>
    </row>
    <row r="387" spans="1:20" ht="15.75">
      <c r="A387" s="13">
        <v>53296</v>
      </c>
      <c r="B387" s="44">
        <v>30</v>
      </c>
      <c r="C387" s="35">
        <v>122.58</v>
      </c>
      <c r="D387" s="35">
        <v>297.94099999999997</v>
      </c>
      <c r="E387" s="41">
        <v>729.47900000000004</v>
      </c>
      <c r="F387" s="35">
        <v>1150</v>
      </c>
      <c r="G387" s="35">
        <v>100</v>
      </c>
      <c r="H387" s="43">
        <v>600</v>
      </c>
      <c r="I387" s="35">
        <v>695</v>
      </c>
      <c r="J387" s="35">
        <v>50</v>
      </c>
      <c r="K387" s="36"/>
      <c r="L387" s="36"/>
      <c r="M387" s="36"/>
      <c r="N387" s="36"/>
      <c r="O387" s="36"/>
      <c r="P387" s="36"/>
      <c r="Q387" s="36"/>
      <c r="R387" s="36"/>
      <c r="S387" s="36"/>
      <c r="T387" s="36"/>
    </row>
    <row r="388" spans="1:20" ht="15.75">
      <c r="A388" s="13">
        <v>53327</v>
      </c>
      <c r="B388" s="44">
        <v>31</v>
      </c>
      <c r="C388" s="35">
        <v>122.58</v>
      </c>
      <c r="D388" s="35">
        <v>297.94099999999997</v>
      </c>
      <c r="E388" s="41">
        <v>729.47900000000004</v>
      </c>
      <c r="F388" s="35">
        <v>1150</v>
      </c>
      <c r="G388" s="35">
        <v>100</v>
      </c>
      <c r="H388" s="43">
        <v>600</v>
      </c>
      <c r="I388" s="35">
        <v>695</v>
      </c>
      <c r="J388" s="35">
        <v>50</v>
      </c>
      <c r="K388" s="36"/>
      <c r="L388" s="36"/>
      <c r="M388" s="36"/>
      <c r="N388" s="36"/>
      <c r="O388" s="36"/>
      <c r="P388" s="36"/>
      <c r="Q388" s="36"/>
      <c r="R388" s="36"/>
      <c r="S388" s="36"/>
      <c r="T388" s="36"/>
    </row>
    <row r="389" spans="1:20" ht="15.75">
      <c r="A389" s="13">
        <v>53358</v>
      </c>
      <c r="B389" s="44">
        <v>31</v>
      </c>
      <c r="C389" s="35">
        <v>122.58</v>
      </c>
      <c r="D389" s="35">
        <v>297.94099999999997</v>
      </c>
      <c r="E389" s="41">
        <v>729.47900000000004</v>
      </c>
      <c r="F389" s="35">
        <v>1150</v>
      </c>
      <c r="G389" s="35">
        <v>100</v>
      </c>
      <c r="H389" s="43">
        <v>600</v>
      </c>
      <c r="I389" s="35">
        <v>695</v>
      </c>
      <c r="J389" s="35">
        <v>50</v>
      </c>
      <c r="K389" s="36"/>
      <c r="L389" s="36"/>
      <c r="M389" s="36"/>
      <c r="N389" s="36"/>
      <c r="O389" s="36"/>
      <c r="P389" s="36"/>
      <c r="Q389" s="36"/>
      <c r="R389" s="36"/>
      <c r="S389" s="36"/>
      <c r="T389" s="36"/>
    </row>
    <row r="390" spans="1:20" ht="15.75">
      <c r="A390" s="13">
        <v>53386</v>
      </c>
      <c r="B390" s="44">
        <v>28</v>
      </c>
      <c r="C390" s="35">
        <v>122.58</v>
      </c>
      <c r="D390" s="35">
        <v>297.94099999999997</v>
      </c>
      <c r="E390" s="41">
        <v>729.47900000000004</v>
      </c>
      <c r="F390" s="35">
        <v>1150</v>
      </c>
      <c r="G390" s="35">
        <v>100</v>
      </c>
      <c r="H390" s="43">
        <v>600</v>
      </c>
      <c r="I390" s="35">
        <v>695</v>
      </c>
      <c r="J390" s="35">
        <v>50</v>
      </c>
      <c r="K390" s="36"/>
      <c r="L390" s="36"/>
      <c r="M390" s="36"/>
      <c r="N390" s="36"/>
      <c r="O390" s="36"/>
      <c r="P390" s="36"/>
      <c r="Q390" s="36"/>
      <c r="R390" s="36"/>
      <c r="S390" s="36"/>
      <c r="T390" s="36"/>
    </row>
    <row r="391" spans="1:20" ht="15.75">
      <c r="A391" s="13">
        <v>53417</v>
      </c>
      <c r="B391" s="44">
        <v>31</v>
      </c>
      <c r="C391" s="35">
        <v>122.58</v>
      </c>
      <c r="D391" s="35">
        <v>297.94099999999997</v>
      </c>
      <c r="E391" s="41">
        <v>729.47900000000004</v>
      </c>
      <c r="F391" s="35">
        <v>1150</v>
      </c>
      <c r="G391" s="35">
        <v>100</v>
      </c>
      <c r="H391" s="43">
        <v>600</v>
      </c>
      <c r="I391" s="35">
        <v>695</v>
      </c>
      <c r="J391" s="35">
        <v>50</v>
      </c>
      <c r="K391" s="36"/>
      <c r="L391" s="36"/>
      <c r="M391" s="36"/>
      <c r="N391" s="36"/>
      <c r="O391" s="36"/>
      <c r="P391" s="36"/>
      <c r="Q391" s="36"/>
      <c r="R391" s="36"/>
      <c r="S391" s="36"/>
      <c r="T391" s="36"/>
    </row>
    <row r="392" spans="1:20" ht="15.75">
      <c r="A392" s="13">
        <v>53447</v>
      </c>
      <c r="B392" s="44">
        <v>30</v>
      </c>
      <c r="C392" s="35">
        <v>141.29300000000001</v>
      </c>
      <c r="D392" s="35">
        <v>267.99299999999999</v>
      </c>
      <c r="E392" s="41">
        <v>829.71400000000006</v>
      </c>
      <c r="F392" s="35">
        <v>1239</v>
      </c>
      <c r="G392" s="35">
        <v>100</v>
      </c>
      <c r="H392" s="43">
        <v>600</v>
      </c>
      <c r="I392" s="35">
        <v>695</v>
      </c>
      <c r="J392" s="35">
        <v>50</v>
      </c>
      <c r="K392" s="36"/>
      <c r="L392" s="36"/>
      <c r="M392" s="36"/>
      <c r="N392" s="36"/>
      <c r="O392" s="36"/>
      <c r="P392" s="36"/>
      <c r="Q392" s="36"/>
      <c r="R392" s="36"/>
      <c r="S392" s="36"/>
      <c r="T392" s="36"/>
    </row>
    <row r="393" spans="1:20" ht="15.75">
      <c r="A393" s="13">
        <v>53478</v>
      </c>
      <c r="B393" s="44">
        <v>31</v>
      </c>
      <c r="C393" s="35">
        <v>194.20500000000001</v>
      </c>
      <c r="D393" s="35">
        <v>267.46600000000001</v>
      </c>
      <c r="E393" s="41">
        <v>812.32899999999995</v>
      </c>
      <c r="F393" s="35">
        <v>1274</v>
      </c>
      <c r="G393" s="35">
        <v>75</v>
      </c>
      <c r="H393" s="43">
        <v>600</v>
      </c>
      <c r="I393" s="35">
        <v>695</v>
      </c>
      <c r="J393" s="35">
        <v>50</v>
      </c>
      <c r="K393" s="36"/>
      <c r="L393" s="36"/>
      <c r="M393" s="36"/>
      <c r="N393" s="36"/>
      <c r="O393" s="36"/>
      <c r="P393" s="36"/>
      <c r="Q393" s="36"/>
      <c r="R393" s="36"/>
      <c r="S393" s="36"/>
      <c r="T393" s="36"/>
    </row>
    <row r="394" spans="1:20" ht="15.75">
      <c r="A394" s="13">
        <v>53508</v>
      </c>
      <c r="B394" s="44">
        <v>30</v>
      </c>
      <c r="C394" s="35">
        <v>194.20500000000001</v>
      </c>
      <c r="D394" s="35">
        <v>267.46600000000001</v>
      </c>
      <c r="E394" s="41">
        <v>812.32899999999995</v>
      </c>
      <c r="F394" s="35">
        <v>1274</v>
      </c>
      <c r="G394" s="35">
        <v>50</v>
      </c>
      <c r="H394" s="43">
        <v>600</v>
      </c>
      <c r="I394" s="35">
        <v>695</v>
      </c>
      <c r="J394" s="35">
        <v>50</v>
      </c>
      <c r="K394" s="36"/>
      <c r="L394" s="36"/>
      <c r="M394" s="36"/>
      <c r="N394" s="36"/>
      <c r="O394" s="36"/>
      <c r="P394" s="36"/>
      <c r="Q394" s="36"/>
      <c r="R394" s="36"/>
      <c r="S394" s="36"/>
      <c r="T394" s="36"/>
    </row>
    <row r="395" spans="1:20" ht="15.75">
      <c r="A395" s="13">
        <v>53539</v>
      </c>
      <c r="B395" s="44">
        <v>31</v>
      </c>
      <c r="C395" s="35">
        <v>194.20500000000001</v>
      </c>
      <c r="D395" s="35">
        <v>267.46600000000001</v>
      </c>
      <c r="E395" s="41">
        <v>812.32899999999995</v>
      </c>
      <c r="F395" s="35">
        <v>1274</v>
      </c>
      <c r="G395" s="35">
        <v>50</v>
      </c>
      <c r="H395" s="43">
        <v>600</v>
      </c>
      <c r="I395" s="35">
        <v>695</v>
      </c>
      <c r="J395" s="35">
        <v>0</v>
      </c>
      <c r="K395" s="36"/>
      <c r="L395" s="36"/>
      <c r="M395" s="36"/>
      <c r="N395" s="36"/>
      <c r="O395" s="36"/>
      <c r="P395" s="36"/>
      <c r="Q395" s="36"/>
      <c r="R395" s="36"/>
      <c r="S395" s="36"/>
      <c r="T395" s="36"/>
    </row>
    <row r="396" spans="1:20" ht="15.75">
      <c r="A396" s="13">
        <v>53570</v>
      </c>
      <c r="B396" s="44">
        <v>31</v>
      </c>
      <c r="C396" s="35">
        <v>194.20500000000001</v>
      </c>
      <c r="D396" s="35">
        <v>267.46600000000001</v>
      </c>
      <c r="E396" s="41">
        <v>812.32899999999995</v>
      </c>
      <c r="F396" s="35">
        <v>1274</v>
      </c>
      <c r="G396" s="35">
        <v>50</v>
      </c>
      <c r="H396" s="43">
        <v>600</v>
      </c>
      <c r="I396" s="35">
        <v>695</v>
      </c>
      <c r="J396" s="35">
        <v>0</v>
      </c>
      <c r="K396" s="36"/>
      <c r="L396" s="36"/>
      <c r="M396" s="36"/>
      <c r="N396" s="36"/>
      <c r="O396" s="36"/>
      <c r="P396" s="36"/>
      <c r="Q396" s="36"/>
      <c r="R396" s="36"/>
      <c r="S396" s="36"/>
      <c r="T396" s="36"/>
    </row>
    <row r="397" spans="1:20" ht="15.75">
      <c r="A397" s="13">
        <v>53600</v>
      </c>
      <c r="B397" s="44">
        <v>30</v>
      </c>
      <c r="C397" s="35">
        <v>194.20500000000001</v>
      </c>
      <c r="D397" s="35">
        <v>267.46600000000001</v>
      </c>
      <c r="E397" s="41">
        <v>812.32899999999995</v>
      </c>
      <c r="F397" s="35">
        <v>1274</v>
      </c>
      <c r="G397" s="35">
        <v>50</v>
      </c>
      <c r="H397" s="43">
        <v>600</v>
      </c>
      <c r="I397" s="35">
        <v>695</v>
      </c>
      <c r="J397" s="35">
        <v>0</v>
      </c>
      <c r="K397" s="36"/>
      <c r="L397" s="36"/>
      <c r="M397" s="36"/>
      <c r="N397" s="36"/>
      <c r="O397" s="36"/>
      <c r="P397" s="36"/>
      <c r="Q397" s="36"/>
      <c r="R397" s="36"/>
      <c r="S397" s="36"/>
      <c r="T397" s="36"/>
    </row>
    <row r="398" spans="1:20" ht="15.75">
      <c r="A398" s="13">
        <v>53631</v>
      </c>
      <c r="B398" s="44">
        <v>31</v>
      </c>
      <c r="C398" s="35">
        <v>131.881</v>
      </c>
      <c r="D398" s="35">
        <v>277.16699999999997</v>
      </c>
      <c r="E398" s="41">
        <v>829.952</v>
      </c>
      <c r="F398" s="35">
        <v>1239</v>
      </c>
      <c r="G398" s="35">
        <v>75</v>
      </c>
      <c r="H398" s="43">
        <v>600</v>
      </c>
      <c r="I398" s="35">
        <v>695</v>
      </c>
      <c r="J398" s="35">
        <v>0</v>
      </c>
      <c r="K398" s="36"/>
      <c r="L398" s="36"/>
      <c r="M398" s="36"/>
      <c r="N398" s="36"/>
      <c r="O398" s="36"/>
      <c r="P398" s="36"/>
      <c r="Q398" s="36"/>
      <c r="R398" s="36"/>
      <c r="S398" s="36"/>
      <c r="T398" s="36"/>
    </row>
    <row r="399" spans="1:20" ht="15.75">
      <c r="A399" s="13">
        <v>53661</v>
      </c>
      <c r="B399" s="44">
        <v>30</v>
      </c>
      <c r="C399" s="35">
        <v>122.58</v>
      </c>
      <c r="D399" s="35">
        <v>297.94099999999997</v>
      </c>
      <c r="E399" s="41">
        <v>729.47900000000004</v>
      </c>
      <c r="F399" s="35">
        <v>1150</v>
      </c>
      <c r="G399" s="35">
        <v>100</v>
      </c>
      <c r="H399" s="43">
        <v>600</v>
      </c>
      <c r="I399" s="35">
        <v>695</v>
      </c>
      <c r="J399" s="35">
        <v>50</v>
      </c>
      <c r="K399" s="36"/>
      <c r="L399" s="36"/>
      <c r="M399" s="36"/>
      <c r="N399" s="36"/>
      <c r="O399" s="36"/>
      <c r="P399" s="36"/>
      <c r="Q399" s="36"/>
      <c r="R399" s="36"/>
      <c r="S399" s="36"/>
      <c r="T399" s="36"/>
    </row>
    <row r="400" spans="1:20" ht="15.75">
      <c r="A400" s="13">
        <v>53692</v>
      </c>
      <c r="B400" s="44">
        <v>31</v>
      </c>
      <c r="C400" s="35">
        <v>122.58</v>
      </c>
      <c r="D400" s="35">
        <v>297.94099999999997</v>
      </c>
      <c r="E400" s="41">
        <v>729.47900000000004</v>
      </c>
      <c r="F400" s="35">
        <v>1150</v>
      </c>
      <c r="G400" s="35">
        <v>100</v>
      </c>
      <c r="H400" s="43">
        <v>600</v>
      </c>
      <c r="I400" s="35">
        <v>695</v>
      </c>
      <c r="J400" s="35">
        <v>50</v>
      </c>
      <c r="K400" s="36"/>
      <c r="L400" s="36"/>
      <c r="M400" s="36"/>
      <c r="N400" s="36"/>
      <c r="O400" s="36"/>
      <c r="P400" s="36"/>
      <c r="Q400" s="36"/>
      <c r="R400" s="36"/>
      <c r="S400" s="36"/>
      <c r="T400" s="36"/>
    </row>
    <row r="401" spans="1:20" ht="15.75">
      <c r="A401" s="13">
        <v>53723</v>
      </c>
      <c r="B401" s="44">
        <v>31</v>
      </c>
      <c r="C401" s="35">
        <v>122.58</v>
      </c>
      <c r="D401" s="35">
        <v>297.94099999999997</v>
      </c>
      <c r="E401" s="41">
        <v>729.47900000000004</v>
      </c>
      <c r="F401" s="35">
        <v>1150</v>
      </c>
      <c r="G401" s="35">
        <v>100</v>
      </c>
      <c r="H401" s="43">
        <v>600</v>
      </c>
      <c r="I401" s="35">
        <v>695</v>
      </c>
      <c r="J401" s="35">
        <v>50</v>
      </c>
      <c r="K401" s="36"/>
      <c r="L401" s="36"/>
      <c r="M401" s="36"/>
      <c r="N401" s="36"/>
      <c r="O401" s="36"/>
      <c r="P401" s="36"/>
      <c r="Q401" s="36"/>
      <c r="R401" s="36"/>
      <c r="S401" s="36"/>
      <c r="T401" s="36"/>
    </row>
    <row r="402" spans="1:20" ht="15.75">
      <c r="A402" s="13">
        <v>53751</v>
      </c>
      <c r="B402" s="44">
        <v>28</v>
      </c>
      <c r="C402" s="35">
        <v>122.58</v>
      </c>
      <c r="D402" s="35">
        <v>297.94099999999997</v>
      </c>
      <c r="E402" s="41">
        <v>729.47900000000004</v>
      </c>
      <c r="F402" s="35">
        <v>1150</v>
      </c>
      <c r="G402" s="35">
        <v>100</v>
      </c>
      <c r="H402" s="43">
        <v>600</v>
      </c>
      <c r="I402" s="35">
        <v>695</v>
      </c>
      <c r="J402" s="35">
        <v>50</v>
      </c>
      <c r="K402" s="36"/>
      <c r="L402" s="36"/>
      <c r="M402" s="36"/>
      <c r="N402" s="36"/>
      <c r="O402" s="36"/>
      <c r="P402" s="36"/>
      <c r="Q402" s="36"/>
      <c r="R402" s="36"/>
      <c r="S402" s="36"/>
      <c r="T402" s="36"/>
    </row>
    <row r="403" spans="1:20" ht="15.75">
      <c r="A403" s="13">
        <v>53782</v>
      </c>
      <c r="B403" s="44">
        <v>31</v>
      </c>
      <c r="C403" s="35">
        <v>122.58</v>
      </c>
      <c r="D403" s="35">
        <v>297.94099999999997</v>
      </c>
      <c r="E403" s="41">
        <v>729.47900000000004</v>
      </c>
      <c r="F403" s="35">
        <v>1150</v>
      </c>
      <c r="G403" s="35">
        <v>100</v>
      </c>
      <c r="H403" s="43">
        <v>600</v>
      </c>
      <c r="I403" s="35">
        <v>695</v>
      </c>
      <c r="J403" s="35">
        <v>50</v>
      </c>
      <c r="K403" s="36"/>
      <c r="L403" s="36"/>
      <c r="M403" s="36"/>
      <c r="N403" s="36"/>
      <c r="O403" s="36"/>
      <c r="P403" s="36"/>
      <c r="Q403" s="36"/>
      <c r="R403" s="36"/>
      <c r="S403" s="36"/>
      <c r="T403" s="36"/>
    </row>
    <row r="404" spans="1:20" ht="15.75">
      <c r="A404" s="13">
        <v>53812</v>
      </c>
      <c r="B404" s="44">
        <v>30</v>
      </c>
      <c r="C404" s="35">
        <v>141.29300000000001</v>
      </c>
      <c r="D404" s="35">
        <v>267.99299999999999</v>
      </c>
      <c r="E404" s="41">
        <v>829.71400000000006</v>
      </c>
      <c r="F404" s="35">
        <v>1239</v>
      </c>
      <c r="G404" s="35">
        <v>100</v>
      </c>
      <c r="H404" s="43">
        <v>600</v>
      </c>
      <c r="I404" s="35">
        <v>695</v>
      </c>
      <c r="J404" s="35">
        <v>50</v>
      </c>
      <c r="K404" s="36"/>
      <c r="L404" s="36"/>
      <c r="M404" s="36"/>
      <c r="N404" s="36"/>
      <c r="O404" s="36"/>
      <c r="P404" s="36"/>
      <c r="Q404" s="36"/>
      <c r="R404" s="36"/>
      <c r="S404" s="36"/>
      <c r="T404" s="36"/>
    </row>
    <row r="405" spans="1:20" ht="15.75">
      <c r="A405" s="13">
        <v>53843</v>
      </c>
      <c r="B405" s="44">
        <v>31</v>
      </c>
      <c r="C405" s="35">
        <v>194.20500000000001</v>
      </c>
      <c r="D405" s="35">
        <v>267.46600000000001</v>
      </c>
      <c r="E405" s="41">
        <v>812.32899999999995</v>
      </c>
      <c r="F405" s="35">
        <v>1274</v>
      </c>
      <c r="G405" s="35">
        <v>75</v>
      </c>
      <c r="H405" s="43">
        <v>600</v>
      </c>
      <c r="I405" s="35">
        <v>695</v>
      </c>
      <c r="J405" s="35">
        <v>50</v>
      </c>
      <c r="K405" s="36"/>
      <c r="L405" s="36"/>
      <c r="M405" s="36"/>
      <c r="N405" s="36"/>
      <c r="O405" s="36"/>
      <c r="P405" s="36"/>
      <c r="Q405" s="36"/>
      <c r="R405" s="36"/>
      <c r="S405" s="36"/>
      <c r="T405" s="36"/>
    </row>
    <row r="406" spans="1:20" ht="15.75">
      <c r="A406" s="13">
        <v>53873</v>
      </c>
      <c r="B406" s="44">
        <v>30</v>
      </c>
      <c r="C406" s="35">
        <v>194.20500000000001</v>
      </c>
      <c r="D406" s="35">
        <v>267.46600000000001</v>
      </c>
      <c r="E406" s="41">
        <v>812.32899999999995</v>
      </c>
      <c r="F406" s="35">
        <v>1274</v>
      </c>
      <c r="G406" s="35">
        <v>50</v>
      </c>
      <c r="H406" s="43">
        <v>600</v>
      </c>
      <c r="I406" s="35">
        <v>695</v>
      </c>
      <c r="J406" s="35">
        <v>50</v>
      </c>
      <c r="K406" s="36"/>
      <c r="L406" s="36"/>
      <c r="M406" s="36"/>
      <c r="N406" s="36"/>
      <c r="O406" s="36"/>
      <c r="P406" s="36"/>
      <c r="Q406" s="36"/>
      <c r="R406" s="36"/>
      <c r="S406" s="36"/>
      <c r="T406" s="36"/>
    </row>
    <row r="407" spans="1:20" ht="15.75">
      <c r="A407" s="13">
        <v>53904</v>
      </c>
      <c r="B407" s="44">
        <v>31</v>
      </c>
      <c r="C407" s="35">
        <v>194.20500000000001</v>
      </c>
      <c r="D407" s="35">
        <v>267.46600000000001</v>
      </c>
      <c r="E407" s="41">
        <v>812.32899999999995</v>
      </c>
      <c r="F407" s="35">
        <v>1274</v>
      </c>
      <c r="G407" s="35">
        <v>50</v>
      </c>
      <c r="H407" s="43">
        <v>600</v>
      </c>
      <c r="I407" s="35">
        <v>695</v>
      </c>
      <c r="J407" s="35">
        <v>0</v>
      </c>
      <c r="K407" s="36"/>
      <c r="L407" s="36"/>
      <c r="M407" s="36"/>
      <c r="N407" s="36"/>
      <c r="O407" s="36"/>
      <c r="P407" s="36"/>
      <c r="Q407" s="36"/>
      <c r="R407" s="36"/>
      <c r="S407" s="36"/>
      <c r="T407" s="36"/>
    </row>
    <row r="408" spans="1:20" ht="15.75">
      <c r="A408" s="13">
        <v>53935</v>
      </c>
      <c r="B408" s="44">
        <v>31</v>
      </c>
      <c r="C408" s="35">
        <v>194.20500000000001</v>
      </c>
      <c r="D408" s="35">
        <v>267.46600000000001</v>
      </c>
      <c r="E408" s="41">
        <v>812.32899999999995</v>
      </c>
      <c r="F408" s="35">
        <v>1274</v>
      </c>
      <c r="G408" s="35">
        <v>50</v>
      </c>
      <c r="H408" s="43">
        <v>600</v>
      </c>
      <c r="I408" s="35">
        <v>695</v>
      </c>
      <c r="J408" s="35">
        <v>0</v>
      </c>
      <c r="K408" s="36"/>
      <c r="L408" s="36"/>
      <c r="M408" s="36"/>
      <c r="N408" s="36"/>
      <c r="O408" s="36"/>
      <c r="P408" s="36"/>
      <c r="Q408" s="36"/>
      <c r="R408" s="36"/>
      <c r="S408" s="36"/>
      <c r="T408" s="36"/>
    </row>
    <row r="409" spans="1:20" ht="15.75">
      <c r="A409" s="13">
        <v>53965</v>
      </c>
      <c r="B409" s="44">
        <v>30</v>
      </c>
      <c r="C409" s="35">
        <v>194.20500000000001</v>
      </c>
      <c r="D409" s="35">
        <v>267.46600000000001</v>
      </c>
      <c r="E409" s="41">
        <v>812.32899999999995</v>
      </c>
      <c r="F409" s="35">
        <v>1274</v>
      </c>
      <c r="G409" s="35">
        <v>50</v>
      </c>
      <c r="H409" s="43">
        <v>600</v>
      </c>
      <c r="I409" s="35">
        <v>695</v>
      </c>
      <c r="J409" s="35">
        <v>0</v>
      </c>
      <c r="K409" s="36"/>
      <c r="L409" s="36"/>
      <c r="M409" s="36"/>
      <c r="N409" s="36"/>
      <c r="O409" s="36"/>
      <c r="P409" s="36"/>
      <c r="Q409" s="36"/>
      <c r="R409" s="36"/>
      <c r="S409" s="36"/>
      <c r="T409" s="36"/>
    </row>
    <row r="410" spans="1:20" ht="15.75">
      <c r="A410" s="13">
        <v>53996</v>
      </c>
      <c r="B410" s="44">
        <v>31</v>
      </c>
      <c r="C410" s="35">
        <v>131.881</v>
      </c>
      <c r="D410" s="35">
        <v>277.16699999999997</v>
      </c>
      <c r="E410" s="41">
        <v>829.952</v>
      </c>
      <c r="F410" s="35">
        <v>1239</v>
      </c>
      <c r="G410" s="35">
        <v>75</v>
      </c>
      <c r="H410" s="43">
        <v>600</v>
      </c>
      <c r="I410" s="35">
        <v>695</v>
      </c>
      <c r="J410" s="35">
        <v>0</v>
      </c>
      <c r="K410" s="36"/>
      <c r="L410" s="36"/>
      <c r="M410" s="36"/>
      <c r="N410" s="36"/>
      <c r="O410" s="36"/>
      <c r="P410" s="36"/>
      <c r="Q410" s="36"/>
      <c r="R410" s="36"/>
      <c r="S410" s="36"/>
      <c r="T410" s="36"/>
    </row>
    <row r="411" spans="1:20" ht="15.75">
      <c r="A411" s="13">
        <v>54026</v>
      </c>
      <c r="B411" s="44">
        <v>30</v>
      </c>
      <c r="C411" s="35">
        <v>122.58</v>
      </c>
      <c r="D411" s="35">
        <v>297.94099999999997</v>
      </c>
      <c r="E411" s="41">
        <v>729.47900000000004</v>
      </c>
      <c r="F411" s="35">
        <v>1150</v>
      </c>
      <c r="G411" s="35">
        <v>100</v>
      </c>
      <c r="H411" s="43">
        <v>600</v>
      </c>
      <c r="I411" s="35">
        <v>695</v>
      </c>
      <c r="J411" s="35">
        <v>50</v>
      </c>
      <c r="K411" s="36"/>
      <c r="L411" s="36"/>
      <c r="M411" s="36"/>
      <c r="N411" s="36"/>
      <c r="O411" s="36"/>
      <c r="P411" s="36"/>
      <c r="Q411" s="36"/>
      <c r="R411" s="36"/>
      <c r="S411" s="36"/>
      <c r="T411" s="36"/>
    </row>
    <row r="412" spans="1:20" ht="15.75">
      <c r="A412" s="13">
        <v>54057</v>
      </c>
      <c r="B412" s="44">
        <v>31</v>
      </c>
      <c r="C412" s="35">
        <v>122.58</v>
      </c>
      <c r="D412" s="35">
        <v>297.94099999999997</v>
      </c>
      <c r="E412" s="41">
        <v>729.47900000000004</v>
      </c>
      <c r="F412" s="35">
        <v>1150</v>
      </c>
      <c r="G412" s="35">
        <v>100</v>
      </c>
      <c r="H412" s="43">
        <v>600</v>
      </c>
      <c r="I412" s="35">
        <v>695</v>
      </c>
      <c r="J412" s="35">
        <v>50</v>
      </c>
      <c r="K412" s="36"/>
      <c r="L412" s="36"/>
      <c r="M412" s="36"/>
      <c r="N412" s="36"/>
      <c r="O412" s="36"/>
      <c r="P412" s="36"/>
      <c r="Q412" s="36"/>
      <c r="R412" s="36"/>
      <c r="S412" s="36"/>
      <c r="T412" s="36"/>
    </row>
    <row r="413" spans="1:20" ht="15.75">
      <c r="A413" s="13">
        <v>54088</v>
      </c>
      <c r="B413" s="44">
        <v>31</v>
      </c>
      <c r="C413" s="35">
        <v>122.58</v>
      </c>
      <c r="D413" s="35">
        <v>297.94099999999997</v>
      </c>
      <c r="E413" s="41">
        <v>729.47900000000004</v>
      </c>
      <c r="F413" s="35">
        <v>1150</v>
      </c>
      <c r="G413" s="35">
        <v>100</v>
      </c>
      <c r="H413" s="43">
        <v>600</v>
      </c>
      <c r="I413" s="35">
        <v>695</v>
      </c>
      <c r="J413" s="35">
        <v>50</v>
      </c>
      <c r="K413" s="36"/>
      <c r="L413" s="36"/>
      <c r="M413" s="36"/>
      <c r="N413" s="36"/>
      <c r="O413" s="36"/>
      <c r="P413" s="36"/>
      <c r="Q413" s="36"/>
      <c r="R413" s="36"/>
      <c r="S413" s="36"/>
      <c r="T413" s="36"/>
    </row>
    <row r="414" spans="1:20" ht="15.75">
      <c r="A414" s="13">
        <v>54116</v>
      </c>
      <c r="B414" s="44">
        <v>29</v>
      </c>
      <c r="C414" s="35">
        <v>122.58</v>
      </c>
      <c r="D414" s="35">
        <v>297.94099999999997</v>
      </c>
      <c r="E414" s="41">
        <v>729.47900000000004</v>
      </c>
      <c r="F414" s="35">
        <v>1150</v>
      </c>
      <c r="G414" s="35">
        <v>100</v>
      </c>
      <c r="H414" s="43">
        <v>600</v>
      </c>
      <c r="I414" s="35">
        <v>695</v>
      </c>
      <c r="J414" s="35">
        <v>50</v>
      </c>
      <c r="K414" s="36"/>
      <c r="L414" s="36"/>
      <c r="M414" s="36"/>
      <c r="N414" s="36"/>
      <c r="O414" s="36"/>
      <c r="P414" s="36"/>
      <c r="Q414" s="36"/>
      <c r="R414" s="36"/>
      <c r="S414" s="36"/>
      <c r="T414" s="36"/>
    </row>
    <row r="415" spans="1:20" ht="15.75">
      <c r="A415" s="13">
        <v>54148</v>
      </c>
      <c r="B415" s="44">
        <v>31</v>
      </c>
      <c r="C415" s="35">
        <v>122.58</v>
      </c>
      <c r="D415" s="35">
        <v>297.94099999999997</v>
      </c>
      <c r="E415" s="41">
        <v>729.47900000000004</v>
      </c>
      <c r="F415" s="35">
        <v>1150</v>
      </c>
      <c r="G415" s="35">
        <v>100</v>
      </c>
      <c r="H415" s="43">
        <v>600</v>
      </c>
      <c r="I415" s="35">
        <v>695</v>
      </c>
      <c r="J415" s="35">
        <v>50</v>
      </c>
      <c r="K415" s="36"/>
      <c r="L415" s="36"/>
      <c r="M415" s="36"/>
      <c r="N415" s="36"/>
      <c r="O415" s="36"/>
      <c r="P415" s="36"/>
      <c r="Q415" s="36"/>
      <c r="R415" s="36"/>
      <c r="S415" s="36"/>
      <c r="T415" s="36"/>
    </row>
    <row r="416" spans="1:20" ht="15.75">
      <c r="A416" s="13">
        <v>54178</v>
      </c>
      <c r="B416" s="44">
        <v>30</v>
      </c>
      <c r="C416" s="35">
        <v>141.29300000000001</v>
      </c>
      <c r="D416" s="35">
        <v>267.99299999999999</v>
      </c>
      <c r="E416" s="41">
        <v>829.71400000000006</v>
      </c>
      <c r="F416" s="35">
        <v>1239</v>
      </c>
      <c r="G416" s="35">
        <v>100</v>
      </c>
      <c r="H416" s="43">
        <v>600</v>
      </c>
      <c r="I416" s="35">
        <v>695</v>
      </c>
      <c r="J416" s="35">
        <v>50</v>
      </c>
      <c r="K416" s="36"/>
      <c r="L416" s="36"/>
      <c r="M416" s="36"/>
      <c r="N416" s="36"/>
      <c r="O416" s="36"/>
      <c r="P416" s="36"/>
      <c r="Q416" s="36"/>
      <c r="R416" s="36"/>
      <c r="S416" s="36"/>
      <c r="T416" s="36"/>
    </row>
    <row r="417" spans="1:20" ht="15.75">
      <c r="A417" s="13">
        <v>54209</v>
      </c>
      <c r="B417" s="44">
        <v>31</v>
      </c>
      <c r="C417" s="35">
        <v>194.20500000000001</v>
      </c>
      <c r="D417" s="35">
        <v>267.46600000000001</v>
      </c>
      <c r="E417" s="41">
        <v>812.32899999999995</v>
      </c>
      <c r="F417" s="35">
        <v>1274</v>
      </c>
      <c r="G417" s="35">
        <v>75</v>
      </c>
      <c r="H417" s="43">
        <v>600</v>
      </c>
      <c r="I417" s="35">
        <v>695</v>
      </c>
      <c r="J417" s="35">
        <v>50</v>
      </c>
      <c r="K417" s="36"/>
      <c r="L417" s="36"/>
      <c r="M417" s="36"/>
      <c r="N417" s="36"/>
      <c r="O417" s="36"/>
      <c r="P417" s="36"/>
      <c r="Q417" s="36"/>
      <c r="R417" s="36"/>
      <c r="S417" s="36"/>
      <c r="T417" s="36"/>
    </row>
    <row r="418" spans="1:20" ht="15.75">
      <c r="A418" s="13">
        <v>54239</v>
      </c>
      <c r="B418" s="44">
        <v>30</v>
      </c>
      <c r="C418" s="35">
        <v>194.20500000000001</v>
      </c>
      <c r="D418" s="35">
        <v>267.46600000000001</v>
      </c>
      <c r="E418" s="41">
        <v>812.32899999999995</v>
      </c>
      <c r="F418" s="35">
        <v>1274</v>
      </c>
      <c r="G418" s="35">
        <v>50</v>
      </c>
      <c r="H418" s="43">
        <v>600</v>
      </c>
      <c r="I418" s="35">
        <v>695</v>
      </c>
      <c r="J418" s="35">
        <v>50</v>
      </c>
      <c r="K418" s="36"/>
      <c r="L418" s="36"/>
      <c r="M418" s="36"/>
      <c r="N418" s="36"/>
      <c r="O418" s="36"/>
      <c r="P418" s="36"/>
      <c r="Q418" s="36"/>
      <c r="R418" s="36"/>
      <c r="S418" s="36"/>
      <c r="T418" s="36"/>
    </row>
    <row r="419" spans="1:20" ht="15.75">
      <c r="A419" s="13">
        <v>54270</v>
      </c>
      <c r="B419" s="44">
        <v>31</v>
      </c>
      <c r="C419" s="35">
        <v>194.20500000000001</v>
      </c>
      <c r="D419" s="35">
        <v>267.46600000000001</v>
      </c>
      <c r="E419" s="41">
        <v>812.32899999999995</v>
      </c>
      <c r="F419" s="35">
        <v>1274</v>
      </c>
      <c r="G419" s="35">
        <v>50</v>
      </c>
      <c r="H419" s="43">
        <v>600</v>
      </c>
      <c r="I419" s="35">
        <v>695</v>
      </c>
      <c r="J419" s="35">
        <v>0</v>
      </c>
      <c r="K419" s="36"/>
      <c r="L419" s="36"/>
      <c r="M419" s="36"/>
      <c r="N419" s="36"/>
      <c r="O419" s="36"/>
      <c r="P419" s="36"/>
      <c r="Q419" s="36"/>
      <c r="R419" s="36"/>
      <c r="S419" s="36"/>
      <c r="T419" s="36"/>
    </row>
    <row r="420" spans="1:20" ht="15.75">
      <c r="A420" s="13">
        <v>54301</v>
      </c>
      <c r="B420" s="44">
        <v>31</v>
      </c>
      <c r="C420" s="35">
        <v>194.20500000000001</v>
      </c>
      <c r="D420" s="35">
        <v>267.46600000000001</v>
      </c>
      <c r="E420" s="41">
        <v>812.32899999999995</v>
      </c>
      <c r="F420" s="35">
        <v>1274</v>
      </c>
      <c r="G420" s="35">
        <v>50</v>
      </c>
      <c r="H420" s="43">
        <v>600</v>
      </c>
      <c r="I420" s="35">
        <v>695</v>
      </c>
      <c r="J420" s="35">
        <v>0</v>
      </c>
      <c r="K420" s="36"/>
      <c r="L420" s="36"/>
      <c r="M420" s="36"/>
      <c r="N420" s="36"/>
      <c r="O420" s="36"/>
      <c r="P420" s="36"/>
      <c r="Q420" s="36"/>
      <c r="R420" s="36"/>
      <c r="S420" s="36"/>
      <c r="T420" s="36"/>
    </row>
    <row r="421" spans="1:20" ht="15.75">
      <c r="A421" s="13">
        <v>54331</v>
      </c>
      <c r="B421" s="44">
        <v>30</v>
      </c>
      <c r="C421" s="35">
        <v>194.20500000000001</v>
      </c>
      <c r="D421" s="35">
        <v>267.46600000000001</v>
      </c>
      <c r="E421" s="41">
        <v>812.32899999999995</v>
      </c>
      <c r="F421" s="35">
        <v>1274</v>
      </c>
      <c r="G421" s="35">
        <v>50</v>
      </c>
      <c r="H421" s="43">
        <v>600</v>
      </c>
      <c r="I421" s="35">
        <v>695</v>
      </c>
      <c r="J421" s="35">
        <v>0</v>
      </c>
      <c r="K421" s="36"/>
      <c r="L421" s="36"/>
      <c r="M421" s="36"/>
      <c r="N421" s="36"/>
      <c r="O421" s="36"/>
      <c r="P421" s="36"/>
      <c r="Q421" s="36"/>
      <c r="R421" s="36"/>
      <c r="S421" s="36"/>
      <c r="T421" s="36"/>
    </row>
    <row r="422" spans="1:20" ht="15.75">
      <c r="A422" s="13">
        <v>54362</v>
      </c>
      <c r="B422" s="44">
        <v>31</v>
      </c>
      <c r="C422" s="35">
        <v>131.881</v>
      </c>
      <c r="D422" s="35">
        <v>277.16699999999997</v>
      </c>
      <c r="E422" s="41">
        <v>829.952</v>
      </c>
      <c r="F422" s="35">
        <v>1239</v>
      </c>
      <c r="G422" s="35">
        <v>75</v>
      </c>
      <c r="H422" s="43">
        <v>600</v>
      </c>
      <c r="I422" s="35">
        <v>695</v>
      </c>
      <c r="J422" s="35">
        <v>0</v>
      </c>
      <c r="K422" s="36"/>
      <c r="L422" s="36"/>
      <c r="M422" s="36"/>
      <c r="N422" s="36"/>
      <c r="O422" s="36"/>
      <c r="P422" s="36"/>
      <c r="Q422" s="36"/>
      <c r="R422" s="36"/>
      <c r="S422" s="36"/>
      <c r="T422" s="36"/>
    </row>
    <row r="423" spans="1:20" ht="15.75">
      <c r="A423" s="13">
        <v>54392</v>
      </c>
      <c r="B423" s="44">
        <v>30</v>
      </c>
      <c r="C423" s="35">
        <v>122.58</v>
      </c>
      <c r="D423" s="35">
        <v>297.94099999999997</v>
      </c>
      <c r="E423" s="41">
        <v>729.47900000000004</v>
      </c>
      <c r="F423" s="35">
        <v>1150</v>
      </c>
      <c r="G423" s="35">
        <v>100</v>
      </c>
      <c r="H423" s="43">
        <v>600</v>
      </c>
      <c r="I423" s="35">
        <v>695</v>
      </c>
      <c r="J423" s="35">
        <v>50</v>
      </c>
      <c r="K423" s="36"/>
      <c r="L423" s="36"/>
      <c r="M423" s="36"/>
      <c r="N423" s="36"/>
      <c r="O423" s="36"/>
      <c r="P423" s="36"/>
      <c r="Q423" s="36"/>
      <c r="R423" s="36"/>
      <c r="S423" s="36"/>
      <c r="T423" s="36"/>
    </row>
    <row r="424" spans="1:20" ht="15.75">
      <c r="A424" s="13">
        <v>54423</v>
      </c>
      <c r="B424" s="44">
        <v>31</v>
      </c>
      <c r="C424" s="35">
        <v>122.58</v>
      </c>
      <c r="D424" s="35">
        <v>297.94099999999997</v>
      </c>
      <c r="E424" s="41">
        <v>729.47900000000004</v>
      </c>
      <c r="F424" s="35">
        <v>1150</v>
      </c>
      <c r="G424" s="35">
        <v>100</v>
      </c>
      <c r="H424" s="43">
        <v>600</v>
      </c>
      <c r="I424" s="35">
        <v>695</v>
      </c>
      <c r="J424" s="35">
        <v>50</v>
      </c>
      <c r="K424" s="36"/>
      <c r="L424" s="36"/>
      <c r="M424" s="36"/>
      <c r="N424" s="36"/>
      <c r="O424" s="36"/>
      <c r="P424" s="36"/>
      <c r="Q424" s="36"/>
      <c r="R424" s="36"/>
      <c r="S424" s="36"/>
      <c r="T424" s="36"/>
    </row>
    <row r="425" spans="1:20" ht="15.75">
      <c r="A425" s="13">
        <v>54454</v>
      </c>
      <c r="B425" s="44">
        <v>31</v>
      </c>
      <c r="C425" s="35">
        <v>122.58</v>
      </c>
      <c r="D425" s="35">
        <v>297.94099999999997</v>
      </c>
      <c r="E425" s="41">
        <v>729.47900000000004</v>
      </c>
      <c r="F425" s="35">
        <v>1150</v>
      </c>
      <c r="G425" s="35">
        <v>100</v>
      </c>
      <c r="H425" s="43">
        <v>600</v>
      </c>
      <c r="I425" s="35">
        <v>695</v>
      </c>
      <c r="J425" s="35">
        <v>50</v>
      </c>
      <c r="K425" s="36"/>
      <c r="L425" s="36"/>
      <c r="M425" s="36"/>
      <c r="N425" s="36"/>
      <c r="O425" s="36"/>
      <c r="P425" s="36"/>
      <c r="Q425" s="36"/>
      <c r="R425" s="36"/>
      <c r="S425" s="36"/>
      <c r="T425" s="36"/>
    </row>
    <row r="426" spans="1:20" ht="15.75">
      <c r="A426" s="13">
        <v>54482</v>
      </c>
      <c r="B426" s="44">
        <v>28</v>
      </c>
      <c r="C426" s="35">
        <v>122.58</v>
      </c>
      <c r="D426" s="35">
        <v>297.94099999999997</v>
      </c>
      <c r="E426" s="41">
        <v>729.47900000000004</v>
      </c>
      <c r="F426" s="35">
        <v>1150</v>
      </c>
      <c r="G426" s="35">
        <v>100</v>
      </c>
      <c r="H426" s="43">
        <v>600</v>
      </c>
      <c r="I426" s="35">
        <v>695</v>
      </c>
      <c r="J426" s="35">
        <v>50</v>
      </c>
      <c r="K426" s="36"/>
      <c r="L426" s="36"/>
      <c r="M426" s="36"/>
      <c r="N426" s="36"/>
      <c r="O426" s="36"/>
      <c r="P426" s="36"/>
      <c r="Q426" s="36"/>
      <c r="R426" s="36"/>
      <c r="S426" s="36"/>
      <c r="T426" s="36"/>
    </row>
    <row r="427" spans="1:20" ht="15.75">
      <c r="A427" s="13">
        <v>54513</v>
      </c>
      <c r="B427" s="44">
        <v>31</v>
      </c>
      <c r="C427" s="35">
        <v>122.58</v>
      </c>
      <c r="D427" s="35">
        <v>297.94099999999997</v>
      </c>
      <c r="E427" s="41">
        <v>729.47900000000004</v>
      </c>
      <c r="F427" s="35">
        <v>1150</v>
      </c>
      <c r="G427" s="35">
        <v>100</v>
      </c>
      <c r="H427" s="43">
        <v>600</v>
      </c>
      <c r="I427" s="35">
        <v>695</v>
      </c>
      <c r="J427" s="35">
        <v>50</v>
      </c>
      <c r="K427" s="36"/>
      <c r="L427" s="36"/>
      <c r="M427" s="36"/>
      <c r="N427" s="36"/>
      <c r="O427" s="36"/>
      <c r="P427" s="36"/>
      <c r="Q427" s="36"/>
      <c r="R427" s="36"/>
      <c r="S427" s="36"/>
      <c r="T427" s="36"/>
    </row>
    <row r="428" spans="1:20" ht="15.75">
      <c r="A428" s="13">
        <v>54543</v>
      </c>
      <c r="B428" s="44">
        <v>30</v>
      </c>
      <c r="C428" s="35">
        <v>141.29300000000001</v>
      </c>
      <c r="D428" s="35">
        <v>267.99299999999999</v>
      </c>
      <c r="E428" s="41">
        <v>829.71400000000006</v>
      </c>
      <c r="F428" s="35">
        <v>1239</v>
      </c>
      <c r="G428" s="35">
        <v>100</v>
      </c>
      <c r="H428" s="43">
        <v>600</v>
      </c>
      <c r="I428" s="35">
        <v>695</v>
      </c>
      <c r="J428" s="35">
        <v>50</v>
      </c>
      <c r="K428" s="36"/>
      <c r="L428" s="36"/>
      <c r="M428" s="36"/>
      <c r="N428" s="36"/>
      <c r="O428" s="36"/>
      <c r="P428" s="36"/>
      <c r="Q428" s="36"/>
      <c r="R428" s="36"/>
      <c r="S428" s="36"/>
      <c r="T428" s="36"/>
    </row>
    <row r="429" spans="1:20" ht="15.75">
      <c r="A429" s="13">
        <v>54574</v>
      </c>
      <c r="B429" s="44">
        <v>31</v>
      </c>
      <c r="C429" s="35">
        <v>194.20500000000001</v>
      </c>
      <c r="D429" s="35">
        <v>267.46600000000001</v>
      </c>
      <c r="E429" s="41">
        <v>812.32899999999995</v>
      </c>
      <c r="F429" s="35">
        <v>1274</v>
      </c>
      <c r="G429" s="35">
        <v>75</v>
      </c>
      <c r="H429" s="43">
        <v>600</v>
      </c>
      <c r="I429" s="35">
        <v>695</v>
      </c>
      <c r="J429" s="35">
        <v>50</v>
      </c>
      <c r="K429" s="36"/>
      <c r="L429" s="36"/>
      <c r="M429" s="36"/>
      <c r="N429" s="36"/>
      <c r="O429" s="36"/>
      <c r="P429" s="36"/>
      <c r="Q429" s="36"/>
      <c r="R429" s="36"/>
      <c r="S429" s="36"/>
      <c r="T429" s="36"/>
    </row>
    <row r="430" spans="1:20" ht="15.75">
      <c r="A430" s="13">
        <v>54604</v>
      </c>
      <c r="B430" s="44">
        <v>30</v>
      </c>
      <c r="C430" s="35">
        <v>194.20500000000001</v>
      </c>
      <c r="D430" s="35">
        <v>267.46600000000001</v>
      </c>
      <c r="E430" s="41">
        <v>812.32899999999995</v>
      </c>
      <c r="F430" s="35">
        <v>1274</v>
      </c>
      <c r="G430" s="35">
        <v>50</v>
      </c>
      <c r="H430" s="43">
        <v>600</v>
      </c>
      <c r="I430" s="35">
        <v>695</v>
      </c>
      <c r="J430" s="35">
        <v>50</v>
      </c>
      <c r="K430" s="36"/>
      <c r="L430" s="36"/>
      <c r="M430" s="36"/>
      <c r="N430" s="36"/>
      <c r="O430" s="36"/>
      <c r="P430" s="36"/>
      <c r="Q430" s="36"/>
      <c r="R430" s="36"/>
      <c r="S430" s="36"/>
      <c r="T430" s="36"/>
    </row>
    <row r="431" spans="1:20" ht="15.75">
      <c r="A431" s="13">
        <v>54635</v>
      </c>
      <c r="B431" s="44">
        <v>31</v>
      </c>
      <c r="C431" s="35">
        <v>194.20500000000001</v>
      </c>
      <c r="D431" s="35">
        <v>267.46600000000001</v>
      </c>
      <c r="E431" s="41">
        <v>812.32899999999995</v>
      </c>
      <c r="F431" s="35">
        <v>1274</v>
      </c>
      <c r="G431" s="35">
        <v>50</v>
      </c>
      <c r="H431" s="43">
        <v>600</v>
      </c>
      <c r="I431" s="35">
        <v>695</v>
      </c>
      <c r="J431" s="35">
        <v>0</v>
      </c>
      <c r="K431" s="36"/>
      <c r="L431" s="36"/>
      <c r="M431" s="36"/>
      <c r="N431" s="36"/>
      <c r="O431" s="36"/>
      <c r="P431" s="36"/>
      <c r="Q431" s="36"/>
      <c r="R431" s="36"/>
      <c r="S431" s="36"/>
      <c r="T431" s="36"/>
    </row>
    <row r="432" spans="1:20" ht="15.75">
      <c r="A432" s="13">
        <v>54666</v>
      </c>
      <c r="B432" s="44">
        <v>31</v>
      </c>
      <c r="C432" s="35">
        <v>194.20500000000001</v>
      </c>
      <c r="D432" s="35">
        <v>267.46600000000001</v>
      </c>
      <c r="E432" s="41">
        <v>812.32899999999995</v>
      </c>
      <c r="F432" s="35">
        <v>1274</v>
      </c>
      <c r="G432" s="35">
        <v>50</v>
      </c>
      <c r="H432" s="43">
        <v>600</v>
      </c>
      <c r="I432" s="35">
        <v>695</v>
      </c>
      <c r="J432" s="35">
        <v>0</v>
      </c>
      <c r="K432" s="36"/>
      <c r="L432" s="36"/>
      <c r="M432" s="36"/>
      <c r="N432" s="36"/>
      <c r="O432" s="36"/>
      <c r="P432" s="36"/>
      <c r="Q432" s="36"/>
      <c r="R432" s="36"/>
      <c r="S432" s="36"/>
      <c r="T432" s="36"/>
    </row>
    <row r="433" spans="1:20" ht="15.75">
      <c r="A433" s="13">
        <v>54696</v>
      </c>
      <c r="B433" s="44">
        <v>30</v>
      </c>
      <c r="C433" s="35">
        <v>194.20500000000001</v>
      </c>
      <c r="D433" s="35">
        <v>267.46600000000001</v>
      </c>
      <c r="E433" s="41">
        <v>812.32899999999995</v>
      </c>
      <c r="F433" s="35">
        <v>1274</v>
      </c>
      <c r="G433" s="35">
        <v>50</v>
      </c>
      <c r="H433" s="43">
        <v>600</v>
      </c>
      <c r="I433" s="35">
        <v>695</v>
      </c>
      <c r="J433" s="35">
        <v>0</v>
      </c>
      <c r="K433" s="36"/>
      <c r="L433" s="36"/>
      <c r="M433" s="36"/>
      <c r="N433" s="36"/>
      <c r="O433" s="36"/>
      <c r="P433" s="36"/>
      <c r="Q433" s="36"/>
      <c r="R433" s="36"/>
      <c r="S433" s="36"/>
      <c r="T433" s="36"/>
    </row>
    <row r="434" spans="1:20" ht="15.75">
      <c r="A434" s="13">
        <v>54727</v>
      </c>
      <c r="B434" s="44">
        <v>31</v>
      </c>
      <c r="C434" s="35">
        <v>131.881</v>
      </c>
      <c r="D434" s="35">
        <v>277.16699999999997</v>
      </c>
      <c r="E434" s="41">
        <v>829.952</v>
      </c>
      <c r="F434" s="35">
        <v>1239</v>
      </c>
      <c r="G434" s="35">
        <v>75</v>
      </c>
      <c r="H434" s="43">
        <v>600</v>
      </c>
      <c r="I434" s="35">
        <v>695</v>
      </c>
      <c r="J434" s="35">
        <v>0</v>
      </c>
      <c r="K434" s="36"/>
      <c r="L434" s="36"/>
      <c r="M434" s="36"/>
      <c r="N434" s="36"/>
      <c r="O434" s="36"/>
      <c r="P434" s="36"/>
      <c r="Q434" s="36"/>
      <c r="R434" s="36"/>
      <c r="S434" s="36"/>
      <c r="T434" s="36"/>
    </row>
    <row r="435" spans="1:20" ht="15.75">
      <c r="A435" s="13">
        <v>54757</v>
      </c>
      <c r="B435" s="44">
        <v>30</v>
      </c>
      <c r="C435" s="35">
        <v>122.58</v>
      </c>
      <c r="D435" s="35">
        <v>297.94099999999997</v>
      </c>
      <c r="E435" s="41">
        <v>729.47900000000004</v>
      </c>
      <c r="F435" s="35">
        <v>1150</v>
      </c>
      <c r="G435" s="35">
        <v>100</v>
      </c>
      <c r="H435" s="43">
        <v>600</v>
      </c>
      <c r="I435" s="35">
        <v>695</v>
      </c>
      <c r="J435" s="35">
        <v>50</v>
      </c>
      <c r="K435" s="36"/>
      <c r="L435" s="36"/>
      <c r="M435" s="36"/>
      <c r="N435" s="36"/>
      <c r="O435" s="36"/>
      <c r="P435" s="36"/>
      <c r="Q435" s="36"/>
      <c r="R435" s="36"/>
      <c r="S435" s="36"/>
      <c r="T435" s="36"/>
    </row>
    <row r="436" spans="1:20" ht="15.75">
      <c r="A436" s="13">
        <v>54788</v>
      </c>
      <c r="B436" s="44">
        <v>31</v>
      </c>
      <c r="C436" s="35">
        <v>122.58</v>
      </c>
      <c r="D436" s="35">
        <v>297.94099999999997</v>
      </c>
      <c r="E436" s="41">
        <v>729.47900000000004</v>
      </c>
      <c r="F436" s="35">
        <v>1150</v>
      </c>
      <c r="G436" s="35">
        <v>100</v>
      </c>
      <c r="H436" s="43">
        <v>600</v>
      </c>
      <c r="I436" s="35">
        <v>695</v>
      </c>
      <c r="J436" s="35">
        <v>50</v>
      </c>
      <c r="K436" s="36"/>
      <c r="L436" s="36"/>
      <c r="M436" s="36"/>
      <c r="N436" s="36"/>
      <c r="O436" s="36"/>
      <c r="P436" s="36"/>
      <c r="Q436" s="36"/>
      <c r="R436" s="36"/>
      <c r="S436" s="36"/>
      <c r="T436" s="36"/>
    </row>
    <row r="437" spans="1:20" ht="15.75">
      <c r="A437" s="13">
        <v>54819</v>
      </c>
      <c r="B437" s="44">
        <v>31</v>
      </c>
      <c r="C437" s="35">
        <v>122.58</v>
      </c>
      <c r="D437" s="35">
        <v>297.94099999999997</v>
      </c>
      <c r="E437" s="41">
        <v>729.47900000000004</v>
      </c>
      <c r="F437" s="35">
        <v>1150</v>
      </c>
      <c r="G437" s="35">
        <v>100</v>
      </c>
      <c r="H437" s="43">
        <v>600</v>
      </c>
      <c r="I437" s="35">
        <v>695</v>
      </c>
      <c r="J437" s="35">
        <v>50</v>
      </c>
      <c r="K437" s="36"/>
      <c r="L437" s="36"/>
      <c r="M437" s="36"/>
      <c r="N437" s="36"/>
      <c r="O437" s="36"/>
      <c r="P437" s="36"/>
      <c r="Q437" s="36"/>
      <c r="R437" s="36"/>
      <c r="S437" s="36"/>
      <c r="T437" s="36"/>
    </row>
    <row r="438" spans="1:20" ht="15.75">
      <c r="A438" s="13">
        <v>54847</v>
      </c>
      <c r="B438" s="44">
        <v>28</v>
      </c>
      <c r="C438" s="35">
        <v>122.58</v>
      </c>
      <c r="D438" s="35">
        <v>297.94099999999997</v>
      </c>
      <c r="E438" s="41">
        <v>729.47900000000004</v>
      </c>
      <c r="F438" s="35">
        <v>1150</v>
      </c>
      <c r="G438" s="35">
        <v>100</v>
      </c>
      <c r="H438" s="43">
        <v>600</v>
      </c>
      <c r="I438" s="35">
        <v>695</v>
      </c>
      <c r="J438" s="35">
        <v>50</v>
      </c>
      <c r="K438" s="36"/>
      <c r="L438" s="36"/>
      <c r="M438" s="36"/>
      <c r="N438" s="36"/>
      <c r="O438" s="36"/>
      <c r="P438" s="36"/>
      <c r="Q438" s="36"/>
      <c r="R438" s="36"/>
      <c r="S438" s="36"/>
      <c r="T438" s="36"/>
    </row>
    <row r="439" spans="1:20" ht="15.75">
      <c r="A439" s="13">
        <v>54878</v>
      </c>
      <c r="B439" s="44">
        <v>31</v>
      </c>
      <c r="C439" s="35">
        <v>122.58</v>
      </c>
      <c r="D439" s="35">
        <v>297.94099999999997</v>
      </c>
      <c r="E439" s="41">
        <v>729.47900000000004</v>
      </c>
      <c r="F439" s="35">
        <v>1150</v>
      </c>
      <c r="G439" s="35">
        <v>100</v>
      </c>
      <c r="H439" s="43">
        <v>600</v>
      </c>
      <c r="I439" s="35">
        <v>695</v>
      </c>
      <c r="J439" s="35">
        <v>50</v>
      </c>
      <c r="K439" s="36"/>
      <c r="L439" s="36"/>
      <c r="M439" s="36"/>
      <c r="N439" s="36"/>
      <c r="O439" s="36"/>
      <c r="P439" s="36"/>
      <c r="Q439" s="36"/>
      <c r="R439" s="36"/>
      <c r="S439" s="36"/>
      <c r="T439" s="36"/>
    </row>
    <row r="440" spans="1:20" ht="15.75">
      <c r="A440" s="13">
        <v>54908</v>
      </c>
      <c r="B440" s="44">
        <v>30</v>
      </c>
      <c r="C440" s="35">
        <v>141.29300000000001</v>
      </c>
      <c r="D440" s="35">
        <v>267.99299999999999</v>
      </c>
      <c r="E440" s="41">
        <v>829.71400000000006</v>
      </c>
      <c r="F440" s="35">
        <v>1239</v>
      </c>
      <c r="G440" s="35">
        <v>100</v>
      </c>
      <c r="H440" s="43">
        <v>600</v>
      </c>
      <c r="I440" s="35">
        <v>695</v>
      </c>
      <c r="J440" s="35">
        <v>50</v>
      </c>
      <c r="K440" s="36"/>
      <c r="L440" s="36"/>
      <c r="M440" s="36"/>
      <c r="N440" s="36"/>
      <c r="O440" s="36"/>
      <c r="P440" s="36"/>
      <c r="Q440" s="36"/>
      <c r="R440" s="36"/>
      <c r="S440" s="36"/>
      <c r="T440" s="36"/>
    </row>
    <row r="441" spans="1:20" ht="15.75">
      <c r="A441" s="13">
        <v>54939</v>
      </c>
      <c r="B441" s="44">
        <v>31</v>
      </c>
      <c r="C441" s="35">
        <v>194.20500000000001</v>
      </c>
      <c r="D441" s="35">
        <v>267.46600000000001</v>
      </c>
      <c r="E441" s="41">
        <v>812.32899999999995</v>
      </c>
      <c r="F441" s="35">
        <v>1274</v>
      </c>
      <c r="G441" s="35">
        <v>75</v>
      </c>
      <c r="H441" s="43">
        <v>600</v>
      </c>
      <c r="I441" s="35">
        <v>695</v>
      </c>
      <c r="J441" s="35">
        <v>50</v>
      </c>
      <c r="K441" s="36"/>
      <c r="L441" s="36"/>
      <c r="M441" s="36"/>
      <c r="N441" s="36"/>
      <c r="O441" s="36"/>
      <c r="P441" s="36"/>
      <c r="Q441" s="36"/>
      <c r="R441" s="36"/>
      <c r="S441" s="36"/>
      <c r="T441" s="36"/>
    </row>
    <row r="442" spans="1:20" ht="15.75">
      <c r="A442" s="13">
        <v>54969</v>
      </c>
      <c r="B442" s="44">
        <v>30</v>
      </c>
      <c r="C442" s="35">
        <v>194.20500000000001</v>
      </c>
      <c r="D442" s="35">
        <v>267.46600000000001</v>
      </c>
      <c r="E442" s="41">
        <v>812.32899999999995</v>
      </c>
      <c r="F442" s="35">
        <v>1274</v>
      </c>
      <c r="G442" s="35">
        <v>50</v>
      </c>
      <c r="H442" s="43">
        <v>600</v>
      </c>
      <c r="I442" s="35">
        <v>695</v>
      </c>
      <c r="J442" s="35">
        <v>50</v>
      </c>
      <c r="K442" s="36"/>
      <c r="L442" s="36"/>
      <c r="M442" s="36"/>
      <c r="N442" s="36"/>
      <c r="O442" s="36"/>
      <c r="P442" s="36"/>
      <c r="Q442" s="36"/>
      <c r="R442" s="36"/>
      <c r="S442" s="36"/>
      <c r="T442" s="36"/>
    </row>
    <row r="443" spans="1:20" ht="15.75">
      <c r="A443" s="13">
        <v>55000</v>
      </c>
      <c r="B443" s="44">
        <v>31</v>
      </c>
      <c r="C443" s="35">
        <v>194.20500000000001</v>
      </c>
      <c r="D443" s="35">
        <v>267.46600000000001</v>
      </c>
      <c r="E443" s="41">
        <v>812.32899999999995</v>
      </c>
      <c r="F443" s="35">
        <v>1274</v>
      </c>
      <c r="G443" s="35">
        <v>50</v>
      </c>
      <c r="H443" s="43">
        <v>600</v>
      </c>
      <c r="I443" s="35">
        <v>695</v>
      </c>
      <c r="J443" s="35">
        <v>0</v>
      </c>
      <c r="K443" s="36"/>
      <c r="L443" s="36"/>
      <c r="M443" s="36"/>
      <c r="N443" s="36"/>
      <c r="O443" s="36"/>
      <c r="P443" s="36"/>
      <c r="Q443" s="36"/>
      <c r="R443" s="36"/>
      <c r="S443" s="36"/>
      <c r="T443" s="36"/>
    </row>
    <row r="444" spans="1:20" ht="15.75">
      <c r="A444" s="13">
        <v>55031</v>
      </c>
      <c r="B444" s="44">
        <v>31</v>
      </c>
      <c r="C444" s="35">
        <v>194.20500000000001</v>
      </c>
      <c r="D444" s="35">
        <v>267.46600000000001</v>
      </c>
      <c r="E444" s="41">
        <v>812.32899999999995</v>
      </c>
      <c r="F444" s="35">
        <v>1274</v>
      </c>
      <c r="G444" s="35">
        <v>50</v>
      </c>
      <c r="H444" s="43">
        <v>600</v>
      </c>
      <c r="I444" s="35">
        <v>695</v>
      </c>
      <c r="J444" s="35">
        <v>0</v>
      </c>
      <c r="K444" s="36"/>
      <c r="L444" s="36"/>
      <c r="M444" s="36"/>
      <c r="N444" s="36"/>
      <c r="O444" s="36"/>
      <c r="P444" s="36"/>
      <c r="Q444" s="36"/>
      <c r="R444" s="36"/>
      <c r="S444" s="36"/>
      <c r="T444" s="36"/>
    </row>
    <row r="445" spans="1:20" ht="15.75">
      <c r="A445" s="13">
        <v>55061</v>
      </c>
      <c r="B445" s="44">
        <v>30</v>
      </c>
      <c r="C445" s="35">
        <v>194.20500000000001</v>
      </c>
      <c r="D445" s="35">
        <v>267.46600000000001</v>
      </c>
      <c r="E445" s="41">
        <v>812.32899999999995</v>
      </c>
      <c r="F445" s="35">
        <v>1274</v>
      </c>
      <c r="G445" s="35">
        <v>50</v>
      </c>
      <c r="H445" s="43">
        <v>600</v>
      </c>
      <c r="I445" s="35">
        <v>695</v>
      </c>
      <c r="J445" s="35">
        <v>0</v>
      </c>
      <c r="K445" s="36"/>
      <c r="L445" s="36"/>
      <c r="M445" s="36"/>
      <c r="N445" s="36"/>
      <c r="O445" s="36"/>
      <c r="P445" s="36"/>
      <c r="Q445" s="36"/>
      <c r="R445" s="36"/>
      <c r="S445" s="36"/>
      <c r="T445" s="36"/>
    </row>
    <row r="446" spans="1:20" ht="15.75">
      <c r="A446" s="13">
        <v>55092</v>
      </c>
      <c r="B446" s="44">
        <v>31</v>
      </c>
      <c r="C446" s="35">
        <v>131.881</v>
      </c>
      <c r="D446" s="35">
        <v>277.16699999999997</v>
      </c>
      <c r="E446" s="41">
        <v>829.952</v>
      </c>
      <c r="F446" s="35">
        <v>1239</v>
      </c>
      <c r="G446" s="35">
        <v>75</v>
      </c>
      <c r="H446" s="43">
        <v>600</v>
      </c>
      <c r="I446" s="35">
        <v>695</v>
      </c>
      <c r="J446" s="35">
        <v>0</v>
      </c>
      <c r="K446" s="36"/>
      <c r="L446" s="36"/>
      <c r="M446" s="36"/>
      <c r="N446" s="36"/>
      <c r="O446" s="36"/>
      <c r="P446" s="36"/>
      <c r="Q446" s="36"/>
      <c r="R446" s="36"/>
      <c r="S446" s="36"/>
      <c r="T446" s="36"/>
    </row>
    <row r="447" spans="1:20" ht="15.75">
      <c r="A447" s="13">
        <v>55122</v>
      </c>
      <c r="B447" s="44">
        <v>30</v>
      </c>
      <c r="C447" s="35">
        <v>122.58</v>
      </c>
      <c r="D447" s="35">
        <v>297.94099999999997</v>
      </c>
      <c r="E447" s="41">
        <v>729.47900000000004</v>
      </c>
      <c r="F447" s="35">
        <v>1150</v>
      </c>
      <c r="G447" s="35">
        <v>100</v>
      </c>
      <c r="H447" s="43">
        <v>600</v>
      </c>
      <c r="I447" s="35">
        <v>695</v>
      </c>
      <c r="J447" s="35">
        <v>50</v>
      </c>
      <c r="K447" s="36"/>
      <c r="L447" s="36"/>
      <c r="M447" s="36"/>
      <c r="N447" s="36"/>
      <c r="O447" s="36"/>
      <c r="P447" s="36"/>
      <c r="Q447" s="36"/>
      <c r="R447" s="36"/>
      <c r="S447" s="36"/>
      <c r="T447" s="36"/>
    </row>
    <row r="448" spans="1:20" ht="15.75">
      <c r="A448" s="13">
        <v>55153</v>
      </c>
      <c r="B448" s="44">
        <v>31</v>
      </c>
      <c r="C448" s="35">
        <v>122.58</v>
      </c>
      <c r="D448" s="35">
        <v>297.94099999999997</v>
      </c>
      <c r="E448" s="41">
        <v>729.47900000000004</v>
      </c>
      <c r="F448" s="35">
        <v>1150</v>
      </c>
      <c r="G448" s="35">
        <v>100</v>
      </c>
      <c r="H448" s="43">
        <v>600</v>
      </c>
      <c r="I448" s="35">
        <v>695</v>
      </c>
      <c r="J448" s="35">
        <v>50</v>
      </c>
      <c r="K448" s="36"/>
      <c r="L448" s="36"/>
      <c r="M448" s="36"/>
      <c r="N448" s="36"/>
      <c r="O448" s="36"/>
      <c r="P448" s="36"/>
      <c r="Q448" s="36"/>
      <c r="R448" s="36"/>
      <c r="S448" s="36"/>
      <c r="T448" s="36"/>
    </row>
    <row r="449" spans="1:20" ht="15.75">
      <c r="A449" s="13">
        <v>55184</v>
      </c>
      <c r="B449" s="44">
        <v>31</v>
      </c>
      <c r="C449" s="35">
        <v>122.58</v>
      </c>
      <c r="D449" s="35">
        <v>297.94099999999997</v>
      </c>
      <c r="E449" s="41">
        <v>729.47900000000004</v>
      </c>
      <c r="F449" s="35">
        <v>1150</v>
      </c>
      <c r="G449" s="35">
        <v>100</v>
      </c>
      <c r="H449" s="43">
        <v>600</v>
      </c>
      <c r="I449" s="35">
        <v>695</v>
      </c>
      <c r="J449" s="35">
        <v>50</v>
      </c>
      <c r="K449" s="36"/>
      <c r="L449" s="36"/>
      <c r="M449" s="36"/>
      <c r="N449" s="36"/>
      <c r="O449" s="36"/>
      <c r="P449" s="36"/>
      <c r="Q449" s="36"/>
      <c r="R449" s="36"/>
      <c r="S449" s="36"/>
      <c r="T449" s="36"/>
    </row>
    <row r="450" spans="1:20" ht="15.75">
      <c r="A450" s="13">
        <v>55212</v>
      </c>
      <c r="B450" s="44">
        <v>28</v>
      </c>
      <c r="C450" s="35">
        <v>122.58</v>
      </c>
      <c r="D450" s="35">
        <v>297.94099999999997</v>
      </c>
      <c r="E450" s="41">
        <v>729.47900000000004</v>
      </c>
      <c r="F450" s="35">
        <v>1150</v>
      </c>
      <c r="G450" s="35">
        <v>100</v>
      </c>
      <c r="H450" s="43">
        <v>600</v>
      </c>
      <c r="I450" s="35">
        <v>695</v>
      </c>
      <c r="J450" s="35">
        <v>50</v>
      </c>
      <c r="K450" s="36"/>
      <c r="L450" s="36"/>
      <c r="M450" s="36"/>
      <c r="N450" s="36"/>
      <c r="O450" s="36"/>
      <c r="P450" s="36"/>
      <c r="Q450" s="36"/>
      <c r="R450" s="36"/>
      <c r="S450" s="36"/>
      <c r="T450" s="36"/>
    </row>
    <row r="451" spans="1:20" ht="15.75">
      <c r="A451" s="13">
        <v>55243</v>
      </c>
      <c r="B451" s="44">
        <v>31</v>
      </c>
      <c r="C451" s="35">
        <v>122.58</v>
      </c>
      <c r="D451" s="35">
        <v>297.94099999999997</v>
      </c>
      <c r="E451" s="41">
        <v>729.47900000000004</v>
      </c>
      <c r="F451" s="35">
        <v>1150</v>
      </c>
      <c r="G451" s="35">
        <v>100</v>
      </c>
      <c r="H451" s="43">
        <v>600</v>
      </c>
      <c r="I451" s="35">
        <v>695</v>
      </c>
      <c r="J451" s="35">
        <v>50</v>
      </c>
      <c r="K451" s="36"/>
      <c r="L451" s="36"/>
      <c r="M451" s="36"/>
      <c r="N451" s="36"/>
      <c r="O451" s="36"/>
      <c r="P451" s="36"/>
      <c r="Q451" s="36"/>
      <c r="R451" s="36"/>
      <c r="S451" s="36"/>
      <c r="T451" s="36"/>
    </row>
    <row r="452" spans="1:20" ht="15.75">
      <c r="A452" s="13">
        <v>55273</v>
      </c>
      <c r="B452" s="44">
        <v>30</v>
      </c>
      <c r="C452" s="35">
        <v>141.29300000000001</v>
      </c>
      <c r="D452" s="35">
        <v>267.99299999999999</v>
      </c>
      <c r="E452" s="41">
        <v>829.71400000000006</v>
      </c>
      <c r="F452" s="35">
        <v>1239</v>
      </c>
      <c r="G452" s="35">
        <v>100</v>
      </c>
      <c r="H452" s="43">
        <v>600</v>
      </c>
      <c r="I452" s="35">
        <v>695</v>
      </c>
      <c r="J452" s="35">
        <v>50</v>
      </c>
      <c r="K452" s="36"/>
      <c r="L452" s="36"/>
      <c r="M452" s="36"/>
      <c r="N452" s="36"/>
      <c r="O452" s="36"/>
      <c r="P452" s="36"/>
      <c r="Q452" s="36"/>
      <c r="R452" s="36"/>
      <c r="S452" s="36"/>
      <c r="T452" s="36"/>
    </row>
    <row r="453" spans="1:20" ht="15.75">
      <c r="A453" s="13">
        <v>55304</v>
      </c>
      <c r="B453" s="44">
        <v>31</v>
      </c>
      <c r="C453" s="35">
        <v>194.20500000000001</v>
      </c>
      <c r="D453" s="35">
        <v>267.46600000000001</v>
      </c>
      <c r="E453" s="41">
        <v>812.32899999999995</v>
      </c>
      <c r="F453" s="35">
        <v>1274</v>
      </c>
      <c r="G453" s="35">
        <v>75</v>
      </c>
      <c r="H453" s="43">
        <v>600</v>
      </c>
      <c r="I453" s="35">
        <v>695</v>
      </c>
      <c r="J453" s="35">
        <v>50</v>
      </c>
      <c r="K453" s="36"/>
      <c r="L453" s="36"/>
      <c r="M453" s="36"/>
      <c r="N453" s="36"/>
      <c r="O453" s="36"/>
      <c r="P453" s="36"/>
      <c r="Q453" s="36"/>
      <c r="R453" s="36"/>
      <c r="S453" s="36"/>
      <c r="T453" s="36"/>
    </row>
    <row r="454" spans="1:20" ht="15.75">
      <c r="A454" s="13">
        <v>55334</v>
      </c>
      <c r="B454" s="44">
        <v>30</v>
      </c>
      <c r="C454" s="35">
        <v>194.20500000000001</v>
      </c>
      <c r="D454" s="35">
        <v>267.46600000000001</v>
      </c>
      <c r="E454" s="41">
        <v>812.32899999999995</v>
      </c>
      <c r="F454" s="35">
        <v>1274</v>
      </c>
      <c r="G454" s="35">
        <v>50</v>
      </c>
      <c r="H454" s="43">
        <v>600</v>
      </c>
      <c r="I454" s="35">
        <v>695</v>
      </c>
      <c r="J454" s="35">
        <v>50</v>
      </c>
      <c r="K454" s="36"/>
      <c r="L454" s="36"/>
      <c r="M454" s="36"/>
      <c r="N454" s="36"/>
      <c r="O454" s="36"/>
      <c r="P454" s="36"/>
      <c r="Q454" s="36"/>
      <c r="R454" s="36"/>
      <c r="S454" s="36"/>
      <c r="T454" s="36"/>
    </row>
    <row r="455" spans="1:20" ht="15.75">
      <c r="A455" s="13">
        <v>55365</v>
      </c>
      <c r="B455" s="44">
        <v>31</v>
      </c>
      <c r="C455" s="35">
        <v>194.20500000000001</v>
      </c>
      <c r="D455" s="35">
        <v>267.46600000000001</v>
      </c>
      <c r="E455" s="41">
        <v>812.32899999999995</v>
      </c>
      <c r="F455" s="35">
        <v>1274</v>
      </c>
      <c r="G455" s="35">
        <v>50</v>
      </c>
      <c r="H455" s="43">
        <v>600</v>
      </c>
      <c r="I455" s="35">
        <v>695</v>
      </c>
      <c r="J455" s="35">
        <v>0</v>
      </c>
      <c r="K455" s="36"/>
      <c r="L455" s="36"/>
      <c r="M455" s="36"/>
      <c r="N455" s="36"/>
      <c r="O455" s="36"/>
      <c r="P455" s="36"/>
      <c r="Q455" s="36"/>
      <c r="R455" s="36"/>
      <c r="S455" s="36"/>
      <c r="T455" s="36"/>
    </row>
    <row r="456" spans="1:20" ht="15.75">
      <c r="A456" s="13">
        <v>55396</v>
      </c>
      <c r="B456" s="44">
        <v>31</v>
      </c>
      <c r="C456" s="35">
        <v>194.20500000000001</v>
      </c>
      <c r="D456" s="35">
        <v>267.46600000000001</v>
      </c>
      <c r="E456" s="41">
        <v>812.32899999999995</v>
      </c>
      <c r="F456" s="35">
        <v>1274</v>
      </c>
      <c r="G456" s="35">
        <v>50</v>
      </c>
      <c r="H456" s="43">
        <v>600</v>
      </c>
      <c r="I456" s="35">
        <v>695</v>
      </c>
      <c r="J456" s="35">
        <v>0</v>
      </c>
      <c r="K456" s="36"/>
      <c r="L456" s="36"/>
      <c r="M456" s="36"/>
      <c r="N456" s="36"/>
      <c r="O456" s="36"/>
      <c r="P456" s="36"/>
      <c r="Q456" s="36"/>
      <c r="R456" s="36"/>
      <c r="S456" s="36"/>
      <c r="T456" s="36"/>
    </row>
    <row r="457" spans="1:20" ht="15.75">
      <c r="A457" s="13">
        <v>55426</v>
      </c>
      <c r="B457" s="44">
        <v>30</v>
      </c>
      <c r="C457" s="35">
        <v>194.20500000000001</v>
      </c>
      <c r="D457" s="35">
        <v>267.46600000000001</v>
      </c>
      <c r="E457" s="41">
        <v>812.32899999999995</v>
      </c>
      <c r="F457" s="35">
        <v>1274</v>
      </c>
      <c r="G457" s="35">
        <v>50</v>
      </c>
      <c r="H457" s="43">
        <v>600</v>
      </c>
      <c r="I457" s="35">
        <v>695</v>
      </c>
      <c r="J457" s="35">
        <v>0</v>
      </c>
      <c r="K457" s="36"/>
      <c r="L457" s="36"/>
      <c r="M457" s="36"/>
      <c r="N457" s="36"/>
      <c r="O457" s="36"/>
      <c r="P457" s="36"/>
      <c r="Q457" s="36"/>
      <c r="R457" s="36"/>
      <c r="S457" s="36"/>
      <c r="T457" s="36"/>
    </row>
    <row r="458" spans="1:20" ht="15.75">
      <c r="A458" s="13">
        <v>55457</v>
      </c>
      <c r="B458" s="44">
        <v>31</v>
      </c>
      <c r="C458" s="35">
        <v>131.881</v>
      </c>
      <c r="D458" s="35">
        <v>277.16699999999997</v>
      </c>
      <c r="E458" s="41">
        <v>829.952</v>
      </c>
      <c r="F458" s="35">
        <v>1239</v>
      </c>
      <c r="G458" s="35">
        <v>75</v>
      </c>
      <c r="H458" s="43">
        <v>600</v>
      </c>
      <c r="I458" s="35">
        <v>695</v>
      </c>
      <c r="J458" s="35">
        <v>0</v>
      </c>
      <c r="K458" s="36"/>
      <c r="L458" s="36"/>
      <c r="M458" s="36"/>
      <c r="N458" s="36"/>
      <c r="O458" s="36"/>
      <c r="P458" s="36"/>
      <c r="Q458" s="36"/>
      <c r="R458" s="36"/>
      <c r="S458" s="36"/>
      <c r="T458" s="36"/>
    </row>
    <row r="459" spans="1:20" ht="15.75">
      <c r="A459" s="13">
        <v>55487</v>
      </c>
      <c r="B459" s="44">
        <v>30</v>
      </c>
      <c r="C459" s="35">
        <v>122.58</v>
      </c>
      <c r="D459" s="35">
        <v>297.94099999999997</v>
      </c>
      <c r="E459" s="41">
        <v>729.47900000000004</v>
      </c>
      <c r="F459" s="35">
        <v>1150</v>
      </c>
      <c r="G459" s="35">
        <v>100</v>
      </c>
      <c r="H459" s="43">
        <v>600</v>
      </c>
      <c r="I459" s="35">
        <v>695</v>
      </c>
      <c r="J459" s="35">
        <v>50</v>
      </c>
      <c r="K459" s="36"/>
      <c r="L459" s="36"/>
      <c r="M459" s="36"/>
      <c r="N459" s="36"/>
      <c r="O459" s="36"/>
      <c r="P459" s="36"/>
      <c r="Q459" s="36"/>
      <c r="R459" s="36"/>
      <c r="S459" s="36"/>
      <c r="T459" s="36"/>
    </row>
    <row r="460" spans="1:20" ht="15.75">
      <c r="A460" s="13">
        <v>55518</v>
      </c>
      <c r="B460" s="44">
        <v>31</v>
      </c>
      <c r="C460" s="35">
        <v>122.58</v>
      </c>
      <c r="D460" s="35">
        <v>297.94099999999997</v>
      </c>
      <c r="E460" s="41">
        <v>729.47900000000004</v>
      </c>
      <c r="F460" s="35">
        <v>1150</v>
      </c>
      <c r="G460" s="35">
        <v>100</v>
      </c>
      <c r="H460" s="43">
        <v>600</v>
      </c>
      <c r="I460" s="35">
        <v>695</v>
      </c>
      <c r="J460" s="35">
        <v>50</v>
      </c>
      <c r="K460" s="36"/>
      <c r="L460" s="36"/>
      <c r="M460" s="36"/>
      <c r="N460" s="36"/>
      <c r="O460" s="36"/>
      <c r="P460" s="36"/>
      <c r="Q460" s="36"/>
      <c r="R460" s="36"/>
      <c r="S460" s="36"/>
      <c r="T460" s="36"/>
    </row>
    <row r="461" spans="1:20" ht="15.75">
      <c r="A461" s="13">
        <v>55549</v>
      </c>
      <c r="B461" s="44">
        <v>31</v>
      </c>
      <c r="C461" s="35">
        <v>122.58</v>
      </c>
      <c r="D461" s="35">
        <v>297.94099999999997</v>
      </c>
      <c r="E461" s="41">
        <v>729.47900000000004</v>
      </c>
      <c r="F461" s="35">
        <v>1150</v>
      </c>
      <c r="G461" s="35">
        <v>100</v>
      </c>
      <c r="H461" s="43">
        <v>600</v>
      </c>
      <c r="I461" s="35">
        <v>695</v>
      </c>
      <c r="J461" s="35">
        <v>50</v>
      </c>
      <c r="K461" s="36"/>
      <c r="L461" s="36"/>
      <c r="M461" s="36"/>
      <c r="N461" s="36"/>
      <c r="O461" s="36"/>
      <c r="P461" s="36"/>
      <c r="Q461" s="36"/>
      <c r="R461" s="36"/>
      <c r="S461" s="36"/>
      <c r="T461" s="36"/>
    </row>
    <row r="462" spans="1:20" ht="15.75">
      <c r="A462" s="13">
        <v>55577</v>
      </c>
      <c r="B462" s="44">
        <v>29</v>
      </c>
      <c r="C462" s="35">
        <v>122.58</v>
      </c>
      <c r="D462" s="35">
        <v>297.94099999999997</v>
      </c>
      <c r="E462" s="41">
        <v>729.47900000000004</v>
      </c>
      <c r="F462" s="35">
        <v>1150</v>
      </c>
      <c r="G462" s="35">
        <v>100</v>
      </c>
      <c r="H462" s="43">
        <v>600</v>
      </c>
      <c r="I462" s="35">
        <v>695</v>
      </c>
      <c r="J462" s="35">
        <v>50</v>
      </c>
      <c r="K462" s="36"/>
      <c r="L462" s="36"/>
      <c r="M462" s="36"/>
      <c r="N462" s="36"/>
      <c r="O462" s="36"/>
      <c r="P462" s="36"/>
      <c r="Q462" s="36"/>
      <c r="R462" s="36"/>
      <c r="S462" s="36"/>
      <c r="T462" s="36"/>
    </row>
    <row r="463" spans="1:20" ht="15.75">
      <c r="A463" s="13">
        <v>55609</v>
      </c>
      <c r="B463" s="44">
        <v>31</v>
      </c>
      <c r="C463" s="35">
        <v>122.58</v>
      </c>
      <c r="D463" s="35">
        <v>297.94099999999997</v>
      </c>
      <c r="E463" s="41">
        <v>729.47900000000004</v>
      </c>
      <c r="F463" s="35">
        <v>1150</v>
      </c>
      <c r="G463" s="35">
        <v>100</v>
      </c>
      <c r="H463" s="43">
        <v>600</v>
      </c>
      <c r="I463" s="35">
        <v>695</v>
      </c>
      <c r="J463" s="35">
        <v>50</v>
      </c>
      <c r="K463" s="36"/>
      <c r="L463" s="36"/>
      <c r="M463" s="36"/>
      <c r="N463" s="36"/>
      <c r="O463" s="36"/>
      <c r="P463" s="36"/>
      <c r="Q463" s="36"/>
      <c r="R463" s="36"/>
      <c r="S463" s="36"/>
      <c r="T463" s="36"/>
    </row>
    <row r="464" spans="1:20" ht="15.75">
      <c r="A464" s="13">
        <v>55639</v>
      </c>
      <c r="B464" s="44">
        <v>30</v>
      </c>
      <c r="C464" s="35">
        <v>141.29300000000001</v>
      </c>
      <c r="D464" s="35">
        <v>267.99299999999999</v>
      </c>
      <c r="E464" s="41">
        <v>829.71400000000006</v>
      </c>
      <c r="F464" s="35">
        <v>1239</v>
      </c>
      <c r="G464" s="35">
        <v>100</v>
      </c>
      <c r="H464" s="43">
        <v>600</v>
      </c>
      <c r="I464" s="35">
        <v>695</v>
      </c>
      <c r="J464" s="35">
        <v>50</v>
      </c>
      <c r="K464" s="36"/>
      <c r="L464" s="36"/>
      <c r="M464" s="36"/>
      <c r="N464" s="36"/>
      <c r="O464" s="36"/>
      <c r="P464" s="36"/>
      <c r="Q464" s="36"/>
      <c r="R464" s="36"/>
      <c r="S464" s="36"/>
      <c r="T464" s="36"/>
    </row>
    <row r="465" spans="1:20" ht="15.75">
      <c r="A465" s="13">
        <v>55670</v>
      </c>
      <c r="B465" s="44">
        <v>31</v>
      </c>
      <c r="C465" s="35">
        <v>194.20500000000001</v>
      </c>
      <c r="D465" s="35">
        <v>267.46600000000001</v>
      </c>
      <c r="E465" s="41">
        <v>812.32899999999995</v>
      </c>
      <c r="F465" s="35">
        <v>1274</v>
      </c>
      <c r="G465" s="35">
        <v>75</v>
      </c>
      <c r="H465" s="43">
        <v>600</v>
      </c>
      <c r="I465" s="35">
        <v>695</v>
      </c>
      <c r="J465" s="35">
        <v>50</v>
      </c>
      <c r="K465" s="36"/>
      <c r="L465" s="36"/>
      <c r="M465" s="36"/>
      <c r="N465" s="36"/>
      <c r="O465" s="36"/>
      <c r="P465" s="36"/>
      <c r="Q465" s="36"/>
      <c r="R465" s="36"/>
      <c r="S465" s="36"/>
      <c r="T465" s="36"/>
    </row>
    <row r="466" spans="1:20" ht="15.75">
      <c r="A466" s="13">
        <v>55700</v>
      </c>
      <c r="B466" s="44">
        <v>30</v>
      </c>
      <c r="C466" s="35">
        <v>194.20500000000001</v>
      </c>
      <c r="D466" s="35">
        <v>267.46600000000001</v>
      </c>
      <c r="E466" s="41">
        <v>812.32899999999995</v>
      </c>
      <c r="F466" s="35">
        <v>1274</v>
      </c>
      <c r="G466" s="35">
        <v>50</v>
      </c>
      <c r="H466" s="43">
        <v>600</v>
      </c>
      <c r="I466" s="35">
        <v>695</v>
      </c>
      <c r="J466" s="35">
        <v>50</v>
      </c>
      <c r="K466" s="36"/>
      <c r="L466" s="36"/>
      <c r="M466" s="36"/>
      <c r="N466" s="36"/>
      <c r="O466" s="36"/>
      <c r="P466" s="36"/>
      <c r="Q466" s="36"/>
      <c r="R466" s="36"/>
      <c r="S466" s="36"/>
      <c r="T466" s="36"/>
    </row>
    <row r="467" spans="1:20" ht="15.75">
      <c r="A467" s="13">
        <v>55731</v>
      </c>
      <c r="B467" s="44">
        <v>31</v>
      </c>
      <c r="C467" s="35">
        <v>194.20500000000001</v>
      </c>
      <c r="D467" s="35">
        <v>267.46600000000001</v>
      </c>
      <c r="E467" s="41">
        <v>812.32899999999995</v>
      </c>
      <c r="F467" s="35">
        <v>1274</v>
      </c>
      <c r="G467" s="35">
        <v>50</v>
      </c>
      <c r="H467" s="43">
        <v>600</v>
      </c>
      <c r="I467" s="35">
        <v>695</v>
      </c>
      <c r="J467" s="35">
        <v>0</v>
      </c>
      <c r="K467" s="36"/>
      <c r="L467" s="36"/>
      <c r="M467" s="36"/>
      <c r="N467" s="36"/>
      <c r="O467" s="36"/>
      <c r="P467" s="36"/>
      <c r="Q467" s="36"/>
      <c r="R467" s="36"/>
      <c r="S467" s="36"/>
      <c r="T467" s="36"/>
    </row>
    <row r="468" spans="1:20" ht="15.75">
      <c r="A468" s="13">
        <v>55762</v>
      </c>
      <c r="B468" s="44">
        <v>31</v>
      </c>
      <c r="C468" s="35">
        <v>194.20500000000001</v>
      </c>
      <c r="D468" s="35">
        <v>267.46600000000001</v>
      </c>
      <c r="E468" s="41">
        <v>812.32899999999995</v>
      </c>
      <c r="F468" s="35">
        <v>1274</v>
      </c>
      <c r="G468" s="35">
        <v>50</v>
      </c>
      <c r="H468" s="43">
        <v>600</v>
      </c>
      <c r="I468" s="35">
        <v>695</v>
      </c>
      <c r="J468" s="35">
        <v>0</v>
      </c>
      <c r="K468" s="36"/>
      <c r="L468" s="36"/>
      <c r="M468" s="36"/>
      <c r="N468" s="36"/>
      <c r="O468" s="36"/>
      <c r="P468" s="36"/>
      <c r="Q468" s="36"/>
      <c r="R468" s="36"/>
      <c r="S468" s="36"/>
      <c r="T468" s="36"/>
    </row>
    <row r="469" spans="1:20" ht="15.75">
      <c r="A469" s="13">
        <v>55792</v>
      </c>
      <c r="B469" s="44">
        <v>30</v>
      </c>
      <c r="C469" s="35">
        <v>194.20500000000001</v>
      </c>
      <c r="D469" s="35">
        <v>267.46600000000001</v>
      </c>
      <c r="E469" s="41">
        <v>812.32899999999995</v>
      </c>
      <c r="F469" s="35">
        <v>1274</v>
      </c>
      <c r="G469" s="35">
        <v>50</v>
      </c>
      <c r="H469" s="43">
        <v>600</v>
      </c>
      <c r="I469" s="35">
        <v>695</v>
      </c>
      <c r="J469" s="35">
        <v>0</v>
      </c>
      <c r="K469" s="36"/>
      <c r="L469" s="36"/>
      <c r="M469" s="36"/>
      <c r="N469" s="36"/>
      <c r="O469" s="36"/>
      <c r="P469" s="36"/>
      <c r="Q469" s="36"/>
      <c r="R469" s="36"/>
      <c r="S469" s="36"/>
      <c r="T469" s="36"/>
    </row>
    <row r="470" spans="1:20" ht="15.75">
      <c r="A470" s="13">
        <v>55823</v>
      </c>
      <c r="B470" s="44">
        <v>31</v>
      </c>
      <c r="C470" s="35">
        <v>131.881</v>
      </c>
      <c r="D470" s="35">
        <v>277.16699999999997</v>
      </c>
      <c r="E470" s="41">
        <v>829.952</v>
      </c>
      <c r="F470" s="35">
        <v>1239</v>
      </c>
      <c r="G470" s="35">
        <v>75</v>
      </c>
      <c r="H470" s="43">
        <v>600</v>
      </c>
      <c r="I470" s="35">
        <v>695</v>
      </c>
      <c r="J470" s="35">
        <v>0</v>
      </c>
      <c r="K470" s="36"/>
      <c r="L470" s="36"/>
      <c r="M470" s="36"/>
      <c r="N470" s="36"/>
      <c r="O470" s="36"/>
      <c r="P470" s="36"/>
      <c r="Q470" s="36"/>
      <c r="R470" s="36"/>
      <c r="S470" s="36"/>
      <c r="T470" s="36"/>
    </row>
    <row r="471" spans="1:20" ht="15.75">
      <c r="A471" s="13">
        <v>55853</v>
      </c>
      <c r="B471" s="44">
        <v>30</v>
      </c>
      <c r="C471" s="35">
        <v>122.58</v>
      </c>
      <c r="D471" s="35">
        <v>297.94099999999997</v>
      </c>
      <c r="E471" s="41">
        <v>729.47900000000004</v>
      </c>
      <c r="F471" s="35">
        <v>1150</v>
      </c>
      <c r="G471" s="35">
        <v>100</v>
      </c>
      <c r="H471" s="43">
        <v>600</v>
      </c>
      <c r="I471" s="35">
        <v>695</v>
      </c>
      <c r="J471" s="35">
        <v>50</v>
      </c>
      <c r="K471" s="36"/>
      <c r="L471" s="36"/>
      <c r="M471" s="36"/>
      <c r="N471" s="36"/>
      <c r="O471" s="36"/>
      <c r="P471" s="36"/>
      <c r="Q471" s="36"/>
      <c r="R471" s="36"/>
      <c r="S471" s="36"/>
      <c r="T471" s="36"/>
    </row>
    <row r="472" spans="1:20" ht="15.75">
      <c r="A472" s="13">
        <v>55884</v>
      </c>
      <c r="B472" s="44">
        <v>31</v>
      </c>
      <c r="C472" s="35">
        <v>122.58</v>
      </c>
      <c r="D472" s="35">
        <v>297.94099999999997</v>
      </c>
      <c r="E472" s="41">
        <v>729.47900000000004</v>
      </c>
      <c r="F472" s="35">
        <v>1150</v>
      </c>
      <c r="G472" s="35">
        <v>100</v>
      </c>
      <c r="H472" s="43">
        <v>600</v>
      </c>
      <c r="I472" s="35">
        <v>695</v>
      </c>
      <c r="J472" s="35">
        <v>50</v>
      </c>
      <c r="K472" s="36"/>
      <c r="L472" s="36"/>
      <c r="M472" s="36"/>
      <c r="N472" s="36"/>
      <c r="O472" s="36"/>
      <c r="P472" s="36"/>
      <c r="Q472" s="36"/>
      <c r="R472" s="36"/>
      <c r="S472" s="36"/>
      <c r="T472" s="36"/>
    </row>
    <row r="473" spans="1:20" ht="15.75">
      <c r="A473" s="13">
        <v>55915</v>
      </c>
      <c r="B473" s="44">
        <v>31</v>
      </c>
      <c r="C473" s="35">
        <v>122.58</v>
      </c>
      <c r="D473" s="35">
        <v>297.94099999999997</v>
      </c>
      <c r="E473" s="41">
        <v>729.47900000000004</v>
      </c>
      <c r="F473" s="35">
        <v>1150</v>
      </c>
      <c r="G473" s="35">
        <v>100</v>
      </c>
      <c r="H473" s="43">
        <v>600</v>
      </c>
      <c r="I473" s="35">
        <v>695</v>
      </c>
      <c r="J473" s="35">
        <v>50</v>
      </c>
      <c r="K473" s="36"/>
      <c r="L473" s="36"/>
      <c r="M473" s="36"/>
      <c r="N473" s="36"/>
      <c r="O473" s="36"/>
      <c r="P473" s="36"/>
      <c r="Q473" s="36"/>
      <c r="R473" s="36"/>
      <c r="S473" s="36"/>
      <c r="T473" s="36"/>
    </row>
    <row r="474" spans="1:20" ht="15.75">
      <c r="A474" s="13">
        <v>55943</v>
      </c>
      <c r="B474" s="44">
        <v>28</v>
      </c>
      <c r="C474" s="35">
        <v>122.58</v>
      </c>
      <c r="D474" s="35">
        <v>297.94099999999997</v>
      </c>
      <c r="E474" s="41">
        <v>729.47900000000004</v>
      </c>
      <c r="F474" s="35">
        <v>1150</v>
      </c>
      <c r="G474" s="35">
        <v>100</v>
      </c>
      <c r="H474" s="43">
        <v>600</v>
      </c>
      <c r="I474" s="35">
        <v>695</v>
      </c>
      <c r="J474" s="35">
        <v>50</v>
      </c>
      <c r="K474" s="36"/>
      <c r="L474" s="36"/>
      <c r="M474" s="36"/>
      <c r="N474" s="36"/>
      <c r="O474" s="36"/>
      <c r="P474" s="36"/>
      <c r="Q474" s="36"/>
      <c r="R474" s="36"/>
      <c r="S474" s="36"/>
      <c r="T474" s="36"/>
    </row>
    <row r="475" spans="1:20" ht="15.75">
      <c r="A475" s="13">
        <v>55974</v>
      </c>
      <c r="B475" s="44">
        <v>31</v>
      </c>
      <c r="C475" s="35">
        <v>122.58</v>
      </c>
      <c r="D475" s="35">
        <v>297.94099999999997</v>
      </c>
      <c r="E475" s="41">
        <v>729.47900000000004</v>
      </c>
      <c r="F475" s="35">
        <v>1150</v>
      </c>
      <c r="G475" s="35">
        <v>100</v>
      </c>
      <c r="H475" s="43">
        <v>600</v>
      </c>
      <c r="I475" s="35">
        <v>695</v>
      </c>
      <c r="J475" s="35">
        <v>50</v>
      </c>
      <c r="K475" s="36"/>
      <c r="L475" s="36"/>
      <c r="M475" s="36"/>
      <c r="N475" s="36"/>
      <c r="O475" s="36"/>
      <c r="P475" s="36"/>
      <c r="Q475" s="36"/>
      <c r="R475" s="36"/>
      <c r="S475" s="36"/>
      <c r="T475" s="36"/>
    </row>
    <row r="476" spans="1:20" ht="15.75">
      <c r="A476" s="13">
        <v>56004</v>
      </c>
      <c r="B476" s="44">
        <v>30</v>
      </c>
      <c r="C476" s="35">
        <v>141.29300000000001</v>
      </c>
      <c r="D476" s="35">
        <v>267.99299999999999</v>
      </c>
      <c r="E476" s="41">
        <v>829.71400000000006</v>
      </c>
      <c r="F476" s="35">
        <v>1239</v>
      </c>
      <c r="G476" s="35">
        <v>100</v>
      </c>
      <c r="H476" s="43">
        <v>600</v>
      </c>
      <c r="I476" s="35">
        <v>695</v>
      </c>
      <c r="J476" s="35">
        <v>50</v>
      </c>
      <c r="K476" s="36"/>
      <c r="L476" s="36"/>
      <c r="M476" s="36"/>
      <c r="N476" s="36"/>
      <c r="O476" s="36"/>
      <c r="P476" s="36"/>
      <c r="Q476" s="36"/>
      <c r="R476" s="36"/>
      <c r="S476" s="36"/>
      <c r="T476" s="36"/>
    </row>
    <row r="477" spans="1:20" ht="15.75">
      <c r="A477" s="13">
        <v>56035</v>
      </c>
      <c r="B477" s="44">
        <v>31</v>
      </c>
      <c r="C477" s="35">
        <v>194.20500000000001</v>
      </c>
      <c r="D477" s="35">
        <v>267.46600000000001</v>
      </c>
      <c r="E477" s="41">
        <v>812.32899999999995</v>
      </c>
      <c r="F477" s="35">
        <v>1274</v>
      </c>
      <c r="G477" s="35">
        <v>75</v>
      </c>
      <c r="H477" s="43">
        <v>600</v>
      </c>
      <c r="I477" s="35">
        <v>695</v>
      </c>
      <c r="J477" s="35">
        <v>50</v>
      </c>
      <c r="K477" s="36"/>
      <c r="L477" s="36"/>
      <c r="M477" s="36"/>
      <c r="N477" s="36"/>
      <c r="O477" s="36"/>
      <c r="P477" s="36"/>
      <c r="Q477" s="36"/>
      <c r="R477" s="36"/>
      <c r="S477" s="36"/>
      <c r="T477" s="36"/>
    </row>
    <row r="478" spans="1:20" ht="15.75">
      <c r="A478" s="13">
        <v>56065</v>
      </c>
      <c r="B478" s="44">
        <v>30</v>
      </c>
      <c r="C478" s="35">
        <v>194.20500000000001</v>
      </c>
      <c r="D478" s="35">
        <v>267.46600000000001</v>
      </c>
      <c r="E478" s="41">
        <v>812.32899999999995</v>
      </c>
      <c r="F478" s="35">
        <v>1274</v>
      </c>
      <c r="G478" s="35">
        <v>50</v>
      </c>
      <c r="H478" s="43">
        <v>600</v>
      </c>
      <c r="I478" s="35">
        <v>695</v>
      </c>
      <c r="J478" s="35">
        <v>50</v>
      </c>
      <c r="K478" s="36"/>
      <c r="L478" s="36"/>
      <c r="M478" s="36"/>
      <c r="N478" s="36"/>
      <c r="O478" s="36"/>
      <c r="P478" s="36"/>
      <c r="Q478" s="36"/>
      <c r="R478" s="36"/>
      <c r="S478" s="36"/>
      <c r="T478" s="36"/>
    </row>
    <row r="479" spans="1:20" ht="15.75">
      <c r="A479" s="13">
        <v>56096</v>
      </c>
      <c r="B479" s="44">
        <v>31</v>
      </c>
      <c r="C479" s="35">
        <v>194.20500000000001</v>
      </c>
      <c r="D479" s="35">
        <v>267.46600000000001</v>
      </c>
      <c r="E479" s="41">
        <v>812.32899999999995</v>
      </c>
      <c r="F479" s="35">
        <v>1274</v>
      </c>
      <c r="G479" s="35">
        <v>50</v>
      </c>
      <c r="H479" s="43">
        <v>600</v>
      </c>
      <c r="I479" s="35">
        <v>695</v>
      </c>
      <c r="J479" s="35">
        <v>0</v>
      </c>
      <c r="K479" s="36"/>
      <c r="L479" s="36"/>
      <c r="M479" s="36"/>
      <c r="N479" s="36"/>
      <c r="O479" s="36"/>
      <c r="P479" s="36"/>
      <c r="Q479" s="36"/>
      <c r="R479" s="36"/>
      <c r="S479" s="36"/>
      <c r="T479" s="36"/>
    </row>
    <row r="480" spans="1:20" ht="15.75">
      <c r="A480" s="13">
        <v>56127</v>
      </c>
      <c r="B480" s="44">
        <v>31</v>
      </c>
      <c r="C480" s="35">
        <v>194.20500000000001</v>
      </c>
      <c r="D480" s="35">
        <v>267.46600000000001</v>
      </c>
      <c r="E480" s="41">
        <v>812.32899999999995</v>
      </c>
      <c r="F480" s="35">
        <v>1274</v>
      </c>
      <c r="G480" s="35">
        <v>50</v>
      </c>
      <c r="H480" s="43">
        <v>600</v>
      </c>
      <c r="I480" s="35">
        <v>695</v>
      </c>
      <c r="J480" s="35">
        <v>0</v>
      </c>
      <c r="K480" s="36"/>
      <c r="L480" s="36"/>
      <c r="M480" s="36"/>
      <c r="N480" s="36"/>
      <c r="O480" s="36"/>
      <c r="P480" s="36"/>
      <c r="Q480" s="36"/>
      <c r="R480" s="36"/>
      <c r="S480" s="36"/>
      <c r="T480" s="36"/>
    </row>
    <row r="481" spans="1:20" ht="15.75">
      <c r="A481" s="13">
        <v>56157</v>
      </c>
      <c r="B481" s="44">
        <v>30</v>
      </c>
      <c r="C481" s="35">
        <v>194.20500000000001</v>
      </c>
      <c r="D481" s="35">
        <v>267.46600000000001</v>
      </c>
      <c r="E481" s="41">
        <v>812.32899999999995</v>
      </c>
      <c r="F481" s="35">
        <v>1274</v>
      </c>
      <c r="G481" s="35">
        <v>50</v>
      </c>
      <c r="H481" s="43">
        <v>600</v>
      </c>
      <c r="I481" s="35">
        <v>695</v>
      </c>
      <c r="J481" s="35">
        <v>0</v>
      </c>
      <c r="K481" s="36"/>
      <c r="L481" s="36"/>
      <c r="M481" s="36"/>
      <c r="N481" s="36"/>
      <c r="O481" s="36"/>
      <c r="P481" s="36"/>
      <c r="Q481" s="36"/>
      <c r="R481" s="36"/>
      <c r="S481" s="36"/>
      <c r="T481" s="36"/>
    </row>
    <row r="482" spans="1:20" ht="15.75">
      <c r="A482" s="13">
        <v>56188</v>
      </c>
      <c r="B482" s="44">
        <v>31</v>
      </c>
      <c r="C482" s="35">
        <v>131.881</v>
      </c>
      <c r="D482" s="35">
        <v>277.16699999999997</v>
      </c>
      <c r="E482" s="41">
        <v>829.952</v>
      </c>
      <c r="F482" s="35">
        <v>1239</v>
      </c>
      <c r="G482" s="35">
        <v>75</v>
      </c>
      <c r="H482" s="43">
        <v>600</v>
      </c>
      <c r="I482" s="35">
        <v>695</v>
      </c>
      <c r="J482" s="35">
        <v>0</v>
      </c>
      <c r="K482" s="36"/>
      <c r="L482" s="36"/>
      <c r="M482" s="36"/>
      <c r="N482" s="36"/>
      <c r="O482" s="36"/>
      <c r="P482" s="36"/>
      <c r="Q482" s="36"/>
      <c r="R482" s="36"/>
      <c r="S482" s="36"/>
      <c r="T482" s="36"/>
    </row>
    <row r="483" spans="1:20" ht="15.75">
      <c r="A483" s="13">
        <v>56218</v>
      </c>
      <c r="B483" s="44">
        <v>30</v>
      </c>
      <c r="C483" s="35">
        <v>122.58</v>
      </c>
      <c r="D483" s="35">
        <v>297.94099999999997</v>
      </c>
      <c r="E483" s="41">
        <v>729.47900000000004</v>
      </c>
      <c r="F483" s="35">
        <v>1150</v>
      </c>
      <c r="G483" s="35">
        <v>100</v>
      </c>
      <c r="H483" s="43">
        <v>600</v>
      </c>
      <c r="I483" s="35">
        <v>695</v>
      </c>
      <c r="J483" s="35">
        <v>50</v>
      </c>
      <c r="K483" s="36"/>
      <c r="L483" s="36"/>
      <c r="M483" s="36"/>
      <c r="N483" s="36"/>
      <c r="O483" s="36"/>
      <c r="P483" s="36"/>
      <c r="Q483" s="36"/>
      <c r="R483" s="36"/>
      <c r="S483" s="36"/>
      <c r="T483" s="36"/>
    </row>
    <row r="484" spans="1:20" ht="15.75">
      <c r="A484" s="13">
        <v>56249</v>
      </c>
      <c r="B484" s="44">
        <v>31</v>
      </c>
      <c r="C484" s="35">
        <v>122.58</v>
      </c>
      <c r="D484" s="35">
        <v>297.94099999999997</v>
      </c>
      <c r="E484" s="41">
        <v>729.47900000000004</v>
      </c>
      <c r="F484" s="35">
        <v>1150</v>
      </c>
      <c r="G484" s="35">
        <v>100</v>
      </c>
      <c r="H484" s="43">
        <v>600</v>
      </c>
      <c r="I484" s="35">
        <v>695</v>
      </c>
      <c r="J484" s="35">
        <v>50</v>
      </c>
      <c r="K484" s="36"/>
      <c r="L484" s="36"/>
      <c r="M484" s="36"/>
      <c r="N484" s="36"/>
      <c r="O484" s="36"/>
      <c r="P484" s="36"/>
      <c r="Q484" s="36"/>
      <c r="R484" s="36"/>
      <c r="S484" s="36"/>
      <c r="T484" s="36"/>
    </row>
    <row r="485" spans="1:20" ht="15.75">
      <c r="A485" s="13">
        <v>56280</v>
      </c>
      <c r="B485" s="44">
        <v>31</v>
      </c>
      <c r="C485" s="35">
        <v>122.58</v>
      </c>
      <c r="D485" s="35">
        <v>297.94099999999997</v>
      </c>
      <c r="E485" s="41">
        <v>729.47900000000004</v>
      </c>
      <c r="F485" s="35">
        <v>1150</v>
      </c>
      <c r="G485" s="35">
        <v>100</v>
      </c>
      <c r="H485" s="43">
        <v>600</v>
      </c>
      <c r="I485" s="35">
        <v>695</v>
      </c>
      <c r="J485" s="35">
        <v>50</v>
      </c>
      <c r="K485" s="36"/>
      <c r="L485" s="36"/>
      <c r="M485" s="36"/>
      <c r="N485" s="36"/>
      <c r="O485" s="36"/>
      <c r="P485" s="36"/>
      <c r="Q485" s="36"/>
      <c r="R485" s="36"/>
      <c r="S485" s="36"/>
      <c r="T485" s="36"/>
    </row>
    <row r="486" spans="1:20" ht="15.75">
      <c r="A486" s="13">
        <v>56308</v>
      </c>
      <c r="B486" s="44">
        <v>28</v>
      </c>
      <c r="C486" s="35">
        <v>122.58</v>
      </c>
      <c r="D486" s="35">
        <v>297.94099999999997</v>
      </c>
      <c r="E486" s="41">
        <v>729.47900000000004</v>
      </c>
      <c r="F486" s="35">
        <v>1150</v>
      </c>
      <c r="G486" s="35">
        <v>100</v>
      </c>
      <c r="H486" s="43">
        <v>600</v>
      </c>
      <c r="I486" s="35">
        <v>695</v>
      </c>
      <c r="J486" s="35">
        <v>50</v>
      </c>
      <c r="K486" s="36"/>
      <c r="L486" s="36"/>
      <c r="M486" s="36"/>
      <c r="N486" s="36"/>
      <c r="O486" s="36"/>
      <c r="P486" s="36"/>
      <c r="Q486" s="36"/>
      <c r="R486" s="36"/>
      <c r="S486" s="36"/>
      <c r="T486" s="36"/>
    </row>
    <row r="487" spans="1:20" ht="15.75">
      <c r="A487" s="13">
        <v>56339</v>
      </c>
      <c r="B487" s="44">
        <v>31</v>
      </c>
      <c r="C487" s="35">
        <v>122.58</v>
      </c>
      <c r="D487" s="35">
        <v>297.94099999999997</v>
      </c>
      <c r="E487" s="41">
        <v>729.47900000000004</v>
      </c>
      <c r="F487" s="35">
        <v>1150</v>
      </c>
      <c r="G487" s="35">
        <v>100</v>
      </c>
      <c r="H487" s="43">
        <v>600</v>
      </c>
      <c r="I487" s="35">
        <v>695</v>
      </c>
      <c r="J487" s="35">
        <v>50</v>
      </c>
      <c r="K487" s="36"/>
      <c r="L487" s="36"/>
      <c r="M487" s="36"/>
      <c r="N487" s="36"/>
      <c r="O487" s="36"/>
      <c r="P487" s="36"/>
      <c r="Q487" s="36"/>
      <c r="R487" s="36"/>
      <c r="S487" s="36"/>
      <c r="T487" s="36"/>
    </row>
    <row r="488" spans="1:20" ht="15.75">
      <c r="A488" s="13">
        <v>56369</v>
      </c>
      <c r="B488" s="44">
        <v>30</v>
      </c>
      <c r="C488" s="35">
        <v>141.29300000000001</v>
      </c>
      <c r="D488" s="35">
        <v>267.99299999999999</v>
      </c>
      <c r="E488" s="41">
        <v>829.71400000000006</v>
      </c>
      <c r="F488" s="35">
        <v>1239</v>
      </c>
      <c r="G488" s="35">
        <v>100</v>
      </c>
      <c r="H488" s="43">
        <v>600</v>
      </c>
      <c r="I488" s="35">
        <v>695</v>
      </c>
      <c r="J488" s="35">
        <v>50</v>
      </c>
      <c r="K488" s="36"/>
      <c r="L488" s="36"/>
      <c r="M488" s="36"/>
      <c r="N488" s="36"/>
      <c r="O488" s="36"/>
      <c r="P488" s="36"/>
      <c r="Q488" s="36"/>
      <c r="R488" s="36"/>
      <c r="S488" s="36"/>
      <c r="T488" s="36"/>
    </row>
    <row r="489" spans="1:20" ht="15.75">
      <c r="A489" s="13">
        <v>56400</v>
      </c>
      <c r="B489" s="44">
        <v>31</v>
      </c>
      <c r="C489" s="35">
        <v>194.20500000000001</v>
      </c>
      <c r="D489" s="35">
        <v>267.46600000000001</v>
      </c>
      <c r="E489" s="41">
        <v>812.32899999999995</v>
      </c>
      <c r="F489" s="35">
        <v>1274</v>
      </c>
      <c r="G489" s="35">
        <v>75</v>
      </c>
      <c r="H489" s="43">
        <v>600</v>
      </c>
      <c r="I489" s="35">
        <v>695</v>
      </c>
      <c r="J489" s="35">
        <v>50</v>
      </c>
      <c r="K489" s="36"/>
      <c r="L489" s="36"/>
      <c r="M489" s="36"/>
      <c r="N489" s="36"/>
      <c r="O489" s="36"/>
      <c r="P489" s="36"/>
      <c r="Q489" s="36"/>
      <c r="R489" s="36"/>
      <c r="S489" s="36"/>
      <c r="T489" s="36"/>
    </row>
    <row r="490" spans="1:20" ht="15.75">
      <c r="A490" s="13">
        <v>56430</v>
      </c>
      <c r="B490" s="44">
        <v>30</v>
      </c>
      <c r="C490" s="35">
        <v>194.20500000000001</v>
      </c>
      <c r="D490" s="35">
        <v>267.46600000000001</v>
      </c>
      <c r="E490" s="41">
        <v>812.32899999999995</v>
      </c>
      <c r="F490" s="35">
        <v>1274</v>
      </c>
      <c r="G490" s="35">
        <v>50</v>
      </c>
      <c r="H490" s="43">
        <v>600</v>
      </c>
      <c r="I490" s="35">
        <v>695</v>
      </c>
      <c r="J490" s="35">
        <v>50</v>
      </c>
      <c r="K490" s="36"/>
      <c r="L490" s="36"/>
      <c r="M490" s="36"/>
      <c r="N490" s="36"/>
      <c r="O490" s="36"/>
      <c r="P490" s="36"/>
      <c r="Q490" s="36"/>
      <c r="R490" s="36"/>
      <c r="S490" s="36"/>
      <c r="T490" s="36"/>
    </row>
    <row r="491" spans="1:20" ht="15.75">
      <c r="A491" s="13">
        <v>56461</v>
      </c>
      <c r="B491" s="44">
        <v>31</v>
      </c>
      <c r="C491" s="35">
        <v>194.20500000000001</v>
      </c>
      <c r="D491" s="35">
        <v>267.46600000000001</v>
      </c>
      <c r="E491" s="41">
        <v>812.32899999999995</v>
      </c>
      <c r="F491" s="35">
        <v>1274</v>
      </c>
      <c r="G491" s="35">
        <v>50</v>
      </c>
      <c r="H491" s="43">
        <v>600</v>
      </c>
      <c r="I491" s="35">
        <v>695</v>
      </c>
      <c r="J491" s="35">
        <v>0</v>
      </c>
      <c r="K491" s="36"/>
      <c r="L491" s="36"/>
      <c r="M491" s="36"/>
      <c r="N491" s="36"/>
      <c r="O491" s="36"/>
      <c r="P491" s="36"/>
      <c r="Q491" s="36"/>
      <c r="R491" s="36"/>
      <c r="S491" s="36"/>
      <c r="T491" s="36"/>
    </row>
    <row r="492" spans="1:20" ht="15.75">
      <c r="A492" s="13">
        <v>56492</v>
      </c>
      <c r="B492" s="44">
        <v>31</v>
      </c>
      <c r="C492" s="35">
        <v>194.20500000000001</v>
      </c>
      <c r="D492" s="35">
        <v>267.46600000000001</v>
      </c>
      <c r="E492" s="41">
        <v>812.32899999999995</v>
      </c>
      <c r="F492" s="35">
        <v>1274</v>
      </c>
      <c r="G492" s="35">
        <v>50</v>
      </c>
      <c r="H492" s="43">
        <v>600</v>
      </c>
      <c r="I492" s="35">
        <v>695</v>
      </c>
      <c r="J492" s="35">
        <v>0</v>
      </c>
      <c r="K492" s="36"/>
      <c r="L492" s="36"/>
      <c r="M492" s="36"/>
      <c r="N492" s="36"/>
      <c r="O492" s="36"/>
      <c r="P492" s="36"/>
      <c r="Q492" s="36"/>
      <c r="R492" s="36"/>
      <c r="S492" s="36"/>
      <c r="T492" s="36"/>
    </row>
    <row r="493" spans="1:20" ht="15.75">
      <c r="A493" s="13">
        <v>56522</v>
      </c>
      <c r="B493" s="44">
        <v>30</v>
      </c>
      <c r="C493" s="35">
        <v>194.20500000000001</v>
      </c>
      <c r="D493" s="35">
        <v>267.46600000000001</v>
      </c>
      <c r="E493" s="41">
        <v>812.32899999999995</v>
      </c>
      <c r="F493" s="35">
        <v>1274</v>
      </c>
      <c r="G493" s="35">
        <v>50</v>
      </c>
      <c r="H493" s="43">
        <v>600</v>
      </c>
      <c r="I493" s="35">
        <v>695</v>
      </c>
      <c r="J493" s="35">
        <v>0</v>
      </c>
      <c r="K493" s="36"/>
      <c r="L493" s="36"/>
      <c r="M493" s="36"/>
      <c r="N493" s="36"/>
      <c r="O493" s="36"/>
      <c r="P493" s="36"/>
      <c r="Q493" s="36"/>
      <c r="R493" s="36"/>
      <c r="S493" s="36"/>
      <c r="T493" s="36"/>
    </row>
    <row r="494" spans="1:20" ht="15.75">
      <c r="A494" s="13">
        <v>56553</v>
      </c>
      <c r="B494" s="44">
        <v>31</v>
      </c>
      <c r="C494" s="35">
        <v>131.881</v>
      </c>
      <c r="D494" s="35">
        <v>277.16699999999997</v>
      </c>
      <c r="E494" s="41">
        <v>829.952</v>
      </c>
      <c r="F494" s="35">
        <v>1239</v>
      </c>
      <c r="G494" s="35">
        <v>75</v>
      </c>
      <c r="H494" s="43">
        <v>600</v>
      </c>
      <c r="I494" s="35">
        <v>695</v>
      </c>
      <c r="J494" s="35">
        <v>0</v>
      </c>
      <c r="K494" s="36"/>
      <c r="L494" s="36"/>
      <c r="M494" s="36"/>
      <c r="N494" s="36"/>
      <c r="O494" s="36"/>
      <c r="P494" s="36"/>
      <c r="Q494" s="36"/>
      <c r="R494" s="36"/>
      <c r="S494" s="36"/>
      <c r="T494" s="36"/>
    </row>
    <row r="495" spans="1:20" ht="15.75">
      <c r="A495" s="13">
        <v>56583</v>
      </c>
      <c r="B495" s="44">
        <v>30</v>
      </c>
      <c r="C495" s="35">
        <v>122.58</v>
      </c>
      <c r="D495" s="35">
        <v>297.94099999999997</v>
      </c>
      <c r="E495" s="41">
        <v>729.47900000000004</v>
      </c>
      <c r="F495" s="35">
        <v>1150</v>
      </c>
      <c r="G495" s="35">
        <v>100</v>
      </c>
      <c r="H495" s="43">
        <v>600</v>
      </c>
      <c r="I495" s="35">
        <v>695</v>
      </c>
      <c r="J495" s="35">
        <v>50</v>
      </c>
      <c r="K495" s="36"/>
      <c r="L495" s="36"/>
      <c r="M495" s="36"/>
      <c r="N495" s="36"/>
      <c r="O495" s="36"/>
      <c r="P495" s="36"/>
      <c r="Q495" s="36"/>
      <c r="R495" s="36"/>
      <c r="S495" s="36"/>
      <c r="T495" s="36"/>
    </row>
    <row r="496" spans="1:20" ht="15.75">
      <c r="A496" s="13">
        <v>56614</v>
      </c>
      <c r="B496" s="44">
        <v>31</v>
      </c>
      <c r="C496" s="35">
        <v>122.58</v>
      </c>
      <c r="D496" s="35">
        <v>297.94099999999997</v>
      </c>
      <c r="E496" s="41">
        <v>729.47900000000004</v>
      </c>
      <c r="F496" s="35">
        <v>1150</v>
      </c>
      <c r="G496" s="35">
        <v>100</v>
      </c>
      <c r="H496" s="43">
        <v>600</v>
      </c>
      <c r="I496" s="35">
        <v>695</v>
      </c>
      <c r="J496" s="35">
        <v>50</v>
      </c>
      <c r="K496" s="36"/>
      <c r="L496" s="36"/>
      <c r="M496" s="36"/>
      <c r="N496" s="36"/>
      <c r="O496" s="36"/>
      <c r="P496" s="36"/>
      <c r="Q496" s="36"/>
      <c r="R496" s="36"/>
      <c r="S496" s="36"/>
      <c r="T496" s="36"/>
    </row>
    <row r="497" spans="1:20" ht="15.75">
      <c r="A497" s="13">
        <v>56645</v>
      </c>
      <c r="B497" s="44">
        <v>31</v>
      </c>
      <c r="C497" s="35">
        <v>122.58</v>
      </c>
      <c r="D497" s="35">
        <v>297.94099999999997</v>
      </c>
      <c r="E497" s="41">
        <v>729.47900000000004</v>
      </c>
      <c r="F497" s="35">
        <v>1150</v>
      </c>
      <c r="G497" s="35">
        <v>100</v>
      </c>
      <c r="H497" s="43">
        <v>600</v>
      </c>
      <c r="I497" s="35">
        <v>695</v>
      </c>
      <c r="J497" s="35">
        <v>50</v>
      </c>
      <c r="K497" s="36"/>
      <c r="L497" s="36"/>
      <c r="M497" s="36"/>
      <c r="N497" s="36"/>
      <c r="O497" s="36"/>
      <c r="P497" s="36"/>
      <c r="Q497" s="36"/>
      <c r="R497" s="36"/>
      <c r="S497" s="36"/>
      <c r="T497" s="36"/>
    </row>
    <row r="498" spans="1:20" ht="15.75">
      <c r="A498" s="13">
        <v>56673</v>
      </c>
      <c r="B498" s="44">
        <v>28</v>
      </c>
      <c r="C498" s="35">
        <v>122.58</v>
      </c>
      <c r="D498" s="35">
        <v>297.94099999999997</v>
      </c>
      <c r="E498" s="41">
        <v>729.47900000000004</v>
      </c>
      <c r="F498" s="35">
        <v>1150</v>
      </c>
      <c r="G498" s="35">
        <v>100</v>
      </c>
      <c r="H498" s="43">
        <v>600</v>
      </c>
      <c r="I498" s="35">
        <v>695</v>
      </c>
      <c r="J498" s="35">
        <v>50</v>
      </c>
      <c r="K498" s="36"/>
      <c r="L498" s="36"/>
      <c r="M498" s="36"/>
      <c r="N498" s="36"/>
      <c r="O498" s="36"/>
      <c r="P498" s="36"/>
      <c r="Q498" s="36"/>
      <c r="R498" s="36"/>
      <c r="S498" s="36"/>
      <c r="T498" s="36"/>
    </row>
    <row r="499" spans="1:20" ht="15.75">
      <c r="A499" s="13">
        <v>56704</v>
      </c>
      <c r="B499" s="44">
        <v>31</v>
      </c>
      <c r="C499" s="35">
        <v>122.58</v>
      </c>
      <c r="D499" s="35">
        <v>297.94099999999997</v>
      </c>
      <c r="E499" s="41">
        <v>729.47900000000004</v>
      </c>
      <c r="F499" s="35">
        <v>1150</v>
      </c>
      <c r="G499" s="35">
        <v>100</v>
      </c>
      <c r="H499" s="43">
        <v>600</v>
      </c>
      <c r="I499" s="35">
        <v>695</v>
      </c>
      <c r="J499" s="35">
        <v>50</v>
      </c>
      <c r="K499" s="36"/>
      <c r="L499" s="36"/>
      <c r="M499" s="36"/>
      <c r="N499" s="36"/>
      <c r="O499" s="36"/>
      <c r="P499" s="36"/>
      <c r="Q499" s="36"/>
      <c r="R499" s="36"/>
      <c r="S499" s="36"/>
      <c r="T499" s="36"/>
    </row>
    <row r="500" spans="1:20" ht="15.75">
      <c r="A500" s="13">
        <v>56734</v>
      </c>
      <c r="B500" s="44">
        <v>30</v>
      </c>
      <c r="C500" s="35">
        <v>141.29300000000001</v>
      </c>
      <c r="D500" s="35">
        <v>267.99299999999999</v>
      </c>
      <c r="E500" s="41">
        <v>829.71400000000006</v>
      </c>
      <c r="F500" s="35">
        <v>1239</v>
      </c>
      <c r="G500" s="35">
        <v>100</v>
      </c>
      <c r="H500" s="43">
        <v>600</v>
      </c>
      <c r="I500" s="35">
        <v>695</v>
      </c>
      <c r="J500" s="35">
        <v>50</v>
      </c>
      <c r="K500" s="36"/>
      <c r="L500" s="36"/>
      <c r="M500" s="36"/>
      <c r="N500" s="36"/>
      <c r="O500" s="36"/>
      <c r="P500" s="36"/>
      <c r="Q500" s="36"/>
      <c r="R500" s="36"/>
      <c r="S500" s="36"/>
      <c r="T500" s="36"/>
    </row>
    <row r="501" spans="1:20" ht="15.75">
      <c r="A501" s="13">
        <v>56765</v>
      </c>
      <c r="B501" s="44">
        <v>31</v>
      </c>
      <c r="C501" s="35">
        <v>194.20500000000001</v>
      </c>
      <c r="D501" s="35">
        <v>267.46600000000001</v>
      </c>
      <c r="E501" s="41">
        <v>812.32899999999995</v>
      </c>
      <c r="F501" s="35">
        <v>1274</v>
      </c>
      <c r="G501" s="35">
        <v>75</v>
      </c>
      <c r="H501" s="43">
        <v>600</v>
      </c>
      <c r="I501" s="35">
        <v>695</v>
      </c>
      <c r="J501" s="35">
        <v>50</v>
      </c>
      <c r="K501" s="36"/>
      <c r="L501" s="36"/>
      <c r="M501" s="36"/>
      <c r="N501" s="36"/>
      <c r="O501" s="36"/>
      <c r="P501" s="36"/>
      <c r="Q501" s="36"/>
      <c r="R501" s="36"/>
      <c r="S501" s="36"/>
      <c r="T501" s="36"/>
    </row>
    <row r="502" spans="1:20" ht="15.75">
      <c r="A502" s="13">
        <v>56795</v>
      </c>
      <c r="B502" s="44">
        <v>30</v>
      </c>
      <c r="C502" s="35">
        <v>194.20500000000001</v>
      </c>
      <c r="D502" s="35">
        <v>267.46600000000001</v>
      </c>
      <c r="E502" s="41">
        <v>812.32899999999995</v>
      </c>
      <c r="F502" s="35">
        <v>1274</v>
      </c>
      <c r="G502" s="35">
        <v>50</v>
      </c>
      <c r="H502" s="43">
        <v>600</v>
      </c>
      <c r="I502" s="35">
        <v>695</v>
      </c>
      <c r="J502" s="35">
        <v>50</v>
      </c>
      <c r="K502" s="36"/>
      <c r="L502" s="36"/>
      <c r="M502" s="36"/>
      <c r="N502" s="36"/>
      <c r="O502" s="36"/>
      <c r="P502" s="36"/>
      <c r="Q502" s="36"/>
      <c r="R502" s="36"/>
      <c r="S502" s="36"/>
      <c r="T502" s="36"/>
    </row>
    <row r="503" spans="1:20" ht="15.75">
      <c r="A503" s="13">
        <v>56826</v>
      </c>
      <c r="B503" s="44">
        <v>31</v>
      </c>
      <c r="C503" s="35">
        <v>194.20500000000001</v>
      </c>
      <c r="D503" s="35">
        <v>267.46600000000001</v>
      </c>
      <c r="E503" s="41">
        <v>812.32899999999995</v>
      </c>
      <c r="F503" s="35">
        <v>1274</v>
      </c>
      <c r="G503" s="35">
        <v>50</v>
      </c>
      <c r="H503" s="43">
        <v>600</v>
      </c>
      <c r="I503" s="35">
        <v>695</v>
      </c>
      <c r="J503" s="35">
        <v>0</v>
      </c>
      <c r="K503" s="36"/>
      <c r="L503" s="36"/>
      <c r="M503" s="36"/>
      <c r="N503" s="36"/>
      <c r="O503" s="36"/>
      <c r="P503" s="36"/>
      <c r="Q503" s="36"/>
      <c r="R503" s="36"/>
      <c r="S503" s="36"/>
      <c r="T503" s="36"/>
    </row>
    <row r="504" spans="1:20" ht="15.75">
      <c r="A504" s="13">
        <v>56857</v>
      </c>
      <c r="B504" s="44">
        <v>31</v>
      </c>
      <c r="C504" s="35">
        <v>194.20500000000001</v>
      </c>
      <c r="D504" s="35">
        <v>267.46600000000001</v>
      </c>
      <c r="E504" s="41">
        <v>812.32899999999995</v>
      </c>
      <c r="F504" s="35">
        <v>1274</v>
      </c>
      <c r="G504" s="35">
        <v>50</v>
      </c>
      <c r="H504" s="43">
        <v>600</v>
      </c>
      <c r="I504" s="35">
        <v>695</v>
      </c>
      <c r="J504" s="35">
        <v>0</v>
      </c>
      <c r="K504" s="36"/>
      <c r="L504" s="36"/>
      <c r="M504" s="36"/>
      <c r="N504" s="36"/>
      <c r="O504" s="36"/>
      <c r="P504" s="36"/>
      <c r="Q504" s="36"/>
      <c r="R504" s="36"/>
      <c r="S504" s="36"/>
      <c r="T504" s="36"/>
    </row>
    <row r="505" spans="1:20" ht="15.75">
      <c r="A505" s="13">
        <v>56887</v>
      </c>
      <c r="B505" s="44">
        <v>30</v>
      </c>
      <c r="C505" s="35">
        <v>194.20500000000001</v>
      </c>
      <c r="D505" s="35">
        <v>267.46600000000001</v>
      </c>
      <c r="E505" s="41">
        <v>812.32899999999995</v>
      </c>
      <c r="F505" s="35">
        <v>1274</v>
      </c>
      <c r="G505" s="35">
        <v>50</v>
      </c>
      <c r="H505" s="43">
        <v>600</v>
      </c>
      <c r="I505" s="35">
        <v>695</v>
      </c>
      <c r="J505" s="35">
        <v>0</v>
      </c>
      <c r="K505" s="36"/>
      <c r="L505" s="36"/>
      <c r="M505" s="36"/>
      <c r="N505" s="36"/>
      <c r="O505" s="36"/>
      <c r="P505" s="36"/>
      <c r="Q505" s="36"/>
      <c r="R505" s="36"/>
      <c r="S505" s="36"/>
      <c r="T505" s="36"/>
    </row>
    <row r="506" spans="1:20" ht="15.75">
      <c r="A506" s="13">
        <v>56918</v>
      </c>
      <c r="B506" s="44">
        <v>31</v>
      </c>
      <c r="C506" s="35">
        <v>131.881</v>
      </c>
      <c r="D506" s="35">
        <v>277.16699999999997</v>
      </c>
      <c r="E506" s="41">
        <v>829.952</v>
      </c>
      <c r="F506" s="35">
        <v>1239</v>
      </c>
      <c r="G506" s="35">
        <v>75</v>
      </c>
      <c r="H506" s="43">
        <v>600</v>
      </c>
      <c r="I506" s="35">
        <v>695</v>
      </c>
      <c r="J506" s="35">
        <v>0</v>
      </c>
      <c r="K506" s="36"/>
      <c r="L506" s="36"/>
      <c r="M506" s="36"/>
      <c r="N506" s="36"/>
      <c r="O506" s="36"/>
      <c r="P506" s="36"/>
      <c r="Q506" s="36"/>
      <c r="R506" s="36"/>
      <c r="S506" s="36"/>
      <c r="T506" s="36"/>
    </row>
    <row r="507" spans="1:20" ht="15.75">
      <c r="A507" s="13">
        <v>56948</v>
      </c>
      <c r="B507" s="44">
        <v>30</v>
      </c>
      <c r="C507" s="35">
        <v>122.58</v>
      </c>
      <c r="D507" s="35">
        <v>297.94099999999997</v>
      </c>
      <c r="E507" s="41">
        <v>729.47900000000004</v>
      </c>
      <c r="F507" s="35">
        <v>1150</v>
      </c>
      <c r="G507" s="35">
        <v>100</v>
      </c>
      <c r="H507" s="43">
        <v>600</v>
      </c>
      <c r="I507" s="35">
        <v>695</v>
      </c>
      <c r="J507" s="35">
        <v>50</v>
      </c>
      <c r="K507" s="36"/>
      <c r="L507" s="36"/>
      <c r="M507" s="36"/>
      <c r="N507" s="36"/>
      <c r="O507" s="36"/>
      <c r="P507" s="36"/>
      <c r="Q507" s="36"/>
      <c r="R507" s="36"/>
      <c r="S507" s="36"/>
      <c r="T507" s="36"/>
    </row>
    <row r="508" spans="1:20" ht="15.75">
      <c r="A508" s="13">
        <v>56979</v>
      </c>
      <c r="B508" s="44">
        <v>31</v>
      </c>
      <c r="C508" s="35">
        <v>122.58</v>
      </c>
      <c r="D508" s="35">
        <v>297.94099999999997</v>
      </c>
      <c r="E508" s="41">
        <v>729.47900000000004</v>
      </c>
      <c r="F508" s="35">
        <v>1150</v>
      </c>
      <c r="G508" s="35">
        <v>100</v>
      </c>
      <c r="H508" s="43">
        <v>600</v>
      </c>
      <c r="I508" s="35">
        <v>695</v>
      </c>
      <c r="J508" s="35">
        <v>50</v>
      </c>
      <c r="K508" s="36"/>
      <c r="L508" s="36"/>
      <c r="M508" s="36"/>
      <c r="N508" s="36"/>
      <c r="O508" s="36"/>
      <c r="P508" s="36"/>
      <c r="Q508" s="36"/>
      <c r="R508" s="36"/>
      <c r="S508" s="36"/>
      <c r="T508" s="36"/>
    </row>
    <row r="509" spans="1:20" ht="15.75">
      <c r="A509" s="13">
        <v>57010</v>
      </c>
      <c r="B509" s="44">
        <v>31</v>
      </c>
      <c r="C509" s="35">
        <v>122.58</v>
      </c>
      <c r="D509" s="35">
        <v>297.94099999999997</v>
      </c>
      <c r="E509" s="41">
        <v>729.47900000000004</v>
      </c>
      <c r="F509" s="35">
        <v>1150</v>
      </c>
      <c r="G509" s="35">
        <v>100</v>
      </c>
      <c r="H509" s="43">
        <v>600</v>
      </c>
      <c r="I509" s="35">
        <v>695</v>
      </c>
      <c r="J509" s="35">
        <v>50</v>
      </c>
      <c r="K509" s="36"/>
      <c r="L509" s="36"/>
      <c r="M509" s="36"/>
      <c r="N509" s="36"/>
      <c r="O509" s="36"/>
      <c r="P509" s="36"/>
      <c r="Q509" s="36"/>
      <c r="R509" s="36"/>
      <c r="S509" s="36"/>
      <c r="T509" s="36"/>
    </row>
    <row r="510" spans="1:20" ht="15.75">
      <c r="A510" s="13">
        <v>57038</v>
      </c>
      <c r="B510" s="44">
        <v>29</v>
      </c>
      <c r="C510" s="35">
        <v>122.58</v>
      </c>
      <c r="D510" s="35">
        <v>297.94099999999997</v>
      </c>
      <c r="E510" s="41">
        <v>729.47900000000004</v>
      </c>
      <c r="F510" s="35">
        <v>1150</v>
      </c>
      <c r="G510" s="35">
        <v>100</v>
      </c>
      <c r="H510" s="43">
        <v>600</v>
      </c>
      <c r="I510" s="35">
        <v>695</v>
      </c>
      <c r="J510" s="35">
        <v>50</v>
      </c>
      <c r="K510" s="36"/>
      <c r="L510" s="36"/>
      <c r="M510" s="36"/>
      <c r="N510" s="36"/>
      <c r="O510" s="36"/>
      <c r="P510" s="36"/>
      <c r="Q510" s="36"/>
      <c r="R510" s="36"/>
      <c r="S510" s="36"/>
      <c r="T510" s="36"/>
    </row>
    <row r="511" spans="1:20" ht="15.75">
      <c r="A511" s="13">
        <v>57070</v>
      </c>
      <c r="B511" s="44">
        <v>31</v>
      </c>
      <c r="C511" s="35">
        <v>122.58</v>
      </c>
      <c r="D511" s="35">
        <v>297.94099999999997</v>
      </c>
      <c r="E511" s="41">
        <v>729.47900000000004</v>
      </c>
      <c r="F511" s="35">
        <v>1150</v>
      </c>
      <c r="G511" s="35">
        <v>100</v>
      </c>
      <c r="H511" s="43">
        <v>600</v>
      </c>
      <c r="I511" s="35">
        <v>695</v>
      </c>
      <c r="J511" s="35">
        <v>50</v>
      </c>
      <c r="K511" s="36"/>
      <c r="L511" s="36"/>
      <c r="M511" s="36"/>
      <c r="N511" s="36"/>
      <c r="O511" s="36"/>
      <c r="P511" s="36"/>
      <c r="Q511" s="36"/>
      <c r="R511" s="36"/>
      <c r="S511" s="36"/>
      <c r="T511" s="36"/>
    </row>
    <row r="512" spans="1:20" ht="15.75">
      <c r="A512" s="13">
        <v>57100</v>
      </c>
      <c r="B512" s="44">
        <v>30</v>
      </c>
      <c r="C512" s="35">
        <v>141.29300000000001</v>
      </c>
      <c r="D512" s="35">
        <v>267.99299999999999</v>
      </c>
      <c r="E512" s="41">
        <v>829.71400000000006</v>
      </c>
      <c r="F512" s="35">
        <v>1239</v>
      </c>
      <c r="G512" s="35">
        <v>100</v>
      </c>
      <c r="H512" s="43">
        <v>600</v>
      </c>
      <c r="I512" s="35">
        <v>695</v>
      </c>
      <c r="J512" s="35">
        <v>50</v>
      </c>
      <c r="K512" s="36"/>
      <c r="L512" s="36"/>
      <c r="M512" s="36"/>
      <c r="N512" s="36"/>
      <c r="O512" s="36"/>
      <c r="P512" s="36"/>
      <c r="Q512" s="36"/>
      <c r="R512" s="36"/>
      <c r="S512" s="36"/>
      <c r="T512" s="36"/>
    </row>
    <row r="513" spans="1:20" ht="15.75">
      <c r="A513" s="13">
        <v>57131</v>
      </c>
      <c r="B513" s="44">
        <v>31</v>
      </c>
      <c r="C513" s="35">
        <v>194.20500000000001</v>
      </c>
      <c r="D513" s="35">
        <v>267.46600000000001</v>
      </c>
      <c r="E513" s="41">
        <v>812.32899999999995</v>
      </c>
      <c r="F513" s="35">
        <v>1274</v>
      </c>
      <c r="G513" s="35">
        <v>75</v>
      </c>
      <c r="H513" s="43">
        <v>600</v>
      </c>
      <c r="I513" s="35">
        <v>695</v>
      </c>
      <c r="J513" s="35">
        <v>50</v>
      </c>
      <c r="K513" s="36"/>
      <c r="L513" s="36"/>
      <c r="M513" s="36"/>
      <c r="N513" s="36"/>
      <c r="O513" s="36"/>
      <c r="P513" s="36"/>
      <c r="Q513" s="36"/>
      <c r="R513" s="36"/>
      <c r="S513" s="36"/>
      <c r="T513" s="36"/>
    </row>
    <row r="514" spans="1:20" ht="15.75">
      <c r="A514" s="13">
        <v>57161</v>
      </c>
      <c r="B514" s="44">
        <v>30</v>
      </c>
      <c r="C514" s="35">
        <v>194.20500000000001</v>
      </c>
      <c r="D514" s="35">
        <v>267.46600000000001</v>
      </c>
      <c r="E514" s="41">
        <v>812.32899999999995</v>
      </c>
      <c r="F514" s="35">
        <v>1274</v>
      </c>
      <c r="G514" s="35">
        <v>50</v>
      </c>
      <c r="H514" s="43">
        <v>600</v>
      </c>
      <c r="I514" s="35">
        <v>695</v>
      </c>
      <c r="J514" s="35">
        <v>50</v>
      </c>
      <c r="K514" s="36"/>
      <c r="L514" s="36"/>
      <c r="M514" s="36"/>
      <c r="N514" s="36"/>
      <c r="O514" s="36"/>
      <c r="P514" s="36"/>
      <c r="Q514" s="36"/>
      <c r="R514" s="36"/>
      <c r="S514" s="36"/>
      <c r="T514" s="36"/>
    </row>
    <row r="515" spans="1:20" ht="15.75">
      <c r="A515" s="13">
        <v>57192</v>
      </c>
      <c r="B515" s="44">
        <v>31</v>
      </c>
      <c r="C515" s="35">
        <v>194.20500000000001</v>
      </c>
      <c r="D515" s="35">
        <v>267.46600000000001</v>
      </c>
      <c r="E515" s="41">
        <v>812.32899999999995</v>
      </c>
      <c r="F515" s="35">
        <v>1274</v>
      </c>
      <c r="G515" s="35">
        <v>50</v>
      </c>
      <c r="H515" s="43">
        <v>600</v>
      </c>
      <c r="I515" s="35">
        <v>695</v>
      </c>
      <c r="J515" s="35">
        <v>0</v>
      </c>
      <c r="K515" s="36"/>
      <c r="L515" s="36"/>
      <c r="M515" s="36"/>
      <c r="N515" s="36"/>
      <c r="O515" s="36"/>
      <c r="P515" s="36"/>
      <c r="Q515" s="36"/>
      <c r="R515" s="36"/>
      <c r="S515" s="36"/>
      <c r="T515" s="36"/>
    </row>
    <row r="516" spans="1:20" ht="15.75">
      <c r="A516" s="13">
        <v>57223</v>
      </c>
      <c r="B516" s="44">
        <v>31</v>
      </c>
      <c r="C516" s="35">
        <v>194.20500000000001</v>
      </c>
      <c r="D516" s="35">
        <v>267.46600000000001</v>
      </c>
      <c r="E516" s="41">
        <v>812.32899999999995</v>
      </c>
      <c r="F516" s="35">
        <v>1274</v>
      </c>
      <c r="G516" s="35">
        <v>50</v>
      </c>
      <c r="H516" s="43">
        <v>600</v>
      </c>
      <c r="I516" s="35">
        <v>695</v>
      </c>
      <c r="J516" s="35">
        <v>0</v>
      </c>
      <c r="K516" s="36"/>
      <c r="L516" s="36"/>
      <c r="M516" s="36"/>
      <c r="N516" s="36"/>
      <c r="O516" s="36"/>
      <c r="P516" s="36"/>
      <c r="Q516" s="36"/>
      <c r="R516" s="36"/>
      <c r="S516" s="36"/>
      <c r="T516" s="36"/>
    </row>
    <row r="517" spans="1:20" ht="15.75">
      <c r="A517" s="13">
        <v>57253</v>
      </c>
      <c r="B517" s="44">
        <v>30</v>
      </c>
      <c r="C517" s="35">
        <v>194.20500000000001</v>
      </c>
      <c r="D517" s="35">
        <v>267.46600000000001</v>
      </c>
      <c r="E517" s="41">
        <v>812.32899999999995</v>
      </c>
      <c r="F517" s="35">
        <v>1274</v>
      </c>
      <c r="G517" s="35">
        <v>50</v>
      </c>
      <c r="H517" s="43">
        <v>600</v>
      </c>
      <c r="I517" s="35">
        <v>695</v>
      </c>
      <c r="J517" s="35">
        <v>0</v>
      </c>
      <c r="K517" s="36"/>
      <c r="L517" s="36"/>
      <c r="M517" s="36"/>
      <c r="N517" s="36"/>
      <c r="O517" s="36"/>
      <c r="P517" s="36"/>
      <c r="Q517" s="36"/>
      <c r="R517" s="36"/>
      <c r="S517" s="36"/>
      <c r="T517" s="36"/>
    </row>
    <row r="518" spans="1:20" ht="15.75">
      <c r="A518" s="13">
        <v>57284</v>
      </c>
      <c r="B518" s="44">
        <v>31</v>
      </c>
      <c r="C518" s="35">
        <v>131.881</v>
      </c>
      <c r="D518" s="35">
        <v>277.16699999999997</v>
      </c>
      <c r="E518" s="41">
        <v>829.952</v>
      </c>
      <c r="F518" s="35">
        <v>1239</v>
      </c>
      <c r="G518" s="35">
        <v>75</v>
      </c>
      <c r="H518" s="43">
        <v>600</v>
      </c>
      <c r="I518" s="35">
        <v>695</v>
      </c>
      <c r="J518" s="35">
        <v>0</v>
      </c>
      <c r="K518" s="36"/>
      <c r="L518" s="36"/>
      <c r="M518" s="36"/>
      <c r="N518" s="36"/>
      <c r="O518" s="36"/>
      <c r="P518" s="36"/>
      <c r="Q518" s="36"/>
      <c r="R518" s="36"/>
      <c r="S518" s="36"/>
      <c r="T518" s="36"/>
    </row>
    <row r="519" spans="1:20" ht="15.75">
      <c r="A519" s="13">
        <v>57314</v>
      </c>
      <c r="B519" s="44">
        <v>30</v>
      </c>
      <c r="C519" s="35">
        <v>122.58</v>
      </c>
      <c r="D519" s="35">
        <v>297.94099999999997</v>
      </c>
      <c r="E519" s="41">
        <v>729.47900000000004</v>
      </c>
      <c r="F519" s="35">
        <v>1150</v>
      </c>
      <c r="G519" s="35">
        <v>100</v>
      </c>
      <c r="H519" s="43">
        <v>600</v>
      </c>
      <c r="I519" s="35">
        <v>695</v>
      </c>
      <c r="J519" s="35">
        <v>50</v>
      </c>
      <c r="K519" s="36"/>
      <c r="L519" s="36"/>
      <c r="M519" s="36"/>
      <c r="N519" s="36"/>
      <c r="O519" s="36"/>
      <c r="P519" s="36"/>
      <c r="Q519" s="36"/>
      <c r="R519" s="36"/>
      <c r="S519" s="36"/>
      <c r="T519" s="36"/>
    </row>
    <row r="520" spans="1:20" ht="15.75">
      <c r="A520" s="13">
        <v>57345</v>
      </c>
      <c r="B520" s="44">
        <v>31</v>
      </c>
      <c r="C520" s="35">
        <v>122.58</v>
      </c>
      <c r="D520" s="35">
        <v>297.94099999999997</v>
      </c>
      <c r="E520" s="41">
        <v>729.47900000000004</v>
      </c>
      <c r="F520" s="35">
        <v>1150</v>
      </c>
      <c r="G520" s="35">
        <v>100</v>
      </c>
      <c r="H520" s="43">
        <v>600</v>
      </c>
      <c r="I520" s="35">
        <v>695</v>
      </c>
      <c r="J520" s="35">
        <v>50</v>
      </c>
      <c r="K520" s="36"/>
      <c r="L520" s="36"/>
      <c r="M520" s="36"/>
      <c r="N520" s="36"/>
      <c r="O520" s="36"/>
      <c r="P520" s="36"/>
      <c r="Q520" s="36"/>
      <c r="R520" s="36"/>
      <c r="S520" s="36"/>
      <c r="T520" s="36"/>
    </row>
    <row r="521" spans="1:20" ht="15.75">
      <c r="A521" s="13">
        <v>57376</v>
      </c>
      <c r="B521" s="44">
        <v>31</v>
      </c>
      <c r="C521" s="35">
        <v>122.58</v>
      </c>
      <c r="D521" s="35">
        <v>297.94099999999997</v>
      </c>
      <c r="E521" s="41">
        <v>729.47900000000004</v>
      </c>
      <c r="F521" s="35">
        <v>1150</v>
      </c>
      <c r="G521" s="35">
        <v>100</v>
      </c>
      <c r="H521" s="43">
        <v>600</v>
      </c>
      <c r="I521" s="35">
        <v>695</v>
      </c>
      <c r="J521" s="35">
        <v>50</v>
      </c>
      <c r="K521" s="36"/>
      <c r="L521" s="36"/>
      <c r="M521" s="36"/>
      <c r="N521" s="36"/>
      <c r="O521" s="36"/>
      <c r="P521" s="36"/>
      <c r="Q521" s="36"/>
      <c r="R521" s="36"/>
      <c r="S521" s="36"/>
      <c r="T521" s="36"/>
    </row>
    <row r="522" spans="1:20" ht="15.75">
      <c r="A522" s="13">
        <v>57404</v>
      </c>
      <c r="B522" s="44">
        <v>28</v>
      </c>
      <c r="C522" s="35">
        <v>122.58</v>
      </c>
      <c r="D522" s="35">
        <v>297.94099999999997</v>
      </c>
      <c r="E522" s="41">
        <v>729.47900000000004</v>
      </c>
      <c r="F522" s="35">
        <v>1150</v>
      </c>
      <c r="G522" s="35">
        <v>100</v>
      </c>
      <c r="H522" s="43">
        <v>600</v>
      </c>
      <c r="I522" s="35">
        <v>695</v>
      </c>
      <c r="J522" s="35">
        <v>50</v>
      </c>
      <c r="K522" s="36"/>
      <c r="L522" s="36"/>
      <c r="M522" s="36"/>
      <c r="N522" s="36"/>
      <c r="O522" s="36"/>
      <c r="P522" s="36"/>
      <c r="Q522" s="36"/>
      <c r="R522" s="36"/>
      <c r="S522" s="36"/>
      <c r="T522" s="36"/>
    </row>
    <row r="523" spans="1:20" ht="15.75">
      <c r="A523" s="13">
        <v>57435</v>
      </c>
      <c r="B523" s="44">
        <v>31</v>
      </c>
      <c r="C523" s="35">
        <v>122.58</v>
      </c>
      <c r="D523" s="35">
        <v>297.94099999999997</v>
      </c>
      <c r="E523" s="41">
        <v>729.47900000000004</v>
      </c>
      <c r="F523" s="35">
        <v>1150</v>
      </c>
      <c r="G523" s="35">
        <v>100</v>
      </c>
      <c r="H523" s="43">
        <v>600</v>
      </c>
      <c r="I523" s="35">
        <v>695</v>
      </c>
      <c r="J523" s="35">
        <v>50</v>
      </c>
      <c r="K523" s="36"/>
      <c r="L523" s="36"/>
      <c r="M523" s="36"/>
      <c r="N523" s="36"/>
      <c r="O523" s="36"/>
      <c r="P523" s="36"/>
      <c r="Q523" s="36"/>
      <c r="R523" s="36"/>
      <c r="S523" s="36"/>
      <c r="T523" s="36"/>
    </row>
    <row r="524" spans="1:20" ht="15.75">
      <c r="A524" s="13">
        <v>57465</v>
      </c>
      <c r="B524" s="44">
        <v>30</v>
      </c>
      <c r="C524" s="35">
        <v>141.29300000000001</v>
      </c>
      <c r="D524" s="35">
        <v>267.99299999999999</v>
      </c>
      <c r="E524" s="41">
        <v>829.71400000000006</v>
      </c>
      <c r="F524" s="35">
        <v>1239</v>
      </c>
      <c r="G524" s="35">
        <v>100</v>
      </c>
      <c r="H524" s="43">
        <v>600</v>
      </c>
      <c r="I524" s="35">
        <v>695</v>
      </c>
      <c r="J524" s="35">
        <v>50</v>
      </c>
      <c r="K524" s="36"/>
      <c r="L524" s="36"/>
      <c r="M524" s="36"/>
      <c r="N524" s="36"/>
      <c r="O524" s="36"/>
      <c r="P524" s="36"/>
      <c r="Q524" s="36"/>
      <c r="R524" s="36"/>
      <c r="S524" s="36"/>
      <c r="T524" s="36"/>
    </row>
    <row r="525" spans="1:20" ht="15.75">
      <c r="A525" s="13">
        <v>57496</v>
      </c>
      <c r="B525" s="44">
        <v>31</v>
      </c>
      <c r="C525" s="35">
        <v>194.20500000000001</v>
      </c>
      <c r="D525" s="35">
        <v>267.46600000000001</v>
      </c>
      <c r="E525" s="41">
        <v>812.32899999999995</v>
      </c>
      <c r="F525" s="35">
        <v>1274</v>
      </c>
      <c r="G525" s="35">
        <v>75</v>
      </c>
      <c r="H525" s="43">
        <v>600</v>
      </c>
      <c r="I525" s="35">
        <v>695</v>
      </c>
      <c r="J525" s="35">
        <v>50</v>
      </c>
      <c r="K525" s="36"/>
      <c r="L525" s="36"/>
      <c r="M525" s="36"/>
      <c r="N525" s="36"/>
      <c r="O525" s="36"/>
      <c r="P525" s="36"/>
      <c r="Q525" s="36"/>
      <c r="R525" s="36"/>
      <c r="S525" s="36"/>
      <c r="T525" s="36"/>
    </row>
    <row r="526" spans="1:20" ht="15.75">
      <c r="A526" s="13">
        <v>57526</v>
      </c>
      <c r="B526" s="44">
        <v>30</v>
      </c>
      <c r="C526" s="35">
        <v>194.20500000000001</v>
      </c>
      <c r="D526" s="35">
        <v>267.46600000000001</v>
      </c>
      <c r="E526" s="41">
        <v>812.32899999999995</v>
      </c>
      <c r="F526" s="35">
        <v>1274</v>
      </c>
      <c r="G526" s="35">
        <v>50</v>
      </c>
      <c r="H526" s="43">
        <v>600</v>
      </c>
      <c r="I526" s="35">
        <v>695</v>
      </c>
      <c r="J526" s="35">
        <v>50</v>
      </c>
      <c r="K526" s="36"/>
      <c r="L526" s="36"/>
      <c r="M526" s="36"/>
      <c r="N526" s="36"/>
      <c r="O526" s="36"/>
      <c r="P526" s="36"/>
      <c r="Q526" s="36"/>
      <c r="R526" s="36"/>
      <c r="S526" s="36"/>
      <c r="T526" s="36"/>
    </row>
    <row r="527" spans="1:20" ht="15.75">
      <c r="A527" s="13">
        <v>57557</v>
      </c>
      <c r="B527" s="44">
        <v>31</v>
      </c>
      <c r="C527" s="35">
        <v>194.20500000000001</v>
      </c>
      <c r="D527" s="35">
        <v>267.46600000000001</v>
      </c>
      <c r="E527" s="41">
        <v>812.32899999999995</v>
      </c>
      <c r="F527" s="35">
        <v>1274</v>
      </c>
      <c r="G527" s="35">
        <v>50</v>
      </c>
      <c r="H527" s="43">
        <v>600</v>
      </c>
      <c r="I527" s="35">
        <v>695</v>
      </c>
      <c r="J527" s="35">
        <v>0</v>
      </c>
      <c r="K527" s="36"/>
      <c r="L527" s="36"/>
      <c r="M527" s="36"/>
      <c r="N527" s="36"/>
      <c r="O527" s="36"/>
      <c r="P527" s="36"/>
      <c r="Q527" s="36"/>
      <c r="R527" s="36"/>
      <c r="S527" s="36"/>
      <c r="T527" s="36"/>
    </row>
    <row r="528" spans="1:20" ht="15.75">
      <c r="A528" s="13">
        <v>57588</v>
      </c>
      <c r="B528" s="44">
        <v>31</v>
      </c>
      <c r="C528" s="35">
        <v>194.20500000000001</v>
      </c>
      <c r="D528" s="35">
        <v>267.46600000000001</v>
      </c>
      <c r="E528" s="41">
        <v>812.32899999999995</v>
      </c>
      <c r="F528" s="35">
        <v>1274</v>
      </c>
      <c r="G528" s="35">
        <v>50</v>
      </c>
      <c r="H528" s="43">
        <v>600</v>
      </c>
      <c r="I528" s="35">
        <v>695</v>
      </c>
      <c r="J528" s="35">
        <v>0</v>
      </c>
      <c r="K528" s="36"/>
      <c r="L528" s="36"/>
      <c r="M528" s="36"/>
      <c r="N528" s="36"/>
      <c r="O528" s="36"/>
      <c r="P528" s="36"/>
      <c r="Q528" s="36"/>
      <c r="R528" s="36"/>
      <c r="S528" s="36"/>
      <c r="T528" s="36"/>
    </row>
    <row r="529" spans="1:20" ht="15.75">
      <c r="A529" s="13">
        <v>57618</v>
      </c>
      <c r="B529" s="44">
        <v>30</v>
      </c>
      <c r="C529" s="35">
        <v>194.20500000000001</v>
      </c>
      <c r="D529" s="35">
        <v>267.46600000000001</v>
      </c>
      <c r="E529" s="41">
        <v>812.32899999999995</v>
      </c>
      <c r="F529" s="35">
        <v>1274</v>
      </c>
      <c r="G529" s="35">
        <v>50</v>
      </c>
      <c r="H529" s="43">
        <v>600</v>
      </c>
      <c r="I529" s="35">
        <v>695</v>
      </c>
      <c r="J529" s="35">
        <v>0</v>
      </c>
      <c r="K529" s="36"/>
      <c r="L529" s="36"/>
      <c r="M529" s="36"/>
      <c r="N529" s="36"/>
      <c r="O529" s="36"/>
      <c r="P529" s="36"/>
      <c r="Q529" s="36"/>
      <c r="R529" s="36"/>
      <c r="S529" s="36"/>
      <c r="T529" s="36"/>
    </row>
    <row r="530" spans="1:20" ht="15.75">
      <c r="A530" s="13">
        <v>57649</v>
      </c>
      <c r="B530" s="44">
        <v>31</v>
      </c>
      <c r="C530" s="35">
        <v>131.881</v>
      </c>
      <c r="D530" s="35">
        <v>277.16699999999997</v>
      </c>
      <c r="E530" s="41">
        <v>829.952</v>
      </c>
      <c r="F530" s="35">
        <v>1239</v>
      </c>
      <c r="G530" s="35">
        <v>75</v>
      </c>
      <c r="H530" s="43">
        <v>600</v>
      </c>
      <c r="I530" s="35">
        <v>695</v>
      </c>
      <c r="J530" s="35">
        <v>0</v>
      </c>
      <c r="K530" s="36"/>
      <c r="L530" s="36"/>
      <c r="M530" s="36"/>
      <c r="N530" s="36"/>
      <c r="O530" s="36"/>
      <c r="P530" s="36"/>
      <c r="Q530" s="36"/>
      <c r="R530" s="36"/>
      <c r="S530" s="36"/>
      <c r="T530" s="36"/>
    </row>
    <row r="531" spans="1:20" ht="15.75">
      <c r="A531" s="13">
        <v>57679</v>
      </c>
      <c r="B531" s="44">
        <v>30</v>
      </c>
      <c r="C531" s="35">
        <v>122.58</v>
      </c>
      <c r="D531" s="35">
        <v>297.94099999999997</v>
      </c>
      <c r="E531" s="41">
        <v>729.47900000000004</v>
      </c>
      <c r="F531" s="35">
        <v>1150</v>
      </c>
      <c r="G531" s="35">
        <v>100</v>
      </c>
      <c r="H531" s="43">
        <v>600</v>
      </c>
      <c r="I531" s="35">
        <v>695</v>
      </c>
      <c r="J531" s="35">
        <v>50</v>
      </c>
      <c r="K531" s="36"/>
      <c r="L531" s="36"/>
      <c r="M531" s="36"/>
      <c r="N531" s="36"/>
      <c r="O531" s="36"/>
      <c r="P531" s="36"/>
      <c r="Q531" s="36"/>
      <c r="R531" s="36"/>
      <c r="S531" s="36"/>
      <c r="T531" s="36"/>
    </row>
    <row r="532" spans="1:20" ht="15.75">
      <c r="A532" s="13">
        <v>57710</v>
      </c>
      <c r="B532" s="44">
        <v>31</v>
      </c>
      <c r="C532" s="35">
        <v>122.58</v>
      </c>
      <c r="D532" s="35">
        <v>297.94099999999997</v>
      </c>
      <c r="E532" s="41">
        <v>729.47900000000004</v>
      </c>
      <c r="F532" s="35">
        <v>1150</v>
      </c>
      <c r="G532" s="35">
        <v>100</v>
      </c>
      <c r="H532" s="43">
        <v>600</v>
      </c>
      <c r="I532" s="35">
        <v>695</v>
      </c>
      <c r="J532" s="35">
        <v>50</v>
      </c>
      <c r="K532" s="36"/>
      <c r="L532" s="36"/>
      <c r="M532" s="36"/>
      <c r="N532" s="36"/>
      <c r="O532" s="36"/>
      <c r="P532" s="36"/>
      <c r="Q532" s="36"/>
      <c r="R532" s="36"/>
      <c r="S532" s="36"/>
      <c r="T532" s="36"/>
    </row>
    <row r="533" spans="1:20" ht="15.75">
      <c r="A533" s="13">
        <v>57741</v>
      </c>
      <c r="B533" s="44">
        <v>31</v>
      </c>
      <c r="C533" s="35">
        <v>122.58</v>
      </c>
      <c r="D533" s="35">
        <v>297.94099999999997</v>
      </c>
      <c r="E533" s="41">
        <v>729.47900000000004</v>
      </c>
      <c r="F533" s="35">
        <v>1150</v>
      </c>
      <c r="G533" s="35">
        <v>100</v>
      </c>
      <c r="H533" s="43">
        <v>600</v>
      </c>
      <c r="I533" s="35">
        <v>695</v>
      </c>
      <c r="J533" s="35">
        <v>50</v>
      </c>
      <c r="K533" s="36"/>
      <c r="L533" s="36"/>
      <c r="M533" s="36"/>
      <c r="N533" s="36"/>
      <c r="O533" s="36"/>
      <c r="P533" s="36"/>
      <c r="Q533" s="36"/>
      <c r="R533" s="36"/>
      <c r="S533" s="36"/>
      <c r="T533" s="36"/>
    </row>
    <row r="534" spans="1:20" ht="15.75">
      <c r="A534" s="13">
        <v>57769</v>
      </c>
      <c r="B534" s="44">
        <v>28</v>
      </c>
      <c r="C534" s="35">
        <v>122.58</v>
      </c>
      <c r="D534" s="35">
        <v>297.94099999999997</v>
      </c>
      <c r="E534" s="41">
        <v>729.47900000000004</v>
      </c>
      <c r="F534" s="35">
        <v>1150</v>
      </c>
      <c r="G534" s="35">
        <v>100</v>
      </c>
      <c r="H534" s="43">
        <v>600</v>
      </c>
      <c r="I534" s="35">
        <v>695</v>
      </c>
      <c r="J534" s="35">
        <v>50</v>
      </c>
      <c r="K534" s="36"/>
      <c r="L534" s="36"/>
      <c r="M534" s="36"/>
      <c r="N534" s="36"/>
      <c r="O534" s="36"/>
      <c r="P534" s="36"/>
      <c r="Q534" s="36"/>
      <c r="R534" s="36"/>
      <c r="S534" s="36"/>
      <c r="T534" s="36"/>
    </row>
    <row r="535" spans="1:20" ht="15.75">
      <c r="A535" s="13">
        <v>57800</v>
      </c>
      <c r="B535" s="44">
        <v>31</v>
      </c>
      <c r="C535" s="35">
        <v>122.58</v>
      </c>
      <c r="D535" s="35">
        <v>297.94099999999997</v>
      </c>
      <c r="E535" s="41">
        <v>729.47900000000004</v>
      </c>
      <c r="F535" s="35">
        <v>1150</v>
      </c>
      <c r="G535" s="35">
        <v>100</v>
      </c>
      <c r="H535" s="43">
        <v>600</v>
      </c>
      <c r="I535" s="35">
        <v>695</v>
      </c>
      <c r="J535" s="35">
        <v>50</v>
      </c>
      <c r="K535" s="36"/>
      <c r="L535" s="36"/>
      <c r="M535" s="36"/>
      <c r="N535" s="36"/>
      <c r="O535" s="36"/>
      <c r="P535" s="36"/>
      <c r="Q535" s="36"/>
      <c r="R535" s="36"/>
      <c r="S535" s="36"/>
      <c r="T535" s="36"/>
    </row>
    <row r="536" spans="1:20" ht="15.75">
      <c r="A536" s="13">
        <v>57830</v>
      </c>
      <c r="B536" s="44">
        <v>30</v>
      </c>
      <c r="C536" s="35">
        <v>141.29300000000001</v>
      </c>
      <c r="D536" s="35">
        <v>267.99299999999999</v>
      </c>
      <c r="E536" s="41">
        <v>829.71400000000006</v>
      </c>
      <c r="F536" s="35">
        <v>1239</v>
      </c>
      <c r="G536" s="35">
        <v>100</v>
      </c>
      <c r="H536" s="43">
        <v>600</v>
      </c>
      <c r="I536" s="35">
        <v>695</v>
      </c>
      <c r="J536" s="35">
        <v>50</v>
      </c>
      <c r="K536" s="36"/>
      <c r="L536" s="36"/>
      <c r="M536" s="36"/>
      <c r="N536" s="36"/>
      <c r="O536" s="36"/>
      <c r="P536" s="36"/>
      <c r="Q536" s="36"/>
      <c r="R536" s="36"/>
      <c r="S536" s="36"/>
      <c r="T536" s="36"/>
    </row>
    <row r="537" spans="1:20" ht="15.75">
      <c r="A537" s="13">
        <v>57861</v>
      </c>
      <c r="B537" s="44">
        <v>31</v>
      </c>
      <c r="C537" s="35">
        <v>194.20500000000001</v>
      </c>
      <c r="D537" s="35">
        <v>267.46600000000001</v>
      </c>
      <c r="E537" s="41">
        <v>812.32899999999995</v>
      </c>
      <c r="F537" s="35">
        <v>1274</v>
      </c>
      <c r="G537" s="35">
        <v>75</v>
      </c>
      <c r="H537" s="43">
        <v>600</v>
      </c>
      <c r="I537" s="35">
        <v>695</v>
      </c>
      <c r="J537" s="35">
        <v>50</v>
      </c>
      <c r="K537" s="36"/>
      <c r="L537" s="36"/>
      <c r="M537" s="36"/>
      <c r="N537" s="36"/>
      <c r="O537" s="36"/>
      <c r="P537" s="36"/>
      <c r="Q537" s="36"/>
      <c r="R537" s="36"/>
      <c r="S537" s="36"/>
      <c r="T537" s="36"/>
    </row>
    <row r="538" spans="1:20" ht="15.75">
      <c r="A538" s="13">
        <v>57891</v>
      </c>
      <c r="B538" s="44">
        <v>30</v>
      </c>
      <c r="C538" s="35">
        <v>194.20500000000001</v>
      </c>
      <c r="D538" s="35">
        <v>267.46600000000001</v>
      </c>
      <c r="E538" s="41">
        <v>812.32899999999995</v>
      </c>
      <c r="F538" s="35">
        <v>1274</v>
      </c>
      <c r="G538" s="35">
        <v>50</v>
      </c>
      <c r="H538" s="43">
        <v>600</v>
      </c>
      <c r="I538" s="35">
        <v>695</v>
      </c>
      <c r="J538" s="35">
        <v>50</v>
      </c>
      <c r="K538" s="36"/>
      <c r="L538" s="36"/>
      <c r="M538" s="36"/>
      <c r="N538" s="36"/>
      <c r="O538" s="36"/>
      <c r="P538" s="36"/>
      <c r="Q538" s="36"/>
      <c r="R538" s="36"/>
      <c r="S538" s="36"/>
      <c r="T538" s="36"/>
    </row>
    <row r="539" spans="1:20" ht="15.75">
      <c r="A539" s="13">
        <v>57922</v>
      </c>
      <c r="B539" s="44">
        <v>31</v>
      </c>
      <c r="C539" s="35">
        <v>194.20500000000001</v>
      </c>
      <c r="D539" s="35">
        <v>267.46600000000001</v>
      </c>
      <c r="E539" s="41">
        <v>812.32899999999995</v>
      </c>
      <c r="F539" s="35">
        <v>1274</v>
      </c>
      <c r="G539" s="35">
        <v>50</v>
      </c>
      <c r="H539" s="43">
        <v>600</v>
      </c>
      <c r="I539" s="35">
        <v>695</v>
      </c>
      <c r="J539" s="35">
        <v>0</v>
      </c>
      <c r="K539" s="36"/>
      <c r="L539" s="36"/>
      <c r="M539" s="36"/>
      <c r="N539" s="36"/>
      <c r="O539" s="36"/>
      <c r="P539" s="36"/>
      <c r="Q539" s="36"/>
      <c r="R539" s="36"/>
      <c r="S539" s="36"/>
      <c r="T539" s="36"/>
    </row>
    <row r="540" spans="1:20" ht="15.75">
      <c r="A540" s="13">
        <v>57953</v>
      </c>
      <c r="B540" s="44">
        <v>31</v>
      </c>
      <c r="C540" s="35">
        <v>194.20500000000001</v>
      </c>
      <c r="D540" s="35">
        <v>267.46600000000001</v>
      </c>
      <c r="E540" s="41">
        <v>812.32899999999995</v>
      </c>
      <c r="F540" s="35">
        <v>1274</v>
      </c>
      <c r="G540" s="35">
        <v>50</v>
      </c>
      <c r="H540" s="43">
        <v>600</v>
      </c>
      <c r="I540" s="35">
        <v>695</v>
      </c>
      <c r="J540" s="35">
        <v>0</v>
      </c>
      <c r="K540" s="36"/>
      <c r="L540" s="36"/>
      <c r="M540" s="36"/>
      <c r="N540" s="36"/>
      <c r="O540" s="36"/>
      <c r="P540" s="36"/>
      <c r="Q540" s="36"/>
      <c r="R540" s="36"/>
      <c r="S540" s="36"/>
      <c r="T540" s="36"/>
    </row>
    <row r="541" spans="1:20" ht="15.75">
      <c r="A541" s="13">
        <v>57983</v>
      </c>
      <c r="B541" s="44">
        <v>30</v>
      </c>
      <c r="C541" s="35">
        <v>194.20500000000001</v>
      </c>
      <c r="D541" s="35">
        <v>267.46600000000001</v>
      </c>
      <c r="E541" s="41">
        <v>812.32899999999995</v>
      </c>
      <c r="F541" s="35">
        <v>1274</v>
      </c>
      <c r="G541" s="35">
        <v>50</v>
      </c>
      <c r="H541" s="43">
        <v>600</v>
      </c>
      <c r="I541" s="35">
        <v>695</v>
      </c>
      <c r="J541" s="35">
        <v>0</v>
      </c>
      <c r="K541" s="36"/>
      <c r="L541" s="36"/>
      <c r="M541" s="36"/>
      <c r="N541" s="36"/>
      <c r="O541" s="36"/>
      <c r="P541" s="36"/>
      <c r="Q541" s="36"/>
      <c r="R541" s="36"/>
      <c r="S541" s="36"/>
      <c r="T541" s="36"/>
    </row>
    <row r="542" spans="1:20" ht="15.75">
      <c r="A542" s="13">
        <v>58014</v>
      </c>
      <c r="B542" s="44">
        <v>31</v>
      </c>
      <c r="C542" s="35">
        <v>131.881</v>
      </c>
      <c r="D542" s="35">
        <v>277.16699999999997</v>
      </c>
      <c r="E542" s="41">
        <v>829.952</v>
      </c>
      <c r="F542" s="35">
        <v>1239</v>
      </c>
      <c r="G542" s="35">
        <v>75</v>
      </c>
      <c r="H542" s="43">
        <v>600</v>
      </c>
      <c r="I542" s="35">
        <v>695</v>
      </c>
      <c r="J542" s="35">
        <v>0</v>
      </c>
      <c r="K542" s="36"/>
      <c r="L542" s="36"/>
      <c r="M542" s="36"/>
      <c r="N542" s="36"/>
      <c r="O542" s="36"/>
      <c r="P542" s="36"/>
      <c r="Q542" s="36"/>
      <c r="R542" s="36"/>
      <c r="S542" s="36"/>
      <c r="T542" s="36"/>
    </row>
    <row r="543" spans="1:20" ht="15.75">
      <c r="A543" s="13">
        <v>58044</v>
      </c>
      <c r="B543" s="44">
        <v>30</v>
      </c>
      <c r="C543" s="35">
        <v>122.58</v>
      </c>
      <c r="D543" s="35">
        <v>297.94099999999997</v>
      </c>
      <c r="E543" s="41">
        <v>729.47900000000004</v>
      </c>
      <c r="F543" s="35">
        <v>1150</v>
      </c>
      <c r="G543" s="35">
        <v>100</v>
      </c>
      <c r="H543" s="43">
        <v>600</v>
      </c>
      <c r="I543" s="35">
        <v>695</v>
      </c>
      <c r="J543" s="35">
        <v>50</v>
      </c>
      <c r="K543" s="36"/>
      <c r="L543" s="36"/>
      <c r="M543" s="36"/>
      <c r="N543" s="36"/>
      <c r="O543" s="36"/>
      <c r="P543" s="36"/>
      <c r="Q543" s="36"/>
      <c r="R543" s="36"/>
      <c r="S543" s="36"/>
      <c r="T543" s="36"/>
    </row>
    <row r="544" spans="1:20" ht="15.75">
      <c r="A544" s="13">
        <v>58075</v>
      </c>
      <c r="B544" s="44">
        <v>31</v>
      </c>
      <c r="C544" s="35">
        <v>122.58</v>
      </c>
      <c r="D544" s="35">
        <v>297.94099999999997</v>
      </c>
      <c r="E544" s="41">
        <v>729.47900000000004</v>
      </c>
      <c r="F544" s="35">
        <v>1150</v>
      </c>
      <c r="G544" s="35">
        <v>100</v>
      </c>
      <c r="H544" s="43">
        <v>600</v>
      </c>
      <c r="I544" s="35">
        <v>695</v>
      </c>
      <c r="J544" s="35">
        <v>50</v>
      </c>
      <c r="K544" s="36"/>
      <c r="L544" s="36"/>
      <c r="M544" s="36"/>
      <c r="N544" s="36"/>
      <c r="O544" s="36"/>
      <c r="P544" s="36"/>
      <c r="Q544" s="36"/>
      <c r="R544" s="36"/>
      <c r="S544" s="36"/>
      <c r="T544" s="36"/>
    </row>
    <row r="545" spans="1:20" ht="15.75">
      <c r="A545" s="13">
        <v>58106</v>
      </c>
      <c r="B545" s="44">
        <v>31</v>
      </c>
      <c r="C545" s="35">
        <v>122.58</v>
      </c>
      <c r="D545" s="35">
        <v>297.94099999999997</v>
      </c>
      <c r="E545" s="41">
        <v>729.47900000000004</v>
      </c>
      <c r="F545" s="35">
        <v>1150</v>
      </c>
      <c r="G545" s="35">
        <v>100</v>
      </c>
      <c r="H545" s="43">
        <v>600</v>
      </c>
      <c r="I545" s="35">
        <v>695</v>
      </c>
      <c r="J545" s="35">
        <v>50</v>
      </c>
      <c r="K545" s="36"/>
      <c r="L545" s="36"/>
      <c r="M545" s="36"/>
      <c r="N545" s="36"/>
      <c r="O545" s="36"/>
      <c r="P545" s="36"/>
      <c r="Q545" s="36"/>
      <c r="R545" s="36"/>
      <c r="S545" s="36"/>
      <c r="T545" s="36"/>
    </row>
    <row r="546" spans="1:20" ht="15.75">
      <c r="A546" s="13">
        <v>58134</v>
      </c>
      <c r="B546" s="44">
        <v>28</v>
      </c>
      <c r="C546" s="35">
        <v>122.58</v>
      </c>
      <c r="D546" s="35">
        <v>297.94099999999997</v>
      </c>
      <c r="E546" s="41">
        <v>729.47900000000004</v>
      </c>
      <c r="F546" s="35">
        <v>1150</v>
      </c>
      <c r="G546" s="35">
        <v>100</v>
      </c>
      <c r="H546" s="43">
        <v>600</v>
      </c>
      <c r="I546" s="35">
        <v>695</v>
      </c>
      <c r="J546" s="35">
        <v>50</v>
      </c>
      <c r="K546" s="36"/>
      <c r="L546" s="36"/>
      <c r="M546" s="36"/>
      <c r="N546" s="36"/>
      <c r="O546" s="36"/>
      <c r="P546" s="36"/>
      <c r="Q546" s="36"/>
      <c r="R546" s="36"/>
      <c r="S546" s="36"/>
      <c r="T546" s="36"/>
    </row>
    <row r="547" spans="1:20" ht="15.75">
      <c r="A547" s="13">
        <v>58165</v>
      </c>
      <c r="B547" s="44">
        <v>31</v>
      </c>
      <c r="C547" s="35">
        <v>122.58</v>
      </c>
      <c r="D547" s="35">
        <v>297.94099999999997</v>
      </c>
      <c r="E547" s="41">
        <v>729.47900000000004</v>
      </c>
      <c r="F547" s="35">
        <v>1150</v>
      </c>
      <c r="G547" s="35">
        <v>100</v>
      </c>
      <c r="H547" s="43">
        <v>600</v>
      </c>
      <c r="I547" s="35">
        <v>695</v>
      </c>
      <c r="J547" s="35">
        <v>50</v>
      </c>
      <c r="K547" s="36"/>
      <c r="L547" s="36"/>
      <c r="M547" s="36"/>
      <c r="N547" s="36"/>
      <c r="O547" s="36"/>
      <c r="P547" s="36"/>
      <c r="Q547" s="36"/>
      <c r="R547" s="36"/>
      <c r="S547" s="36"/>
      <c r="T547" s="36"/>
    </row>
    <row r="548" spans="1:20" ht="15.75">
      <c r="A548" s="13">
        <v>58195</v>
      </c>
      <c r="B548" s="44">
        <v>30</v>
      </c>
      <c r="C548" s="35">
        <v>141.29300000000001</v>
      </c>
      <c r="D548" s="35">
        <v>267.99299999999999</v>
      </c>
      <c r="E548" s="41">
        <v>829.71400000000006</v>
      </c>
      <c r="F548" s="35">
        <v>1239</v>
      </c>
      <c r="G548" s="35">
        <v>100</v>
      </c>
      <c r="H548" s="43">
        <v>600</v>
      </c>
      <c r="I548" s="35">
        <v>695</v>
      </c>
      <c r="J548" s="35">
        <v>50</v>
      </c>
      <c r="K548" s="36"/>
      <c r="L548" s="36"/>
      <c r="M548" s="36"/>
      <c r="N548" s="36"/>
      <c r="O548" s="36"/>
      <c r="P548" s="36"/>
      <c r="Q548" s="36"/>
      <c r="R548" s="36"/>
      <c r="S548" s="36"/>
      <c r="T548" s="36"/>
    </row>
    <row r="549" spans="1:20" ht="15.75">
      <c r="A549" s="13">
        <v>58226</v>
      </c>
      <c r="B549" s="44">
        <v>31</v>
      </c>
      <c r="C549" s="35">
        <v>194.20500000000001</v>
      </c>
      <c r="D549" s="35">
        <v>267.46600000000001</v>
      </c>
      <c r="E549" s="41">
        <v>812.32899999999995</v>
      </c>
      <c r="F549" s="35">
        <v>1274</v>
      </c>
      <c r="G549" s="35">
        <v>75</v>
      </c>
      <c r="H549" s="43">
        <v>600</v>
      </c>
      <c r="I549" s="35">
        <v>695</v>
      </c>
      <c r="J549" s="35">
        <v>50</v>
      </c>
      <c r="K549" s="36"/>
      <c r="L549" s="36"/>
      <c r="M549" s="36"/>
      <c r="N549" s="36"/>
      <c r="O549" s="36"/>
      <c r="P549" s="36"/>
      <c r="Q549" s="36"/>
      <c r="R549" s="36"/>
      <c r="S549" s="36"/>
      <c r="T549" s="36"/>
    </row>
    <row r="550" spans="1:20" ht="15.75">
      <c r="A550" s="13">
        <v>58256</v>
      </c>
      <c r="B550" s="44">
        <v>30</v>
      </c>
      <c r="C550" s="35">
        <v>194.20500000000001</v>
      </c>
      <c r="D550" s="35">
        <v>267.46600000000001</v>
      </c>
      <c r="E550" s="41">
        <v>812.32899999999995</v>
      </c>
      <c r="F550" s="35">
        <v>1274</v>
      </c>
      <c r="G550" s="35">
        <v>50</v>
      </c>
      <c r="H550" s="43">
        <v>600</v>
      </c>
      <c r="I550" s="35">
        <v>695</v>
      </c>
      <c r="J550" s="35">
        <v>50</v>
      </c>
      <c r="K550" s="36"/>
      <c r="L550" s="36"/>
      <c r="M550" s="36"/>
      <c r="N550" s="36"/>
      <c r="O550" s="36"/>
      <c r="P550" s="36"/>
      <c r="Q550" s="36"/>
      <c r="R550" s="36"/>
      <c r="S550" s="36"/>
      <c r="T550" s="36"/>
    </row>
    <row r="551" spans="1:20" ht="15.75">
      <c r="A551" s="13">
        <v>58287</v>
      </c>
      <c r="B551" s="44">
        <v>31</v>
      </c>
      <c r="C551" s="35">
        <v>194.20500000000001</v>
      </c>
      <c r="D551" s="35">
        <v>267.46600000000001</v>
      </c>
      <c r="E551" s="41">
        <v>812.32899999999995</v>
      </c>
      <c r="F551" s="35">
        <v>1274</v>
      </c>
      <c r="G551" s="35">
        <v>50</v>
      </c>
      <c r="H551" s="43">
        <v>600</v>
      </c>
      <c r="I551" s="35">
        <v>695</v>
      </c>
      <c r="J551" s="35">
        <v>0</v>
      </c>
      <c r="K551" s="36"/>
      <c r="L551" s="36"/>
      <c r="M551" s="36"/>
      <c r="N551" s="36"/>
      <c r="O551" s="36"/>
      <c r="P551" s="36"/>
      <c r="Q551" s="36"/>
      <c r="R551" s="36"/>
      <c r="S551" s="36"/>
      <c r="T551" s="36"/>
    </row>
    <row r="552" spans="1:20" ht="15.75">
      <c r="A552" s="13">
        <v>58318</v>
      </c>
      <c r="B552" s="44">
        <v>31</v>
      </c>
      <c r="C552" s="35">
        <v>194.20500000000001</v>
      </c>
      <c r="D552" s="35">
        <v>267.46600000000001</v>
      </c>
      <c r="E552" s="41">
        <v>812.32899999999995</v>
      </c>
      <c r="F552" s="35">
        <v>1274</v>
      </c>
      <c r="G552" s="35">
        <v>50</v>
      </c>
      <c r="H552" s="43">
        <v>600</v>
      </c>
      <c r="I552" s="35">
        <v>695</v>
      </c>
      <c r="J552" s="35">
        <v>0</v>
      </c>
      <c r="K552" s="36"/>
      <c r="L552" s="36"/>
      <c r="M552" s="36"/>
      <c r="N552" s="36"/>
      <c r="O552" s="36"/>
      <c r="P552" s="36"/>
      <c r="Q552" s="36"/>
      <c r="R552" s="36"/>
      <c r="S552" s="36"/>
      <c r="T552" s="36"/>
    </row>
    <row r="553" spans="1:20" ht="15.75">
      <c r="A553" s="13">
        <v>58348</v>
      </c>
      <c r="B553" s="44">
        <v>30</v>
      </c>
      <c r="C553" s="35">
        <v>194.20500000000001</v>
      </c>
      <c r="D553" s="35">
        <v>267.46600000000001</v>
      </c>
      <c r="E553" s="41">
        <v>812.32899999999995</v>
      </c>
      <c r="F553" s="35">
        <v>1274</v>
      </c>
      <c r="G553" s="35">
        <v>50</v>
      </c>
      <c r="H553" s="43">
        <v>600</v>
      </c>
      <c r="I553" s="35">
        <v>695</v>
      </c>
      <c r="J553" s="35">
        <v>0</v>
      </c>
      <c r="K553" s="36"/>
      <c r="L553" s="36"/>
      <c r="M553" s="36"/>
      <c r="N553" s="36"/>
      <c r="O553" s="36"/>
      <c r="P553" s="36"/>
      <c r="Q553" s="36"/>
      <c r="R553" s="36"/>
      <c r="S553" s="36"/>
      <c r="T553" s="36"/>
    </row>
    <row r="554" spans="1:20" ht="15.75">
      <c r="A554" s="13">
        <v>58379</v>
      </c>
      <c r="B554" s="44">
        <v>31</v>
      </c>
      <c r="C554" s="35">
        <v>131.881</v>
      </c>
      <c r="D554" s="35">
        <v>277.16699999999997</v>
      </c>
      <c r="E554" s="41">
        <v>829.952</v>
      </c>
      <c r="F554" s="35">
        <v>1239</v>
      </c>
      <c r="G554" s="35">
        <v>75</v>
      </c>
      <c r="H554" s="43">
        <v>600</v>
      </c>
      <c r="I554" s="35">
        <v>695</v>
      </c>
      <c r="J554" s="35">
        <v>0</v>
      </c>
      <c r="K554" s="36"/>
      <c r="L554" s="36"/>
      <c r="M554" s="36"/>
      <c r="N554" s="36"/>
      <c r="O554" s="36"/>
      <c r="P554" s="36"/>
      <c r="Q554" s="36"/>
      <c r="R554" s="36"/>
      <c r="S554" s="36"/>
      <c r="T554" s="36"/>
    </row>
    <row r="555" spans="1:20" ht="15.75">
      <c r="A555" s="13">
        <v>58409</v>
      </c>
      <c r="B555" s="44">
        <v>30</v>
      </c>
      <c r="C555" s="35">
        <v>122.58</v>
      </c>
      <c r="D555" s="35">
        <v>297.94099999999997</v>
      </c>
      <c r="E555" s="41">
        <v>729.47900000000004</v>
      </c>
      <c r="F555" s="35">
        <v>1150</v>
      </c>
      <c r="G555" s="35">
        <v>100</v>
      </c>
      <c r="H555" s="43">
        <v>600</v>
      </c>
      <c r="I555" s="35">
        <v>695</v>
      </c>
      <c r="J555" s="35">
        <v>50</v>
      </c>
      <c r="K555" s="36"/>
      <c r="L555" s="36"/>
      <c r="M555" s="36"/>
      <c r="N555" s="36"/>
      <c r="O555" s="36"/>
      <c r="P555" s="36"/>
      <c r="Q555" s="36"/>
      <c r="R555" s="36"/>
      <c r="S555" s="36"/>
      <c r="T555" s="36"/>
    </row>
    <row r="556" spans="1:20" ht="15.75">
      <c r="A556" s="13">
        <v>58440</v>
      </c>
      <c r="B556" s="44">
        <v>31</v>
      </c>
      <c r="C556" s="35">
        <v>122.58</v>
      </c>
      <c r="D556" s="35">
        <v>297.94099999999997</v>
      </c>
      <c r="E556" s="41">
        <v>729.47900000000004</v>
      </c>
      <c r="F556" s="35">
        <v>1150</v>
      </c>
      <c r="G556" s="35">
        <v>100</v>
      </c>
      <c r="H556" s="43">
        <v>600</v>
      </c>
      <c r="I556" s="35">
        <v>695</v>
      </c>
      <c r="J556" s="35">
        <v>50</v>
      </c>
      <c r="K556" s="36"/>
      <c r="L556" s="36"/>
      <c r="M556" s="36"/>
      <c r="N556" s="36"/>
      <c r="O556" s="36"/>
      <c r="P556" s="36"/>
      <c r="Q556" s="36"/>
      <c r="R556" s="36"/>
      <c r="S556" s="36"/>
      <c r="T556" s="36"/>
    </row>
    <row r="557" spans="1:20" ht="15.75">
      <c r="A557" s="13">
        <v>58471</v>
      </c>
      <c r="B557" s="44">
        <v>31</v>
      </c>
      <c r="C557" s="35">
        <v>122.58</v>
      </c>
      <c r="D557" s="35">
        <v>297.94099999999997</v>
      </c>
      <c r="E557" s="41">
        <v>729.47900000000004</v>
      </c>
      <c r="F557" s="35">
        <v>1150</v>
      </c>
      <c r="G557" s="35">
        <v>100</v>
      </c>
      <c r="H557" s="43">
        <v>600</v>
      </c>
      <c r="I557" s="35">
        <v>695</v>
      </c>
      <c r="J557" s="35">
        <v>50</v>
      </c>
      <c r="K557" s="36"/>
      <c r="L557" s="36"/>
      <c r="M557" s="36"/>
      <c r="N557" s="36"/>
      <c r="O557" s="36"/>
      <c r="P557" s="36"/>
      <c r="Q557" s="36"/>
      <c r="R557" s="36"/>
      <c r="S557" s="36"/>
      <c r="T557" s="36"/>
    </row>
    <row r="558" spans="1:20" ht="15.75">
      <c r="A558" s="13">
        <v>58499</v>
      </c>
      <c r="B558" s="44">
        <v>29</v>
      </c>
      <c r="C558" s="35">
        <v>122.58</v>
      </c>
      <c r="D558" s="35">
        <v>297.94099999999997</v>
      </c>
      <c r="E558" s="41">
        <v>729.47900000000004</v>
      </c>
      <c r="F558" s="35">
        <v>1150</v>
      </c>
      <c r="G558" s="35">
        <v>100</v>
      </c>
      <c r="H558" s="43">
        <v>600</v>
      </c>
      <c r="I558" s="35">
        <v>695</v>
      </c>
      <c r="J558" s="35">
        <v>50</v>
      </c>
      <c r="K558" s="36"/>
      <c r="L558" s="36"/>
      <c r="M558" s="36"/>
      <c r="N558" s="36"/>
      <c r="O558" s="36"/>
      <c r="P558" s="36"/>
      <c r="Q558" s="36"/>
      <c r="R558" s="36"/>
      <c r="S558" s="36"/>
      <c r="T558" s="36"/>
    </row>
    <row r="559" spans="1:20" ht="15.75">
      <c r="A559" s="13">
        <v>58531</v>
      </c>
      <c r="B559" s="44">
        <v>31</v>
      </c>
      <c r="C559" s="35">
        <v>122.58</v>
      </c>
      <c r="D559" s="35">
        <v>297.94099999999997</v>
      </c>
      <c r="E559" s="41">
        <v>729.47900000000004</v>
      </c>
      <c r="F559" s="35">
        <v>1150</v>
      </c>
      <c r="G559" s="35">
        <v>100</v>
      </c>
      <c r="H559" s="43">
        <v>600</v>
      </c>
      <c r="I559" s="35">
        <v>695</v>
      </c>
      <c r="J559" s="35">
        <v>50</v>
      </c>
      <c r="K559" s="36"/>
      <c r="L559" s="36"/>
      <c r="M559" s="36"/>
      <c r="N559" s="36"/>
      <c r="O559" s="36"/>
      <c r="P559" s="36"/>
      <c r="Q559" s="36"/>
      <c r="R559" s="36"/>
      <c r="S559" s="36"/>
      <c r="T559" s="36"/>
    </row>
    <row r="560" spans="1:20" ht="15.75">
      <c r="A560" s="13">
        <v>58561</v>
      </c>
      <c r="B560" s="44">
        <v>30</v>
      </c>
      <c r="C560" s="35">
        <v>141.29300000000001</v>
      </c>
      <c r="D560" s="35">
        <v>267.99299999999999</v>
      </c>
      <c r="E560" s="41">
        <v>829.71400000000006</v>
      </c>
      <c r="F560" s="35">
        <v>1239</v>
      </c>
      <c r="G560" s="35">
        <v>100</v>
      </c>
      <c r="H560" s="43">
        <v>600</v>
      </c>
      <c r="I560" s="35">
        <v>695</v>
      </c>
      <c r="J560" s="35">
        <v>50</v>
      </c>
      <c r="K560" s="36"/>
      <c r="L560" s="36"/>
      <c r="M560" s="36"/>
      <c r="N560" s="36"/>
      <c r="O560" s="36"/>
      <c r="P560" s="36"/>
      <c r="Q560" s="36"/>
      <c r="R560" s="36"/>
      <c r="S560" s="36"/>
      <c r="T560" s="36"/>
    </row>
    <row r="561" spans="1:20" ht="15.75">
      <c r="A561" s="13">
        <v>58592</v>
      </c>
      <c r="B561" s="44">
        <v>31</v>
      </c>
      <c r="C561" s="35">
        <v>194.20500000000001</v>
      </c>
      <c r="D561" s="35">
        <v>267.46600000000001</v>
      </c>
      <c r="E561" s="41">
        <v>812.32899999999995</v>
      </c>
      <c r="F561" s="35">
        <v>1274</v>
      </c>
      <c r="G561" s="35">
        <v>75</v>
      </c>
      <c r="H561" s="43">
        <v>600</v>
      </c>
      <c r="I561" s="35">
        <v>695</v>
      </c>
      <c r="J561" s="35">
        <v>50</v>
      </c>
      <c r="K561" s="36"/>
      <c r="L561" s="36"/>
      <c r="M561" s="36"/>
      <c r="N561" s="36"/>
      <c r="O561" s="36"/>
      <c r="P561" s="36"/>
      <c r="Q561" s="36"/>
      <c r="R561" s="36"/>
      <c r="S561" s="36"/>
      <c r="T561" s="36"/>
    </row>
    <row r="562" spans="1:20" ht="15.75">
      <c r="A562" s="13">
        <v>58622</v>
      </c>
      <c r="B562" s="44">
        <v>30</v>
      </c>
      <c r="C562" s="35">
        <v>194.20500000000001</v>
      </c>
      <c r="D562" s="35">
        <v>267.46600000000001</v>
      </c>
      <c r="E562" s="41">
        <v>812.32899999999995</v>
      </c>
      <c r="F562" s="35">
        <v>1274</v>
      </c>
      <c r="G562" s="35">
        <v>50</v>
      </c>
      <c r="H562" s="43">
        <v>600</v>
      </c>
      <c r="I562" s="35">
        <v>695</v>
      </c>
      <c r="J562" s="35">
        <v>50</v>
      </c>
      <c r="K562" s="36"/>
      <c r="L562" s="36"/>
      <c r="M562" s="36"/>
      <c r="N562" s="36"/>
      <c r="O562" s="36"/>
      <c r="P562" s="36"/>
      <c r="Q562" s="36"/>
      <c r="R562" s="36"/>
      <c r="S562" s="36"/>
      <c r="T562" s="36"/>
    </row>
    <row r="563" spans="1:20" ht="15.75">
      <c r="A563" s="13">
        <v>58653</v>
      </c>
      <c r="B563" s="44">
        <v>31</v>
      </c>
      <c r="C563" s="35">
        <v>194.20500000000001</v>
      </c>
      <c r="D563" s="35">
        <v>267.46600000000001</v>
      </c>
      <c r="E563" s="41">
        <v>812.32899999999995</v>
      </c>
      <c r="F563" s="35">
        <v>1274</v>
      </c>
      <c r="G563" s="35">
        <v>50</v>
      </c>
      <c r="H563" s="43">
        <v>600</v>
      </c>
      <c r="I563" s="35">
        <v>695</v>
      </c>
      <c r="J563" s="35">
        <v>0</v>
      </c>
      <c r="K563" s="36"/>
      <c r="L563" s="36"/>
      <c r="M563" s="36"/>
      <c r="N563" s="36"/>
      <c r="O563" s="36"/>
      <c r="P563" s="36"/>
      <c r="Q563" s="36"/>
      <c r="R563" s="36"/>
      <c r="S563" s="36"/>
      <c r="T563" s="36"/>
    </row>
    <row r="564" spans="1:20" ht="15.75">
      <c r="A564" s="13">
        <v>58684</v>
      </c>
      <c r="B564" s="44">
        <v>31</v>
      </c>
      <c r="C564" s="35">
        <v>194.20500000000001</v>
      </c>
      <c r="D564" s="35">
        <v>267.46600000000001</v>
      </c>
      <c r="E564" s="41">
        <v>812.32899999999995</v>
      </c>
      <c r="F564" s="35">
        <v>1274</v>
      </c>
      <c r="G564" s="35">
        <v>50</v>
      </c>
      <c r="H564" s="43">
        <v>600</v>
      </c>
      <c r="I564" s="35">
        <v>695</v>
      </c>
      <c r="J564" s="35">
        <v>0</v>
      </c>
      <c r="K564" s="36"/>
      <c r="L564" s="36"/>
      <c r="M564" s="36"/>
      <c r="N564" s="36"/>
      <c r="O564" s="36"/>
      <c r="P564" s="36"/>
      <c r="Q564" s="36"/>
      <c r="R564" s="36"/>
      <c r="S564" s="36"/>
      <c r="T564" s="36"/>
    </row>
    <row r="565" spans="1:20" ht="15.75">
      <c r="A565" s="13">
        <v>58714</v>
      </c>
      <c r="B565" s="44">
        <v>30</v>
      </c>
      <c r="C565" s="35">
        <v>194.20500000000001</v>
      </c>
      <c r="D565" s="35">
        <v>267.46600000000001</v>
      </c>
      <c r="E565" s="41">
        <v>812.32899999999995</v>
      </c>
      <c r="F565" s="35">
        <v>1274</v>
      </c>
      <c r="G565" s="35">
        <v>50</v>
      </c>
      <c r="H565" s="43">
        <v>600</v>
      </c>
      <c r="I565" s="35">
        <v>695</v>
      </c>
      <c r="J565" s="35">
        <v>0</v>
      </c>
      <c r="K565" s="36"/>
      <c r="L565" s="36"/>
      <c r="M565" s="36"/>
      <c r="N565" s="36"/>
      <c r="O565" s="36"/>
      <c r="P565" s="36"/>
      <c r="Q565" s="36"/>
      <c r="R565" s="36"/>
      <c r="S565" s="36"/>
      <c r="T565" s="36"/>
    </row>
    <row r="566" spans="1:20" ht="15.75">
      <c r="A566" s="13">
        <v>58745</v>
      </c>
      <c r="B566" s="44">
        <v>31</v>
      </c>
      <c r="C566" s="35">
        <v>131.881</v>
      </c>
      <c r="D566" s="35">
        <v>277.16699999999997</v>
      </c>
      <c r="E566" s="41">
        <v>829.952</v>
      </c>
      <c r="F566" s="35">
        <v>1239</v>
      </c>
      <c r="G566" s="35">
        <v>75</v>
      </c>
      <c r="H566" s="43">
        <v>600</v>
      </c>
      <c r="I566" s="35">
        <v>695</v>
      </c>
      <c r="J566" s="35">
        <v>0</v>
      </c>
      <c r="K566" s="36"/>
      <c r="L566" s="36"/>
      <c r="M566" s="36"/>
      <c r="N566" s="36"/>
      <c r="O566" s="36"/>
      <c r="P566" s="36"/>
      <c r="Q566" s="36"/>
      <c r="R566" s="36"/>
      <c r="S566" s="36"/>
      <c r="T566" s="36"/>
    </row>
    <row r="567" spans="1:20" ht="15.75">
      <c r="A567" s="13">
        <v>58775</v>
      </c>
      <c r="B567" s="44">
        <v>30</v>
      </c>
      <c r="C567" s="35">
        <v>122.58</v>
      </c>
      <c r="D567" s="35">
        <v>297.94099999999997</v>
      </c>
      <c r="E567" s="41">
        <v>729.47900000000004</v>
      </c>
      <c r="F567" s="35">
        <v>1150</v>
      </c>
      <c r="G567" s="35">
        <v>100</v>
      </c>
      <c r="H567" s="43">
        <v>600</v>
      </c>
      <c r="I567" s="35">
        <v>695</v>
      </c>
      <c r="J567" s="35">
        <v>50</v>
      </c>
      <c r="K567" s="36"/>
      <c r="L567" s="36"/>
      <c r="M567" s="36"/>
      <c r="N567" s="36"/>
      <c r="O567" s="36"/>
      <c r="P567" s="36"/>
      <c r="Q567" s="36"/>
      <c r="R567" s="36"/>
      <c r="S567" s="36"/>
      <c r="T567" s="36"/>
    </row>
    <row r="568" spans="1:20" ht="15.75">
      <c r="A568" s="13">
        <v>58806</v>
      </c>
      <c r="B568" s="44">
        <v>31</v>
      </c>
      <c r="C568" s="35">
        <v>122.58</v>
      </c>
      <c r="D568" s="35">
        <v>297.94099999999997</v>
      </c>
      <c r="E568" s="41">
        <v>729.47900000000004</v>
      </c>
      <c r="F568" s="35">
        <v>1150</v>
      </c>
      <c r="G568" s="35">
        <v>100</v>
      </c>
      <c r="H568" s="43">
        <v>600</v>
      </c>
      <c r="I568" s="35">
        <v>695</v>
      </c>
      <c r="J568" s="35">
        <v>50</v>
      </c>
      <c r="K568" s="36"/>
      <c r="L568" s="36"/>
      <c r="M568" s="36"/>
      <c r="N568" s="36"/>
      <c r="O568" s="36"/>
      <c r="P568" s="36"/>
      <c r="Q568" s="36"/>
      <c r="R568" s="36"/>
      <c r="S568" s="36"/>
      <c r="T568" s="36"/>
    </row>
    <row r="569" spans="1:20" ht="15.75">
      <c r="A569" s="13">
        <v>58837</v>
      </c>
      <c r="B569" s="44">
        <v>31</v>
      </c>
      <c r="C569" s="35">
        <v>122.58</v>
      </c>
      <c r="D569" s="35">
        <v>297.94099999999997</v>
      </c>
      <c r="E569" s="41">
        <v>729.47900000000004</v>
      </c>
      <c r="F569" s="35">
        <v>1150</v>
      </c>
      <c r="G569" s="35">
        <v>100</v>
      </c>
      <c r="H569" s="43">
        <v>600</v>
      </c>
      <c r="I569" s="35">
        <v>695</v>
      </c>
      <c r="J569" s="35">
        <v>50</v>
      </c>
      <c r="K569" s="36"/>
      <c r="L569" s="36"/>
      <c r="M569" s="36"/>
      <c r="N569" s="36"/>
      <c r="O569" s="36"/>
      <c r="P569" s="36"/>
      <c r="Q569" s="36"/>
      <c r="R569" s="36"/>
      <c r="S569" s="36"/>
      <c r="T569" s="36"/>
    </row>
    <row r="570" spans="1:20" ht="15.75">
      <c r="A570" s="13">
        <v>58865</v>
      </c>
      <c r="B570" s="44">
        <v>28</v>
      </c>
      <c r="C570" s="35">
        <v>122.58</v>
      </c>
      <c r="D570" s="35">
        <v>297.94099999999997</v>
      </c>
      <c r="E570" s="41">
        <v>729.47900000000004</v>
      </c>
      <c r="F570" s="35">
        <v>1150</v>
      </c>
      <c r="G570" s="35">
        <v>100</v>
      </c>
      <c r="H570" s="43">
        <v>600</v>
      </c>
      <c r="I570" s="35">
        <v>695</v>
      </c>
      <c r="J570" s="35">
        <v>50</v>
      </c>
      <c r="K570" s="36"/>
      <c r="L570" s="36"/>
      <c r="M570" s="36"/>
      <c r="N570" s="36"/>
      <c r="O570" s="36"/>
      <c r="P570" s="36"/>
      <c r="Q570" s="36"/>
      <c r="R570" s="36"/>
      <c r="S570" s="36"/>
      <c r="T570" s="36"/>
    </row>
    <row r="571" spans="1:20" ht="15.75">
      <c r="A571" s="13">
        <v>58893</v>
      </c>
      <c r="B571" s="44">
        <v>31</v>
      </c>
      <c r="C571" s="35">
        <v>122.58</v>
      </c>
      <c r="D571" s="35">
        <v>297.94099999999997</v>
      </c>
      <c r="E571" s="41">
        <v>729.47900000000004</v>
      </c>
      <c r="F571" s="35">
        <v>1150</v>
      </c>
      <c r="G571" s="35">
        <v>100</v>
      </c>
      <c r="H571" s="43">
        <v>600</v>
      </c>
      <c r="I571" s="35">
        <v>695</v>
      </c>
      <c r="J571" s="35">
        <v>50</v>
      </c>
      <c r="K571" s="36"/>
      <c r="L571" s="36"/>
      <c r="M571" s="36"/>
      <c r="N571" s="36"/>
      <c r="O571" s="36"/>
      <c r="P571" s="36"/>
      <c r="Q571" s="36"/>
      <c r="R571" s="36"/>
      <c r="S571" s="36"/>
      <c r="T571" s="36"/>
    </row>
    <row r="572" spans="1:20" ht="15.75">
      <c r="A572" s="13">
        <v>58926</v>
      </c>
      <c r="B572" s="44">
        <v>30</v>
      </c>
      <c r="C572" s="35">
        <v>141.29300000000001</v>
      </c>
      <c r="D572" s="35">
        <v>267.99299999999999</v>
      </c>
      <c r="E572" s="41">
        <v>829.71400000000006</v>
      </c>
      <c r="F572" s="35">
        <v>1239</v>
      </c>
      <c r="G572" s="35">
        <v>100</v>
      </c>
      <c r="H572" s="43">
        <v>600</v>
      </c>
      <c r="I572" s="35">
        <v>695</v>
      </c>
      <c r="J572" s="35">
        <v>50</v>
      </c>
      <c r="K572" s="36"/>
      <c r="L572" s="36"/>
      <c r="M572" s="36"/>
      <c r="N572" s="36"/>
      <c r="O572" s="36"/>
      <c r="P572" s="36"/>
      <c r="Q572" s="36"/>
      <c r="R572" s="36"/>
      <c r="S572" s="36"/>
      <c r="T572" s="36"/>
    </row>
    <row r="573" spans="1:20" ht="15.75">
      <c r="A573" s="13">
        <v>58957</v>
      </c>
      <c r="B573" s="44">
        <v>31</v>
      </c>
      <c r="C573" s="35">
        <v>194.20500000000001</v>
      </c>
      <c r="D573" s="35">
        <v>267.46600000000001</v>
      </c>
      <c r="E573" s="41">
        <v>812.32899999999995</v>
      </c>
      <c r="F573" s="35">
        <v>1274</v>
      </c>
      <c r="G573" s="35">
        <v>75</v>
      </c>
      <c r="H573" s="43">
        <v>600</v>
      </c>
      <c r="I573" s="35">
        <v>695</v>
      </c>
      <c r="J573" s="35">
        <v>50</v>
      </c>
      <c r="K573" s="36"/>
      <c r="L573" s="36"/>
      <c r="M573" s="36"/>
      <c r="N573" s="36"/>
      <c r="O573" s="36"/>
      <c r="P573" s="36"/>
      <c r="Q573" s="36"/>
      <c r="R573" s="36"/>
      <c r="S573" s="36"/>
      <c r="T573" s="36"/>
    </row>
    <row r="574" spans="1:20" ht="15.75">
      <c r="A574" s="13">
        <v>58987</v>
      </c>
      <c r="B574" s="44">
        <v>30</v>
      </c>
      <c r="C574" s="35">
        <v>194.20500000000001</v>
      </c>
      <c r="D574" s="35">
        <v>267.46600000000001</v>
      </c>
      <c r="E574" s="41">
        <v>812.32899999999995</v>
      </c>
      <c r="F574" s="35">
        <v>1274</v>
      </c>
      <c r="G574" s="35">
        <v>50</v>
      </c>
      <c r="H574" s="43">
        <v>600</v>
      </c>
      <c r="I574" s="35">
        <v>695</v>
      </c>
      <c r="J574" s="35">
        <v>50</v>
      </c>
      <c r="K574" s="36"/>
      <c r="L574" s="36"/>
      <c r="M574" s="36"/>
      <c r="N574" s="36"/>
      <c r="O574" s="36"/>
      <c r="P574" s="36"/>
      <c r="Q574" s="36"/>
      <c r="R574" s="36"/>
      <c r="S574" s="36"/>
      <c r="T574" s="36"/>
    </row>
    <row r="575" spans="1:20" ht="15.75">
      <c r="A575" s="13">
        <v>59018</v>
      </c>
      <c r="B575" s="44">
        <v>31</v>
      </c>
      <c r="C575" s="35">
        <v>194.20500000000001</v>
      </c>
      <c r="D575" s="35">
        <v>267.46600000000001</v>
      </c>
      <c r="E575" s="41">
        <v>812.32899999999995</v>
      </c>
      <c r="F575" s="35">
        <v>1274</v>
      </c>
      <c r="G575" s="35">
        <v>50</v>
      </c>
      <c r="H575" s="43">
        <v>600</v>
      </c>
      <c r="I575" s="35">
        <v>695</v>
      </c>
      <c r="J575" s="35">
        <v>0</v>
      </c>
      <c r="K575" s="36"/>
      <c r="L575" s="36"/>
      <c r="M575" s="36"/>
      <c r="N575" s="36"/>
      <c r="O575" s="36"/>
      <c r="P575" s="36"/>
      <c r="Q575" s="36"/>
      <c r="R575" s="36"/>
      <c r="S575" s="36"/>
      <c r="T575" s="36"/>
    </row>
    <row r="576" spans="1:20" ht="15.75">
      <c r="A576" s="13">
        <v>59049</v>
      </c>
      <c r="B576" s="44">
        <v>31</v>
      </c>
      <c r="C576" s="35">
        <v>194.20500000000001</v>
      </c>
      <c r="D576" s="35">
        <v>267.46600000000001</v>
      </c>
      <c r="E576" s="41">
        <v>812.32899999999995</v>
      </c>
      <c r="F576" s="35">
        <v>1274</v>
      </c>
      <c r="G576" s="35">
        <v>50</v>
      </c>
      <c r="H576" s="43">
        <v>600</v>
      </c>
      <c r="I576" s="35">
        <v>695</v>
      </c>
      <c r="J576" s="35">
        <v>0</v>
      </c>
      <c r="K576" s="36"/>
      <c r="L576" s="36"/>
      <c r="M576" s="36"/>
      <c r="N576" s="36"/>
      <c r="O576" s="36"/>
      <c r="P576" s="36"/>
      <c r="Q576" s="36"/>
      <c r="R576" s="36"/>
      <c r="S576" s="36"/>
      <c r="T576" s="36"/>
    </row>
    <row r="577" spans="1:20" ht="15.75">
      <c r="A577" s="13">
        <v>59079</v>
      </c>
      <c r="B577" s="44">
        <v>30</v>
      </c>
      <c r="C577" s="35">
        <v>194.20500000000001</v>
      </c>
      <c r="D577" s="35">
        <v>267.46600000000001</v>
      </c>
      <c r="E577" s="41">
        <v>812.32899999999995</v>
      </c>
      <c r="F577" s="35">
        <v>1274</v>
      </c>
      <c r="G577" s="35">
        <v>50</v>
      </c>
      <c r="H577" s="43">
        <v>600</v>
      </c>
      <c r="I577" s="35">
        <v>695</v>
      </c>
      <c r="J577" s="35">
        <v>0</v>
      </c>
      <c r="K577" s="36"/>
      <c r="L577" s="36"/>
      <c r="M577" s="36"/>
      <c r="N577" s="36"/>
      <c r="O577" s="36"/>
      <c r="P577" s="36"/>
      <c r="Q577" s="36"/>
      <c r="R577" s="36"/>
      <c r="S577" s="36"/>
      <c r="T577" s="36"/>
    </row>
    <row r="578" spans="1:20" ht="15.75">
      <c r="A578" s="13">
        <v>59110</v>
      </c>
      <c r="B578" s="44">
        <v>31</v>
      </c>
      <c r="C578" s="35">
        <v>131.881</v>
      </c>
      <c r="D578" s="35">
        <v>277.16699999999997</v>
      </c>
      <c r="E578" s="41">
        <v>829.952</v>
      </c>
      <c r="F578" s="35">
        <v>1239</v>
      </c>
      <c r="G578" s="35">
        <v>75</v>
      </c>
      <c r="H578" s="43">
        <v>600</v>
      </c>
      <c r="I578" s="35">
        <v>695</v>
      </c>
      <c r="J578" s="35">
        <v>0</v>
      </c>
      <c r="K578" s="36"/>
      <c r="L578" s="36"/>
      <c r="M578" s="36"/>
      <c r="N578" s="36"/>
      <c r="O578" s="36"/>
      <c r="P578" s="36"/>
      <c r="Q578" s="36"/>
      <c r="R578" s="36"/>
      <c r="S578" s="36"/>
      <c r="T578" s="36"/>
    </row>
    <row r="579" spans="1:20" ht="15.75">
      <c r="A579" s="13">
        <v>59140</v>
      </c>
      <c r="B579" s="44">
        <v>30</v>
      </c>
      <c r="C579" s="35">
        <v>122.58</v>
      </c>
      <c r="D579" s="35">
        <v>297.94099999999997</v>
      </c>
      <c r="E579" s="41">
        <v>729.47900000000004</v>
      </c>
      <c r="F579" s="35">
        <v>1150</v>
      </c>
      <c r="G579" s="35">
        <v>100</v>
      </c>
      <c r="H579" s="43">
        <v>600</v>
      </c>
      <c r="I579" s="35">
        <v>695</v>
      </c>
      <c r="J579" s="35">
        <v>50</v>
      </c>
      <c r="K579" s="36"/>
      <c r="L579" s="36"/>
      <c r="M579" s="36"/>
      <c r="N579" s="36"/>
      <c r="O579" s="36"/>
      <c r="P579" s="36"/>
      <c r="Q579" s="36"/>
      <c r="R579" s="36"/>
      <c r="S579" s="36"/>
      <c r="T579" s="36"/>
    </row>
    <row r="580" spans="1:20" ht="15.75">
      <c r="A580" s="13">
        <v>59171</v>
      </c>
      <c r="B580" s="44">
        <v>31</v>
      </c>
      <c r="C580" s="35">
        <v>122.58</v>
      </c>
      <c r="D580" s="35">
        <v>297.94099999999997</v>
      </c>
      <c r="E580" s="41">
        <v>729.47900000000004</v>
      </c>
      <c r="F580" s="35">
        <v>1150</v>
      </c>
      <c r="G580" s="35">
        <v>100</v>
      </c>
      <c r="H580" s="43">
        <v>600</v>
      </c>
      <c r="I580" s="35">
        <v>695</v>
      </c>
      <c r="J580" s="35">
        <v>50</v>
      </c>
      <c r="K580" s="36"/>
      <c r="L580" s="36"/>
      <c r="M580" s="36"/>
      <c r="N580" s="36"/>
      <c r="O580" s="36"/>
      <c r="P580" s="36"/>
      <c r="Q580" s="36"/>
      <c r="R580" s="36"/>
      <c r="S580" s="36"/>
      <c r="T580" s="36"/>
    </row>
    <row r="581" spans="1:20" ht="15.75">
      <c r="A581" s="13">
        <v>59202</v>
      </c>
      <c r="B581" s="44">
        <f t="shared" ref="B581:B644" si="0">EOMONTH(A581,0)-EOMONTH(A581,-1)</f>
        <v>31</v>
      </c>
      <c r="C581" s="35">
        <v>122.58</v>
      </c>
      <c r="D581" s="35">
        <v>297.94099999999997</v>
      </c>
      <c r="E581" s="41">
        <v>729.47900000000004</v>
      </c>
      <c r="F581" s="35">
        <v>1150</v>
      </c>
      <c r="G581" s="35">
        <v>100</v>
      </c>
      <c r="H581" s="43">
        <v>600</v>
      </c>
      <c r="I581" s="35">
        <v>695</v>
      </c>
      <c r="J581" s="35">
        <v>50</v>
      </c>
      <c r="K581" s="36"/>
      <c r="L581" s="36"/>
      <c r="M581" s="36"/>
      <c r="N581" s="36"/>
      <c r="O581" s="36"/>
      <c r="P581" s="36"/>
      <c r="Q581" s="36"/>
      <c r="R581" s="36"/>
      <c r="S581" s="36"/>
      <c r="T581" s="36"/>
    </row>
    <row r="582" spans="1:20" ht="15.75">
      <c r="A582" s="13">
        <v>59230</v>
      </c>
      <c r="B582" s="44">
        <f t="shared" si="0"/>
        <v>28</v>
      </c>
      <c r="C582" s="35">
        <v>122.58</v>
      </c>
      <c r="D582" s="35">
        <v>297.94099999999997</v>
      </c>
      <c r="E582" s="41">
        <v>729.47900000000004</v>
      </c>
      <c r="F582" s="35">
        <v>1150</v>
      </c>
      <c r="G582" s="35">
        <v>100</v>
      </c>
      <c r="H582" s="43">
        <v>600</v>
      </c>
      <c r="I582" s="35">
        <v>695</v>
      </c>
      <c r="J582" s="35">
        <v>50</v>
      </c>
      <c r="K582" s="36"/>
      <c r="L582" s="36"/>
      <c r="M582" s="36"/>
      <c r="N582" s="36"/>
      <c r="O582" s="36"/>
      <c r="P582" s="36"/>
      <c r="Q582" s="36"/>
      <c r="R582" s="36"/>
      <c r="S582" s="36"/>
      <c r="T582" s="36"/>
    </row>
    <row r="583" spans="1:20" ht="15.75">
      <c r="A583" s="13">
        <v>59261</v>
      </c>
      <c r="B583" s="44">
        <f t="shared" si="0"/>
        <v>31</v>
      </c>
      <c r="C583" s="35">
        <v>122.58</v>
      </c>
      <c r="D583" s="35">
        <v>297.94099999999997</v>
      </c>
      <c r="E583" s="41">
        <v>729.47900000000004</v>
      </c>
      <c r="F583" s="35">
        <v>1150</v>
      </c>
      <c r="G583" s="35">
        <v>100</v>
      </c>
      <c r="H583" s="43">
        <v>600</v>
      </c>
      <c r="I583" s="35">
        <v>695</v>
      </c>
      <c r="J583" s="35">
        <v>50</v>
      </c>
      <c r="K583" s="36"/>
      <c r="L583" s="36"/>
      <c r="M583" s="36"/>
      <c r="N583" s="36"/>
      <c r="O583" s="36"/>
      <c r="P583" s="36"/>
      <c r="Q583" s="36"/>
      <c r="R583" s="36"/>
      <c r="S583" s="36"/>
      <c r="T583" s="36"/>
    </row>
    <row r="584" spans="1:20" ht="15.75">
      <c r="A584" s="13">
        <v>59291</v>
      </c>
      <c r="B584" s="44">
        <f t="shared" si="0"/>
        <v>30</v>
      </c>
      <c r="C584" s="35">
        <v>141.29300000000001</v>
      </c>
      <c r="D584" s="35">
        <v>267.99299999999999</v>
      </c>
      <c r="E584" s="41">
        <v>829.71400000000006</v>
      </c>
      <c r="F584" s="35">
        <v>1239</v>
      </c>
      <c r="G584" s="35">
        <v>100</v>
      </c>
      <c r="H584" s="43">
        <v>600</v>
      </c>
      <c r="I584" s="35">
        <v>695</v>
      </c>
      <c r="J584" s="35">
        <v>50</v>
      </c>
      <c r="K584" s="36"/>
      <c r="L584" s="36"/>
      <c r="M584" s="36"/>
      <c r="N584" s="36"/>
      <c r="O584" s="36"/>
      <c r="P584" s="36"/>
      <c r="Q584" s="36"/>
      <c r="R584" s="36"/>
      <c r="S584" s="36"/>
      <c r="T584" s="36"/>
    </row>
    <row r="585" spans="1:20" ht="15.75">
      <c r="A585" s="13">
        <v>59322</v>
      </c>
      <c r="B585" s="44">
        <f t="shared" si="0"/>
        <v>31</v>
      </c>
      <c r="C585" s="35">
        <v>194.20500000000001</v>
      </c>
      <c r="D585" s="35">
        <v>267.46600000000001</v>
      </c>
      <c r="E585" s="41">
        <v>812.32899999999995</v>
      </c>
      <c r="F585" s="35">
        <v>1274</v>
      </c>
      <c r="G585" s="35">
        <v>75</v>
      </c>
      <c r="H585" s="43">
        <v>600</v>
      </c>
      <c r="I585" s="35">
        <v>695</v>
      </c>
      <c r="J585" s="35">
        <v>50</v>
      </c>
      <c r="K585" s="36"/>
      <c r="L585" s="36"/>
      <c r="M585" s="36"/>
      <c r="N585" s="36"/>
      <c r="O585" s="36"/>
      <c r="P585" s="36"/>
      <c r="Q585" s="36"/>
      <c r="R585" s="36"/>
      <c r="S585" s="36"/>
      <c r="T585" s="36"/>
    </row>
    <row r="586" spans="1:20" ht="15.75">
      <c r="A586" s="13">
        <v>59352</v>
      </c>
      <c r="B586" s="44">
        <f t="shared" si="0"/>
        <v>30</v>
      </c>
      <c r="C586" s="35">
        <v>194.20500000000001</v>
      </c>
      <c r="D586" s="35">
        <v>267.46600000000001</v>
      </c>
      <c r="E586" s="41">
        <v>812.32899999999995</v>
      </c>
      <c r="F586" s="35">
        <v>1274</v>
      </c>
      <c r="G586" s="35">
        <v>50</v>
      </c>
      <c r="H586" s="43">
        <v>600</v>
      </c>
      <c r="I586" s="35">
        <v>695</v>
      </c>
      <c r="J586" s="35">
        <v>50</v>
      </c>
      <c r="K586" s="36"/>
      <c r="L586" s="36"/>
      <c r="M586" s="36"/>
      <c r="N586" s="36"/>
      <c r="O586" s="36"/>
      <c r="P586" s="36"/>
      <c r="Q586" s="36"/>
      <c r="R586" s="36"/>
      <c r="S586" s="36"/>
      <c r="T586" s="36"/>
    </row>
    <row r="587" spans="1:20" ht="15.75">
      <c r="A587" s="13">
        <v>59383</v>
      </c>
      <c r="B587" s="44">
        <f t="shared" si="0"/>
        <v>31</v>
      </c>
      <c r="C587" s="35">
        <v>194.20500000000001</v>
      </c>
      <c r="D587" s="35">
        <v>267.46600000000001</v>
      </c>
      <c r="E587" s="41">
        <v>812.32899999999995</v>
      </c>
      <c r="F587" s="35">
        <v>1274</v>
      </c>
      <c r="G587" s="35">
        <v>50</v>
      </c>
      <c r="H587" s="43">
        <v>600</v>
      </c>
      <c r="I587" s="35">
        <v>695</v>
      </c>
      <c r="J587" s="35">
        <v>0</v>
      </c>
      <c r="K587" s="36"/>
      <c r="L587" s="36"/>
      <c r="M587" s="36"/>
      <c r="N587" s="36"/>
      <c r="O587" s="36"/>
      <c r="P587" s="36"/>
      <c r="Q587" s="36"/>
      <c r="R587" s="36"/>
      <c r="S587" s="36"/>
      <c r="T587" s="36"/>
    </row>
    <row r="588" spans="1:20" ht="15.75">
      <c r="A588" s="13">
        <v>59414</v>
      </c>
      <c r="B588" s="44">
        <f t="shared" si="0"/>
        <v>31</v>
      </c>
      <c r="C588" s="35">
        <v>194.20500000000001</v>
      </c>
      <c r="D588" s="35">
        <v>267.46600000000001</v>
      </c>
      <c r="E588" s="41">
        <v>812.32899999999995</v>
      </c>
      <c r="F588" s="35">
        <v>1274</v>
      </c>
      <c r="G588" s="35">
        <v>50</v>
      </c>
      <c r="H588" s="43">
        <v>600</v>
      </c>
      <c r="I588" s="35">
        <v>695</v>
      </c>
      <c r="J588" s="35">
        <v>0</v>
      </c>
      <c r="K588" s="36"/>
      <c r="L588" s="36"/>
      <c r="M588" s="36"/>
      <c r="N588" s="36"/>
      <c r="O588" s="36"/>
      <c r="P588" s="36"/>
      <c r="Q588" s="36"/>
      <c r="R588" s="36"/>
      <c r="S588" s="36"/>
      <c r="T588" s="36"/>
    </row>
    <row r="589" spans="1:20" ht="15.75">
      <c r="A589" s="13">
        <v>59444</v>
      </c>
      <c r="B589" s="44">
        <f t="shared" si="0"/>
        <v>30</v>
      </c>
      <c r="C589" s="35">
        <v>194.20500000000001</v>
      </c>
      <c r="D589" s="35">
        <v>267.46600000000001</v>
      </c>
      <c r="E589" s="41">
        <v>812.32899999999995</v>
      </c>
      <c r="F589" s="35">
        <v>1274</v>
      </c>
      <c r="G589" s="35">
        <v>50</v>
      </c>
      <c r="H589" s="43">
        <v>600</v>
      </c>
      <c r="I589" s="35">
        <v>695</v>
      </c>
      <c r="J589" s="35">
        <v>0</v>
      </c>
      <c r="K589" s="36"/>
      <c r="L589" s="36"/>
      <c r="M589" s="36"/>
      <c r="N589" s="36"/>
      <c r="O589" s="36"/>
      <c r="P589" s="36"/>
      <c r="Q589" s="36"/>
      <c r="R589" s="36"/>
      <c r="S589" s="36"/>
      <c r="T589" s="36"/>
    </row>
    <row r="590" spans="1:20" ht="15.75">
      <c r="A590" s="13">
        <v>59475</v>
      </c>
      <c r="B590" s="44">
        <f t="shared" si="0"/>
        <v>31</v>
      </c>
      <c r="C590" s="35">
        <v>131.881</v>
      </c>
      <c r="D590" s="35">
        <v>277.16699999999997</v>
      </c>
      <c r="E590" s="41">
        <v>829.952</v>
      </c>
      <c r="F590" s="35">
        <v>1239</v>
      </c>
      <c r="G590" s="35">
        <v>75</v>
      </c>
      <c r="H590" s="43">
        <v>600</v>
      </c>
      <c r="I590" s="35">
        <v>695</v>
      </c>
      <c r="J590" s="35">
        <v>0</v>
      </c>
      <c r="K590" s="36"/>
      <c r="L590" s="36"/>
      <c r="M590" s="36"/>
      <c r="N590" s="36"/>
      <c r="O590" s="36"/>
      <c r="P590" s="36"/>
      <c r="Q590" s="36"/>
      <c r="R590" s="36"/>
      <c r="S590" s="36"/>
      <c r="T590" s="36"/>
    </row>
    <row r="591" spans="1:20" ht="15.75">
      <c r="A591" s="13">
        <v>59505</v>
      </c>
      <c r="B591" s="44">
        <f t="shared" si="0"/>
        <v>30</v>
      </c>
      <c r="C591" s="35">
        <v>122.58</v>
      </c>
      <c r="D591" s="35">
        <v>297.94099999999997</v>
      </c>
      <c r="E591" s="41">
        <v>729.47900000000004</v>
      </c>
      <c r="F591" s="35">
        <v>1150</v>
      </c>
      <c r="G591" s="35">
        <v>100</v>
      </c>
      <c r="H591" s="43">
        <v>600</v>
      </c>
      <c r="I591" s="35">
        <v>695</v>
      </c>
      <c r="J591" s="35">
        <v>50</v>
      </c>
      <c r="K591" s="36"/>
      <c r="L591" s="36"/>
      <c r="M591" s="36"/>
      <c r="N591" s="36"/>
      <c r="O591" s="36"/>
      <c r="P591" s="36"/>
      <c r="Q591" s="36"/>
      <c r="R591" s="36"/>
      <c r="S591" s="36"/>
      <c r="T591" s="36"/>
    </row>
    <row r="592" spans="1:20" ht="15.75">
      <c r="A592" s="13">
        <v>59536</v>
      </c>
      <c r="B592" s="44">
        <f t="shared" si="0"/>
        <v>31</v>
      </c>
      <c r="C592" s="35">
        <v>122.58</v>
      </c>
      <c r="D592" s="35">
        <v>297.94099999999997</v>
      </c>
      <c r="E592" s="41">
        <v>729.47900000000004</v>
      </c>
      <c r="F592" s="35">
        <v>1150</v>
      </c>
      <c r="G592" s="35">
        <v>100</v>
      </c>
      <c r="H592" s="43">
        <v>600</v>
      </c>
      <c r="I592" s="35">
        <v>695</v>
      </c>
      <c r="J592" s="35">
        <v>50</v>
      </c>
      <c r="K592" s="36"/>
      <c r="L592" s="36"/>
      <c r="M592" s="36"/>
      <c r="N592" s="36"/>
      <c r="O592" s="36"/>
      <c r="P592" s="36"/>
      <c r="Q592" s="36"/>
      <c r="R592" s="36"/>
      <c r="S592" s="36"/>
      <c r="T592" s="36"/>
    </row>
    <row r="593" spans="1:20" ht="15.75">
      <c r="A593" s="13">
        <v>59567</v>
      </c>
      <c r="B593" s="44">
        <f t="shared" si="0"/>
        <v>31</v>
      </c>
      <c r="C593" s="35">
        <v>122.58</v>
      </c>
      <c r="D593" s="35">
        <v>297.94099999999997</v>
      </c>
      <c r="E593" s="41">
        <v>729.47900000000004</v>
      </c>
      <c r="F593" s="35">
        <v>1150</v>
      </c>
      <c r="G593" s="35">
        <v>100</v>
      </c>
      <c r="H593" s="43">
        <v>600</v>
      </c>
      <c r="I593" s="35">
        <v>695</v>
      </c>
      <c r="J593" s="35">
        <v>50</v>
      </c>
      <c r="K593" s="36"/>
      <c r="L593" s="36"/>
      <c r="M593" s="36"/>
      <c r="N593" s="36"/>
      <c r="O593" s="36"/>
      <c r="P593" s="36"/>
      <c r="Q593" s="36"/>
      <c r="R593" s="36"/>
      <c r="S593" s="36"/>
      <c r="T593" s="36"/>
    </row>
    <row r="594" spans="1:20" ht="15.75">
      <c r="A594" s="13">
        <v>59595</v>
      </c>
      <c r="B594" s="44">
        <f t="shared" si="0"/>
        <v>28</v>
      </c>
      <c r="C594" s="35">
        <v>122.58</v>
      </c>
      <c r="D594" s="35">
        <v>297.94099999999997</v>
      </c>
      <c r="E594" s="41">
        <v>729.47900000000004</v>
      </c>
      <c r="F594" s="35">
        <v>1150</v>
      </c>
      <c r="G594" s="35">
        <v>100</v>
      </c>
      <c r="H594" s="43">
        <v>600</v>
      </c>
      <c r="I594" s="35">
        <v>695</v>
      </c>
      <c r="J594" s="35">
        <v>50</v>
      </c>
      <c r="K594" s="36"/>
      <c r="L594" s="36"/>
      <c r="M594" s="36"/>
      <c r="N594" s="36"/>
      <c r="O594" s="36"/>
      <c r="P594" s="36"/>
      <c r="Q594" s="36"/>
      <c r="R594" s="36"/>
      <c r="S594" s="36"/>
      <c r="T594" s="36"/>
    </row>
    <row r="595" spans="1:20" ht="15.75">
      <c r="A595" s="13">
        <v>59626</v>
      </c>
      <c r="B595" s="44">
        <f t="shared" si="0"/>
        <v>31</v>
      </c>
      <c r="C595" s="35">
        <v>122.58</v>
      </c>
      <c r="D595" s="35">
        <v>297.94099999999997</v>
      </c>
      <c r="E595" s="41">
        <v>729.47900000000004</v>
      </c>
      <c r="F595" s="35">
        <v>1150</v>
      </c>
      <c r="G595" s="35">
        <v>100</v>
      </c>
      <c r="H595" s="43">
        <v>600</v>
      </c>
      <c r="I595" s="35">
        <v>695</v>
      </c>
      <c r="J595" s="35">
        <v>50</v>
      </c>
      <c r="K595" s="36"/>
      <c r="L595" s="36"/>
      <c r="M595" s="36"/>
      <c r="N595" s="36"/>
      <c r="O595" s="36"/>
      <c r="P595" s="36"/>
      <c r="Q595" s="36"/>
      <c r="R595" s="36"/>
      <c r="S595" s="36"/>
      <c r="T595" s="36"/>
    </row>
    <row r="596" spans="1:20" ht="15.75">
      <c r="A596" s="13">
        <v>59656</v>
      </c>
      <c r="B596" s="44">
        <f t="shared" si="0"/>
        <v>30</v>
      </c>
      <c r="C596" s="35">
        <v>141.29300000000001</v>
      </c>
      <c r="D596" s="35">
        <v>267.99299999999999</v>
      </c>
      <c r="E596" s="41">
        <v>829.71400000000006</v>
      </c>
      <c r="F596" s="35">
        <v>1239</v>
      </c>
      <c r="G596" s="35">
        <v>100</v>
      </c>
      <c r="H596" s="43">
        <v>600</v>
      </c>
      <c r="I596" s="35">
        <v>695</v>
      </c>
      <c r="J596" s="35">
        <v>50</v>
      </c>
      <c r="K596" s="36"/>
      <c r="L596" s="36"/>
      <c r="M596" s="36"/>
      <c r="N596" s="36"/>
      <c r="O596" s="36"/>
      <c r="P596" s="36"/>
      <c r="Q596" s="36"/>
      <c r="R596" s="36"/>
      <c r="S596" s="36"/>
      <c r="T596" s="36"/>
    </row>
    <row r="597" spans="1:20" ht="15.75">
      <c r="A597" s="13">
        <v>59687</v>
      </c>
      <c r="B597" s="44">
        <f t="shared" si="0"/>
        <v>31</v>
      </c>
      <c r="C597" s="35">
        <v>194.20500000000001</v>
      </c>
      <c r="D597" s="35">
        <v>267.46600000000001</v>
      </c>
      <c r="E597" s="41">
        <v>812.32899999999995</v>
      </c>
      <c r="F597" s="35">
        <v>1274</v>
      </c>
      <c r="G597" s="35">
        <v>75</v>
      </c>
      <c r="H597" s="43">
        <v>600</v>
      </c>
      <c r="I597" s="35">
        <v>695</v>
      </c>
      <c r="J597" s="35">
        <v>50</v>
      </c>
      <c r="K597" s="36"/>
      <c r="L597" s="36"/>
      <c r="M597" s="36"/>
      <c r="N597" s="36"/>
      <c r="O597" s="36"/>
      <c r="P597" s="36"/>
      <c r="Q597" s="36"/>
      <c r="R597" s="36"/>
      <c r="S597" s="36"/>
      <c r="T597" s="36"/>
    </row>
    <row r="598" spans="1:20" ht="15.75">
      <c r="A598" s="13">
        <v>59717</v>
      </c>
      <c r="B598" s="44">
        <f t="shared" si="0"/>
        <v>30</v>
      </c>
      <c r="C598" s="35">
        <v>194.20500000000001</v>
      </c>
      <c r="D598" s="35">
        <v>267.46600000000001</v>
      </c>
      <c r="E598" s="41">
        <v>812.32899999999995</v>
      </c>
      <c r="F598" s="35">
        <v>1274</v>
      </c>
      <c r="G598" s="35">
        <v>50</v>
      </c>
      <c r="H598" s="43">
        <v>600</v>
      </c>
      <c r="I598" s="35">
        <v>695</v>
      </c>
      <c r="J598" s="35">
        <v>50</v>
      </c>
      <c r="K598" s="36"/>
      <c r="L598" s="36"/>
      <c r="M598" s="36"/>
      <c r="N598" s="36"/>
      <c r="O598" s="36"/>
      <c r="P598" s="36"/>
      <c r="Q598" s="36"/>
      <c r="R598" s="36"/>
      <c r="S598" s="36"/>
      <c r="T598" s="36"/>
    </row>
    <row r="599" spans="1:20" ht="15.75">
      <c r="A599" s="13">
        <v>59748</v>
      </c>
      <c r="B599" s="44">
        <f t="shared" si="0"/>
        <v>31</v>
      </c>
      <c r="C599" s="35">
        <v>194.20500000000001</v>
      </c>
      <c r="D599" s="35">
        <v>267.46600000000001</v>
      </c>
      <c r="E599" s="41">
        <v>812.32899999999995</v>
      </c>
      <c r="F599" s="35">
        <v>1274</v>
      </c>
      <c r="G599" s="35">
        <v>50</v>
      </c>
      <c r="H599" s="43">
        <v>600</v>
      </c>
      <c r="I599" s="35">
        <v>695</v>
      </c>
      <c r="J599" s="35">
        <v>0</v>
      </c>
      <c r="K599" s="36"/>
      <c r="L599" s="36"/>
      <c r="M599" s="36"/>
      <c r="N599" s="36"/>
      <c r="O599" s="36"/>
      <c r="P599" s="36"/>
      <c r="Q599" s="36"/>
      <c r="R599" s="36"/>
      <c r="S599" s="36"/>
      <c r="T599" s="36"/>
    </row>
    <row r="600" spans="1:20" ht="15.75">
      <c r="A600" s="13">
        <v>59779</v>
      </c>
      <c r="B600" s="44">
        <f t="shared" si="0"/>
        <v>31</v>
      </c>
      <c r="C600" s="35">
        <v>194.20500000000001</v>
      </c>
      <c r="D600" s="35">
        <v>267.46600000000001</v>
      </c>
      <c r="E600" s="41">
        <v>812.32899999999995</v>
      </c>
      <c r="F600" s="35">
        <v>1274</v>
      </c>
      <c r="G600" s="35">
        <v>50</v>
      </c>
      <c r="H600" s="43">
        <v>600</v>
      </c>
      <c r="I600" s="35">
        <v>695</v>
      </c>
      <c r="J600" s="35">
        <v>0</v>
      </c>
      <c r="K600" s="36"/>
      <c r="L600" s="36"/>
      <c r="M600" s="36"/>
      <c r="N600" s="36"/>
      <c r="O600" s="36"/>
      <c r="P600" s="36"/>
      <c r="Q600" s="36"/>
      <c r="R600" s="36"/>
      <c r="S600" s="36"/>
      <c r="T600" s="36"/>
    </row>
    <row r="601" spans="1:20" ht="15.75">
      <c r="A601" s="13">
        <v>59809</v>
      </c>
      <c r="B601" s="44">
        <f t="shared" si="0"/>
        <v>30</v>
      </c>
      <c r="C601" s="35">
        <v>194.20500000000001</v>
      </c>
      <c r="D601" s="35">
        <v>267.46600000000001</v>
      </c>
      <c r="E601" s="41">
        <v>812.32899999999995</v>
      </c>
      <c r="F601" s="35">
        <v>1274</v>
      </c>
      <c r="G601" s="35">
        <v>50</v>
      </c>
      <c r="H601" s="43">
        <v>600</v>
      </c>
      <c r="I601" s="35">
        <v>695</v>
      </c>
      <c r="J601" s="35">
        <v>0</v>
      </c>
      <c r="K601" s="36"/>
      <c r="L601" s="36"/>
      <c r="M601" s="36"/>
      <c r="N601" s="36"/>
      <c r="O601" s="36"/>
      <c r="P601" s="36"/>
      <c r="Q601" s="36"/>
      <c r="R601" s="36"/>
      <c r="S601" s="36"/>
      <c r="T601" s="36"/>
    </row>
    <row r="602" spans="1:20" ht="15.75">
      <c r="A602" s="13">
        <v>59840</v>
      </c>
      <c r="B602" s="44">
        <f t="shared" si="0"/>
        <v>31</v>
      </c>
      <c r="C602" s="35">
        <v>131.881</v>
      </c>
      <c r="D602" s="35">
        <v>277.16699999999997</v>
      </c>
      <c r="E602" s="41">
        <v>829.952</v>
      </c>
      <c r="F602" s="35">
        <v>1239</v>
      </c>
      <c r="G602" s="35">
        <v>75</v>
      </c>
      <c r="H602" s="43">
        <v>600</v>
      </c>
      <c r="I602" s="35">
        <v>695</v>
      </c>
      <c r="J602" s="35">
        <v>0</v>
      </c>
      <c r="K602" s="36"/>
      <c r="L602" s="36"/>
      <c r="M602" s="36"/>
      <c r="N602" s="36"/>
      <c r="O602" s="36"/>
      <c r="P602" s="36"/>
      <c r="Q602" s="36"/>
      <c r="R602" s="36"/>
      <c r="S602" s="36"/>
      <c r="T602" s="36"/>
    </row>
    <row r="603" spans="1:20" ht="15.75">
      <c r="A603" s="13">
        <v>59870</v>
      </c>
      <c r="B603" s="44">
        <f t="shared" si="0"/>
        <v>30</v>
      </c>
      <c r="C603" s="35">
        <v>122.58</v>
      </c>
      <c r="D603" s="35">
        <v>297.94099999999997</v>
      </c>
      <c r="E603" s="41">
        <v>729.47900000000004</v>
      </c>
      <c r="F603" s="35">
        <v>1150</v>
      </c>
      <c r="G603" s="35">
        <v>100</v>
      </c>
      <c r="H603" s="43">
        <v>600</v>
      </c>
      <c r="I603" s="35">
        <v>695</v>
      </c>
      <c r="J603" s="35">
        <v>50</v>
      </c>
      <c r="K603" s="36"/>
      <c r="L603" s="36"/>
      <c r="M603" s="36"/>
      <c r="N603" s="36"/>
      <c r="O603" s="36"/>
      <c r="P603" s="36"/>
      <c r="Q603" s="36"/>
      <c r="R603" s="36"/>
      <c r="S603" s="36"/>
      <c r="T603" s="36"/>
    </row>
    <row r="604" spans="1:20" ht="15.75">
      <c r="A604" s="13">
        <v>59901</v>
      </c>
      <c r="B604" s="44">
        <f t="shared" si="0"/>
        <v>31</v>
      </c>
      <c r="C604" s="35">
        <v>122.58</v>
      </c>
      <c r="D604" s="35">
        <v>297.94099999999997</v>
      </c>
      <c r="E604" s="41">
        <v>729.47900000000004</v>
      </c>
      <c r="F604" s="35">
        <v>1150</v>
      </c>
      <c r="G604" s="35">
        <v>100</v>
      </c>
      <c r="H604" s="43">
        <v>600</v>
      </c>
      <c r="I604" s="35">
        <v>695</v>
      </c>
      <c r="J604" s="35">
        <v>50</v>
      </c>
      <c r="K604" s="36"/>
      <c r="L604" s="36"/>
      <c r="M604" s="36"/>
      <c r="N604" s="36"/>
      <c r="O604" s="36"/>
      <c r="P604" s="36"/>
      <c r="Q604" s="36"/>
      <c r="R604" s="36"/>
      <c r="S604" s="36"/>
      <c r="T604" s="36"/>
    </row>
    <row r="605" spans="1:20" ht="15.75">
      <c r="A605" s="13">
        <v>59932</v>
      </c>
      <c r="B605" s="44">
        <f t="shared" si="0"/>
        <v>31</v>
      </c>
      <c r="C605" s="35">
        <v>122.58</v>
      </c>
      <c r="D605" s="35">
        <v>297.94099999999997</v>
      </c>
      <c r="E605" s="41">
        <v>729.47900000000004</v>
      </c>
      <c r="F605" s="35">
        <v>1150</v>
      </c>
      <c r="G605" s="35">
        <v>100</v>
      </c>
      <c r="H605" s="43">
        <v>600</v>
      </c>
      <c r="I605" s="35">
        <v>695</v>
      </c>
      <c r="J605" s="35">
        <v>50</v>
      </c>
      <c r="K605" s="36"/>
      <c r="L605" s="36"/>
      <c r="M605" s="36"/>
      <c r="N605" s="36"/>
      <c r="O605" s="36"/>
      <c r="P605" s="36"/>
      <c r="Q605" s="36"/>
      <c r="R605" s="36"/>
      <c r="S605" s="36"/>
      <c r="T605" s="36"/>
    </row>
    <row r="606" spans="1:20" ht="15.75">
      <c r="A606" s="13">
        <v>59961</v>
      </c>
      <c r="B606" s="44">
        <f t="shared" si="0"/>
        <v>29</v>
      </c>
      <c r="C606" s="35">
        <v>122.58</v>
      </c>
      <c r="D606" s="35">
        <v>297.94099999999997</v>
      </c>
      <c r="E606" s="41">
        <v>729.47900000000004</v>
      </c>
      <c r="F606" s="35">
        <v>1150</v>
      </c>
      <c r="G606" s="35">
        <v>100</v>
      </c>
      <c r="H606" s="43">
        <v>600</v>
      </c>
      <c r="I606" s="35">
        <v>695</v>
      </c>
      <c r="J606" s="35">
        <v>50</v>
      </c>
      <c r="K606" s="36"/>
      <c r="L606" s="36"/>
      <c r="M606" s="36"/>
      <c r="N606" s="36"/>
      <c r="O606" s="36"/>
      <c r="P606" s="36"/>
      <c r="Q606" s="36"/>
      <c r="R606" s="36"/>
      <c r="S606" s="36"/>
      <c r="T606" s="36"/>
    </row>
    <row r="607" spans="1:20" ht="15.75">
      <c r="A607" s="13">
        <v>59992</v>
      </c>
      <c r="B607" s="44">
        <f t="shared" si="0"/>
        <v>31</v>
      </c>
      <c r="C607" s="35">
        <v>122.58</v>
      </c>
      <c r="D607" s="35">
        <v>297.94099999999997</v>
      </c>
      <c r="E607" s="41">
        <v>729.47900000000004</v>
      </c>
      <c r="F607" s="35">
        <v>1150</v>
      </c>
      <c r="G607" s="35">
        <v>100</v>
      </c>
      <c r="H607" s="43">
        <v>600</v>
      </c>
      <c r="I607" s="35">
        <v>695</v>
      </c>
      <c r="J607" s="35">
        <v>50</v>
      </c>
      <c r="K607" s="36"/>
      <c r="L607" s="36"/>
      <c r="M607" s="36"/>
      <c r="N607" s="36"/>
      <c r="O607" s="36"/>
      <c r="P607" s="36"/>
      <c r="Q607" s="36"/>
      <c r="R607" s="36"/>
      <c r="S607" s="36"/>
      <c r="T607" s="36"/>
    </row>
    <row r="608" spans="1:20" ht="15.75">
      <c r="A608" s="13">
        <v>60022</v>
      </c>
      <c r="B608" s="44">
        <f t="shared" si="0"/>
        <v>30</v>
      </c>
      <c r="C608" s="35">
        <v>141.29300000000001</v>
      </c>
      <c r="D608" s="35">
        <v>267.99299999999999</v>
      </c>
      <c r="E608" s="41">
        <v>829.71400000000006</v>
      </c>
      <c r="F608" s="35">
        <v>1239</v>
      </c>
      <c r="G608" s="35">
        <v>100</v>
      </c>
      <c r="H608" s="43">
        <v>600</v>
      </c>
      <c r="I608" s="35">
        <v>695</v>
      </c>
      <c r="J608" s="35">
        <v>50</v>
      </c>
      <c r="K608" s="36"/>
      <c r="L608" s="36"/>
      <c r="M608" s="36"/>
      <c r="N608" s="36"/>
      <c r="O608" s="36"/>
      <c r="P608" s="36"/>
      <c r="Q608" s="36"/>
      <c r="R608" s="36"/>
      <c r="S608" s="36"/>
      <c r="T608" s="36"/>
    </row>
    <row r="609" spans="1:20" ht="15.75">
      <c r="A609" s="13">
        <v>60053</v>
      </c>
      <c r="B609" s="44">
        <f t="shared" si="0"/>
        <v>31</v>
      </c>
      <c r="C609" s="35">
        <v>194.20500000000001</v>
      </c>
      <c r="D609" s="35">
        <v>267.46600000000001</v>
      </c>
      <c r="E609" s="41">
        <v>812.32899999999995</v>
      </c>
      <c r="F609" s="35">
        <v>1274</v>
      </c>
      <c r="G609" s="35">
        <v>75</v>
      </c>
      <c r="H609" s="43">
        <v>600</v>
      </c>
      <c r="I609" s="35">
        <v>695</v>
      </c>
      <c r="J609" s="35">
        <v>50</v>
      </c>
      <c r="K609" s="36"/>
      <c r="L609" s="36"/>
      <c r="M609" s="36"/>
      <c r="N609" s="36"/>
      <c r="O609" s="36"/>
      <c r="P609" s="36"/>
      <c r="Q609" s="36"/>
      <c r="R609" s="36"/>
      <c r="S609" s="36"/>
      <c r="T609" s="36"/>
    </row>
    <row r="610" spans="1:20" ht="15.75">
      <c r="A610" s="13">
        <v>60083</v>
      </c>
      <c r="B610" s="44">
        <f t="shared" si="0"/>
        <v>30</v>
      </c>
      <c r="C610" s="35">
        <v>194.20500000000001</v>
      </c>
      <c r="D610" s="35">
        <v>267.46600000000001</v>
      </c>
      <c r="E610" s="41">
        <v>812.32899999999995</v>
      </c>
      <c r="F610" s="35">
        <v>1274</v>
      </c>
      <c r="G610" s="35">
        <v>50</v>
      </c>
      <c r="H610" s="43">
        <v>600</v>
      </c>
      <c r="I610" s="35">
        <v>695</v>
      </c>
      <c r="J610" s="35">
        <v>50</v>
      </c>
      <c r="K610" s="36"/>
      <c r="L610" s="36"/>
      <c r="M610" s="36"/>
      <c r="N610" s="36"/>
      <c r="O610" s="36"/>
      <c r="P610" s="36"/>
      <c r="Q610" s="36"/>
      <c r="R610" s="36"/>
      <c r="S610" s="36"/>
      <c r="T610" s="36"/>
    </row>
    <row r="611" spans="1:20" ht="15.75">
      <c r="A611" s="13">
        <v>60114</v>
      </c>
      <c r="B611" s="44">
        <f t="shared" si="0"/>
        <v>31</v>
      </c>
      <c r="C611" s="35">
        <v>194.20500000000001</v>
      </c>
      <c r="D611" s="35">
        <v>267.46600000000001</v>
      </c>
      <c r="E611" s="41">
        <v>812.32899999999995</v>
      </c>
      <c r="F611" s="35">
        <v>1274</v>
      </c>
      <c r="G611" s="35">
        <v>50</v>
      </c>
      <c r="H611" s="43">
        <v>600</v>
      </c>
      <c r="I611" s="35">
        <v>695</v>
      </c>
      <c r="J611" s="35">
        <v>0</v>
      </c>
      <c r="K611" s="36"/>
      <c r="L611" s="36"/>
      <c r="M611" s="36"/>
      <c r="N611" s="36"/>
      <c r="O611" s="36"/>
      <c r="P611" s="36"/>
      <c r="Q611" s="36"/>
      <c r="R611" s="36"/>
      <c r="S611" s="36"/>
      <c r="T611" s="36"/>
    </row>
    <row r="612" spans="1:20" ht="15.75">
      <c r="A612" s="13">
        <v>60145</v>
      </c>
      <c r="B612" s="44">
        <f t="shared" si="0"/>
        <v>31</v>
      </c>
      <c r="C612" s="35">
        <v>194.20500000000001</v>
      </c>
      <c r="D612" s="35">
        <v>267.46600000000001</v>
      </c>
      <c r="E612" s="41">
        <v>812.32899999999995</v>
      </c>
      <c r="F612" s="35">
        <v>1274</v>
      </c>
      <c r="G612" s="35">
        <v>50</v>
      </c>
      <c r="H612" s="43">
        <v>600</v>
      </c>
      <c r="I612" s="35">
        <v>695</v>
      </c>
      <c r="J612" s="35">
        <v>0</v>
      </c>
      <c r="K612" s="36"/>
      <c r="L612" s="36"/>
      <c r="M612" s="36"/>
      <c r="N612" s="36"/>
      <c r="O612" s="36"/>
      <c r="P612" s="36"/>
      <c r="Q612" s="36"/>
      <c r="R612" s="36"/>
      <c r="S612" s="36"/>
      <c r="T612" s="36"/>
    </row>
    <row r="613" spans="1:20" ht="15.75">
      <c r="A613" s="13">
        <v>60175</v>
      </c>
      <c r="B613" s="44">
        <f t="shared" si="0"/>
        <v>30</v>
      </c>
      <c r="C613" s="35">
        <v>194.20500000000001</v>
      </c>
      <c r="D613" s="35">
        <v>267.46600000000001</v>
      </c>
      <c r="E613" s="41">
        <v>812.32899999999995</v>
      </c>
      <c r="F613" s="35">
        <v>1274</v>
      </c>
      <c r="G613" s="35">
        <v>50</v>
      </c>
      <c r="H613" s="43">
        <v>600</v>
      </c>
      <c r="I613" s="35">
        <v>695</v>
      </c>
      <c r="J613" s="35">
        <v>0</v>
      </c>
      <c r="K613" s="36"/>
      <c r="L613" s="36"/>
      <c r="M613" s="36"/>
      <c r="N613" s="36"/>
      <c r="O613" s="36"/>
      <c r="P613" s="36"/>
      <c r="Q613" s="36"/>
      <c r="R613" s="36"/>
      <c r="S613" s="36"/>
      <c r="T613" s="36"/>
    </row>
    <row r="614" spans="1:20" ht="15.75">
      <c r="A614" s="13">
        <v>60206</v>
      </c>
      <c r="B614" s="44">
        <f t="shared" si="0"/>
        <v>31</v>
      </c>
      <c r="C614" s="35">
        <v>131.881</v>
      </c>
      <c r="D614" s="35">
        <v>277.16699999999997</v>
      </c>
      <c r="E614" s="41">
        <v>829.952</v>
      </c>
      <c r="F614" s="35">
        <v>1239</v>
      </c>
      <c r="G614" s="35">
        <v>75</v>
      </c>
      <c r="H614" s="43">
        <v>600</v>
      </c>
      <c r="I614" s="35">
        <v>695</v>
      </c>
      <c r="J614" s="35">
        <v>0</v>
      </c>
      <c r="K614" s="36"/>
      <c r="L614" s="36"/>
      <c r="M614" s="36"/>
      <c r="N614" s="36"/>
      <c r="O614" s="36"/>
      <c r="P614" s="36"/>
      <c r="Q614" s="36"/>
      <c r="R614" s="36"/>
      <c r="S614" s="36"/>
      <c r="T614" s="36"/>
    </row>
    <row r="615" spans="1:20" ht="15.75">
      <c r="A615" s="13">
        <v>60236</v>
      </c>
      <c r="B615" s="44">
        <f t="shared" si="0"/>
        <v>30</v>
      </c>
      <c r="C615" s="35">
        <v>122.58</v>
      </c>
      <c r="D615" s="35">
        <v>297.94099999999997</v>
      </c>
      <c r="E615" s="41">
        <v>729.47900000000004</v>
      </c>
      <c r="F615" s="35">
        <v>1150</v>
      </c>
      <c r="G615" s="35">
        <v>100</v>
      </c>
      <c r="H615" s="43">
        <v>600</v>
      </c>
      <c r="I615" s="35">
        <v>695</v>
      </c>
      <c r="J615" s="35">
        <v>50</v>
      </c>
      <c r="K615" s="36"/>
      <c r="L615" s="36"/>
      <c r="M615" s="36"/>
      <c r="N615" s="36"/>
      <c r="O615" s="36"/>
      <c r="P615" s="36"/>
      <c r="Q615" s="36"/>
      <c r="R615" s="36"/>
      <c r="S615" s="36"/>
      <c r="T615" s="36"/>
    </row>
    <row r="616" spans="1:20" ht="15.75">
      <c r="A616" s="13">
        <v>60267</v>
      </c>
      <c r="B616" s="44">
        <f t="shared" si="0"/>
        <v>31</v>
      </c>
      <c r="C616" s="35">
        <v>122.58</v>
      </c>
      <c r="D616" s="35">
        <v>297.94099999999997</v>
      </c>
      <c r="E616" s="41">
        <v>729.47900000000004</v>
      </c>
      <c r="F616" s="35">
        <v>1150</v>
      </c>
      <c r="G616" s="35">
        <v>100</v>
      </c>
      <c r="H616" s="43">
        <v>600</v>
      </c>
      <c r="I616" s="35">
        <v>695</v>
      </c>
      <c r="J616" s="35">
        <v>50</v>
      </c>
      <c r="K616" s="36"/>
      <c r="L616" s="36"/>
      <c r="M616" s="36"/>
      <c r="N616" s="36"/>
      <c r="O616" s="36"/>
      <c r="P616" s="36"/>
      <c r="Q616" s="36"/>
      <c r="R616" s="36"/>
      <c r="S616" s="36"/>
      <c r="T616" s="36"/>
    </row>
    <row r="617" spans="1:20" ht="15.75">
      <c r="A617" s="13">
        <v>60298</v>
      </c>
      <c r="B617" s="44">
        <f t="shared" si="0"/>
        <v>31</v>
      </c>
      <c r="C617" s="35">
        <v>122.58</v>
      </c>
      <c r="D617" s="35">
        <v>297.94099999999997</v>
      </c>
      <c r="E617" s="41">
        <v>729.47900000000004</v>
      </c>
      <c r="F617" s="35">
        <v>1150</v>
      </c>
      <c r="G617" s="35">
        <v>100</v>
      </c>
      <c r="H617" s="43">
        <v>600</v>
      </c>
      <c r="I617" s="35">
        <v>695</v>
      </c>
      <c r="J617" s="35">
        <v>50</v>
      </c>
      <c r="K617" s="36"/>
      <c r="L617" s="36"/>
      <c r="M617" s="36"/>
      <c r="N617" s="36"/>
      <c r="O617" s="36"/>
      <c r="P617" s="36"/>
      <c r="Q617" s="36"/>
      <c r="R617" s="36"/>
      <c r="S617" s="36"/>
      <c r="T617" s="36"/>
    </row>
    <row r="618" spans="1:20" ht="15.75">
      <c r="A618" s="13">
        <v>60326</v>
      </c>
      <c r="B618" s="44">
        <f t="shared" si="0"/>
        <v>28</v>
      </c>
      <c r="C618" s="35">
        <v>122.58</v>
      </c>
      <c r="D618" s="35">
        <v>297.94099999999997</v>
      </c>
      <c r="E618" s="41">
        <v>729.47900000000004</v>
      </c>
      <c r="F618" s="35">
        <v>1150</v>
      </c>
      <c r="G618" s="35">
        <v>100</v>
      </c>
      <c r="H618" s="43">
        <v>600</v>
      </c>
      <c r="I618" s="35">
        <v>695</v>
      </c>
      <c r="J618" s="35">
        <v>50</v>
      </c>
      <c r="K618" s="36"/>
      <c r="L618" s="36"/>
      <c r="M618" s="36"/>
      <c r="N618" s="36"/>
      <c r="O618" s="36"/>
      <c r="P618" s="36"/>
      <c r="Q618" s="36"/>
      <c r="R618" s="36"/>
      <c r="S618" s="36"/>
      <c r="T618" s="36"/>
    </row>
    <row r="619" spans="1:20" ht="15.75">
      <c r="A619" s="13">
        <v>60357</v>
      </c>
      <c r="B619" s="44">
        <f t="shared" si="0"/>
        <v>31</v>
      </c>
      <c r="C619" s="35">
        <v>122.58</v>
      </c>
      <c r="D619" s="35">
        <v>297.94099999999997</v>
      </c>
      <c r="E619" s="41">
        <v>729.47900000000004</v>
      </c>
      <c r="F619" s="35">
        <v>1150</v>
      </c>
      <c r="G619" s="35">
        <v>100</v>
      </c>
      <c r="H619" s="43">
        <v>600</v>
      </c>
      <c r="I619" s="35">
        <v>695</v>
      </c>
      <c r="J619" s="35">
        <v>50</v>
      </c>
      <c r="K619" s="36"/>
      <c r="L619" s="36"/>
      <c r="M619" s="36"/>
      <c r="N619" s="36"/>
      <c r="O619" s="36"/>
      <c r="P619" s="36"/>
      <c r="Q619" s="36"/>
      <c r="R619" s="36"/>
      <c r="S619" s="36"/>
      <c r="T619" s="36"/>
    </row>
    <row r="620" spans="1:20" ht="15.75">
      <c r="A620" s="13">
        <v>60387</v>
      </c>
      <c r="B620" s="44">
        <f t="shared" si="0"/>
        <v>30</v>
      </c>
      <c r="C620" s="35">
        <v>141.29300000000001</v>
      </c>
      <c r="D620" s="35">
        <v>267.99299999999999</v>
      </c>
      <c r="E620" s="41">
        <v>829.71400000000006</v>
      </c>
      <c r="F620" s="35">
        <v>1239</v>
      </c>
      <c r="G620" s="35">
        <v>100</v>
      </c>
      <c r="H620" s="43">
        <v>600</v>
      </c>
      <c r="I620" s="35">
        <v>695</v>
      </c>
      <c r="J620" s="35">
        <v>50</v>
      </c>
      <c r="K620" s="36"/>
      <c r="L620" s="36"/>
      <c r="M620" s="36"/>
      <c r="N620" s="36"/>
      <c r="O620" s="36"/>
      <c r="P620" s="36"/>
      <c r="Q620" s="36"/>
      <c r="R620" s="36"/>
      <c r="S620" s="36"/>
      <c r="T620" s="36"/>
    </row>
    <row r="621" spans="1:20" ht="15.75">
      <c r="A621" s="13">
        <v>60418</v>
      </c>
      <c r="B621" s="44">
        <f t="shared" si="0"/>
        <v>31</v>
      </c>
      <c r="C621" s="35">
        <v>194.20500000000001</v>
      </c>
      <c r="D621" s="35">
        <v>267.46600000000001</v>
      </c>
      <c r="E621" s="41">
        <v>812.32899999999995</v>
      </c>
      <c r="F621" s="35">
        <v>1274</v>
      </c>
      <c r="G621" s="35">
        <v>75</v>
      </c>
      <c r="H621" s="43">
        <v>600</v>
      </c>
      <c r="I621" s="35">
        <v>695</v>
      </c>
      <c r="J621" s="35">
        <v>50</v>
      </c>
      <c r="K621" s="36"/>
      <c r="L621" s="36"/>
      <c r="M621" s="36"/>
      <c r="N621" s="36"/>
      <c r="O621" s="36"/>
      <c r="P621" s="36"/>
      <c r="Q621" s="36"/>
      <c r="R621" s="36"/>
      <c r="S621" s="36"/>
      <c r="T621" s="36"/>
    </row>
    <row r="622" spans="1:20" ht="15.75">
      <c r="A622" s="13">
        <v>60448</v>
      </c>
      <c r="B622" s="44">
        <f t="shared" si="0"/>
        <v>30</v>
      </c>
      <c r="C622" s="35">
        <v>194.20500000000001</v>
      </c>
      <c r="D622" s="35">
        <v>267.46600000000001</v>
      </c>
      <c r="E622" s="41">
        <v>812.32899999999995</v>
      </c>
      <c r="F622" s="35">
        <v>1274</v>
      </c>
      <c r="G622" s="35">
        <v>50</v>
      </c>
      <c r="H622" s="43">
        <v>600</v>
      </c>
      <c r="I622" s="35">
        <v>695</v>
      </c>
      <c r="J622" s="35">
        <v>50</v>
      </c>
      <c r="K622" s="36"/>
      <c r="L622" s="36"/>
      <c r="M622" s="36"/>
      <c r="N622" s="36"/>
      <c r="O622" s="36"/>
      <c r="P622" s="36"/>
      <c r="Q622" s="36"/>
      <c r="R622" s="36"/>
      <c r="S622" s="36"/>
      <c r="T622" s="36"/>
    </row>
    <row r="623" spans="1:20" ht="15.75">
      <c r="A623" s="13">
        <v>60479</v>
      </c>
      <c r="B623" s="44">
        <f t="shared" si="0"/>
        <v>31</v>
      </c>
      <c r="C623" s="35">
        <v>194.20500000000001</v>
      </c>
      <c r="D623" s="35">
        <v>267.46600000000001</v>
      </c>
      <c r="E623" s="41">
        <v>812.32899999999995</v>
      </c>
      <c r="F623" s="35">
        <v>1274</v>
      </c>
      <c r="G623" s="35">
        <v>50</v>
      </c>
      <c r="H623" s="43">
        <v>600</v>
      </c>
      <c r="I623" s="35">
        <v>695</v>
      </c>
      <c r="J623" s="35">
        <v>0</v>
      </c>
      <c r="K623" s="36"/>
      <c r="L623" s="36"/>
      <c r="M623" s="36"/>
      <c r="N623" s="36"/>
      <c r="O623" s="36"/>
      <c r="P623" s="36"/>
      <c r="Q623" s="36"/>
      <c r="R623" s="36"/>
      <c r="S623" s="36"/>
      <c r="T623" s="36"/>
    </row>
    <row r="624" spans="1:20" ht="15.75">
      <c r="A624" s="13">
        <v>60510</v>
      </c>
      <c r="B624" s="44">
        <f t="shared" si="0"/>
        <v>31</v>
      </c>
      <c r="C624" s="35">
        <v>194.20500000000001</v>
      </c>
      <c r="D624" s="35">
        <v>267.46600000000001</v>
      </c>
      <c r="E624" s="41">
        <v>812.32899999999995</v>
      </c>
      <c r="F624" s="35">
        <v>1274</v>
      </c>
      <c r="G624" s="35">
        <v>50</v>
      </c>
      <c r="H624" s="43">
        <v>600</v>
      </c>
      <c r="I624" s="35">
        <v>695</v>
      </c>
      <c r="J624" s="35">
        <v>0</v>
      </c>
      <c r="K624" s="36"/>
      <c r="L624" s="36"/>
      <c r="M624" s="36"/>
      <c r="N624" s="36"/>
      <c r="O624" s="36"/>
      <c r="P624" s="36"/>
      <c r="Q624" s="36"/>
      <c r="R624" s="36"/>
      <c r="S624" s="36"/>
      <c r="T624" s="36"/>
    </row>
    <row r="625" spans="1:20" ht="15.75">
      <c r="A625" s="13">
        <v>60540</v>
      </c>
      <c r="B625" s="44">
        <f t="shared" si="0"/>
        <v>30</v>
      </c>
      <c r="C625" s="35">
        <v>194.20500000000001</v>
      </c>
      <c r="D625" s="35">
        <v>267.46600000000001</v>
      </c>
      <c r="E625" s="41">
        <v>812.32899999999995</v>
      </c>
      <c r="F625" s="35">
        <v>1274</v>
      </c>
      <c r="G625" s="35">
        <v>50</v>
      </c>
      <c r="H625" s="43">
        <v>600</v>
      </c>
      <c r="I625" s="35">
        <v>695</v>
      </c>
      <c r="J625" s="35">
        <v>0</v>
      </c>
      <c r="K625" s="36"/>
      <c r="L625" s="36"/>
      <c r="M625" s="36"/>
      <c r="N625" s="36"/>
      <c r="O625" s="36"/>
      <c r="P625" s="36"/>
      <c r="Q625" s="36"/>
      <c r="R625" s="36"/>
      <c r="S625" s="36"/>
      <c r="T625" s="36"/>
    </row>
    <row r="626" spans="1:20" ht="15.75">
      <c r="A626" s="13">
        <v>60571</v>
      </c>
      <c r="B626" s="44">
        <f t="shared" si="0"/>
        <v>31</v>
      </c>
      <c r="C626" s="35">
        <v>131.881</v>
      </c>
      <c r="D626" s="35">
        <v>277.16699999999997</v>
      </c>
      <c r="E626" s="41">
        <v>829.952</v>
      </c>
      <c r="F626" s="35">
        <v>1239</v>
      </c>
      <c r="G626" s="35">
        <v>75</v>
      </c>
      <c r="H626" s="43">
        <v>600</v>
      </c>
      <c r="I626" s="35">
        <v>695</v>
      </c>
      <c r="J626" s="35">
        <v>0</v>
      </c>
      <c r="K626" s="36"/>
      <c r="L626" s="36"/>
      <c r="M626" s="36"/>
      <c r="N626" s="36"/>
      <c r="O626" s="36"/>
      <c r="P626" s="36"/>
      <c r="Q626" s="36"/>
      <c r="R626" s="36"/>
      <c r="S626" s="36"/>
      <c r="T626" s="36"/>
    </row>
    <row r="627" spans="1:20" ht="15.75">
      <c r="A627" s="13">
        <v>60601</v>
      </c>
      <c r="B627" s="44">
        <f t="shared" si="0"/>
        <v>30</v>
      </c>
      <c r="C627" s="35">
        <v>122.58</v>
      </c>
      <c r="D627" s="35">
        <v>297.94099999999997</v>
      </c>
      <c r="E627" s="41">
        <v>729.47900000000004</v>
      </c>
      <c r="F627" s="35">
        <v>1150</v>
      </c>
      <c r="G627" s="35">
        <v>100</v>
      </c>
      <c r="H627" s="43">
        <v>600</v>
      </c>
      <c r="I627" s="35">
        <v>695</v>
      </c>
      <c r="J627" s="35">
        <v>50</v>
      </c>
      <c r="K627" s="36"/>
      <c r="L627" s="36"/>
      <c r="M627" s="36"/>
      <c r="N627" s="36"/>
      <c r="O627" s="36"/>
      <c r="P627" s="36"/>
      <c r="Q627" s="36"/>
      <c r="R627" s="36"/>
      <c r="S627" s="36"/>
      <c r="T627" s="36"/>
    </row>
    <row r="628" spans="1:20" ht="15.75">
      <c r="A628" s="13">
        <v>60632</v>
      </c>
      <c r="B628" s="44">
        <f t="shared" si="0"/>
        <v>31</v>
      </c>
      <c r="C628" s="35">
        <v>122.58</v>
      </c>
      <c r="D628" s="35">
        <v>297.94099999999997</v>
      </c>
      <c r="E628" s="41">
        <v>729.47900000000004</v>
      </c>
      <c r="F628" s="35">
        <v>1150</v>
      </c>
      <c r="G628" s="35">
        <v>100</v>
      </c>
      <c r="H628" s="43">
        <v>600</v>
      </c>
      <c r="I628" s="35">
        <v>695</v>
      </c>
      <c r="J628" s="35">
        <v>50</v>
      </c>
      <c r="K628" s="36"/>
      <c r="L628" s="36"/>
      <c r="M628" s="36"/>
      <c r="N628" s="36"/>
      <c r="O628" s="36"/>
      <c r="P628" s="36"/>
      <c r="Q628" s="36"/>
      <c r="R628" s="36"/>
      <c r="S628" s="36"/>
      <c r="T628" s="36"/>
    </row>
    <row r="629" spans="1:20" ht="15.75">
      <c r="A629" s="13">
        <v>60663</v>
      </c>
      <c r="B629" s="44">
        <f t="shared" si="0"/>
        <v>31</v>
      </c>
      <c r="C629" s="35">
        <v>122.58</v>
      </c>
      <c r="D629" s="35">
        <v>297.94099999999997</v>
      </c>
      <c r="E629" s="41">
        <v>729.47900000000004</v>
      </c>
      <c r="F629" s="35">
        <v>1150</v>
      </c>
      <c r="G629" s="35">
        <v>100</v>
      </c>
      <c r="H629" s="43">
        <v>600</v>
      </c>
      <c r="I629" s="35">
        <v>695</v>
      </c>
      <c r="J629" s="35">
        <v>50</v>
      </c>
      <c r="K629" s="36"/>
      <c r="L629" s="36"/>
      <c r="M629" s="36"/>
      <c r="N629" s="36"/>
      <c r="O629" s="36"/>
      <c r="P629" s="36"/>
      <c r="Q629" s="36"/>
      <c r="R629" s="36"/>
      <c r="S629" s="36"/>
      <c r="T629" s="36"/>
    </row>
    <row r="630" spans="1:20" ht="15.75">
      <c r="A630" s="13">
        <v>60691</v>
      </c>
      <c r="B630" s="44">
        <f t="shared" si="0"/>
        <v>28</v>
      </c>
      <c r="C630" s="35">
        <v>122.58</v>
      </c>
      <c r="D630" s="35">
        <v>297.94099999999997</v>
      </c>
      <c r="E630" s="41">
        <v>729.47900000000004</v>
      </c>
      <c r="F630" s="35">
        <v>1150</v>
      </c>
      <c r="G630" s="35">
        <v>100</v>
      </c>
      <c r="H630" s="43">
        <v>600</v>
      </c>
      <c r="I630" s="35">
        <v>695</v>
      </c>
      <c r="J630" s="35">
        <v>50</v>
      </c>
      <c r="K630" s="36"/>
      <c r="L630" s="36"/>
      <c r="M630" s="36"/>
      <c r="N630" s="36"/>
      <c r="O630" s="36"/>
      <c r="P630" s="36"/>
      <c r="Q630" s="36"/>
      <c r="R630" s="36"/>
      <c r="S630" s="36"/>
      <c r="T630" s="36"/>
    </row>
    <row r="631" spans="1:20" ht="15.75">
      <c r="A631" s="13">
        <v>60722</v>
      </c>
      <c r="B631" s="44">
        <f t="shared" si="0"/>
        <v>31</v>
      </c>
      <c r="C631" s="35">
        <v>122.58</v>
      </c>
      <c r="D631" s="35">
        <v>297.94099999999997</v>
      </c>
      <c r="E631" s="41">
        <v>729.47900000000004</v>
      </c>
      <c r="F631" s="35">
        <v>1150</v>
      </c>
      <c r="G631" s="35">
        <v>100</v>
      </c>
      <c r="H631" s="43">
        <v>600</v>
      </c>
      <c r="I631" s="35">
        <v>695</v>
      </c>
      <c r="J631" s="35">
        <v>50</v>
      </c>
      <c r="K631" s="36"/>
      <c r="L631" s="36"/>
      <c r="M631" s="36"/>
      <c r="N631" s="36"/>
      <c r="O631" s="36"/>
      <c r="P631" s="36"/>
      <c r="Q631" s="36"/>
      <c r="R631" s="36"/>
      <c r="S631" s="36"/>
      <c r="T631" s="36"/>
    </row>
    <row r="632" spans="1:20" ht="15.75">
      <c r="A632" s="13">
        <v>60752</v>
      </c>
      <c r="B632" s="44">
        <f t="shared" si="0"/>
        <v>30</v>
      </c>
      <c r="C632" s="35">
        <v>141.29300000000001</v>
      </c>
      <c r="D632" s="35">
        <v>267.99299999999999</v>
      </c>
      <c r="E632" s="41">
        <v>829.71400000000006</v>
      </c>
      <c r="F632" s="35">
        <v>1239</v>
      </c>
      <c r="G632" s="35">
        <v>100</v>
      </c>
      <c r="H632" s="43">
        <v>600</v>
      </c>
      <c r="I632" s="35">
        <v>695</v>
      </c>
      <c r="J632" s="35">
        <v>50</v>
      </c>
      <c r="K632" s="36"/>
      <c r="L632" s="36"/>
      <c r="M632" s="36"/>
      <c r="N632" s="36"/>
      <c r="O632" s="36"/>
      <c r="P632" s="36"/>
      <c r="Q632" s="36"/>
      <c r="R632" s="36"/>
      <c r="S632" s="36"/>
      <c r="T632" s="36"/>
    </row>
    <row r="633" spans="1:20" ht="15.75">
      <c r="A633" s="13">
        <v>60783</v>
      </c>
      <c r="B633" s="44">
        <f t="shared" si="0"/>
        <v>31</v>
      </c>
      <c r="C633" s="35">
        <v>194.20500000000001</v>
      </c>
      <c r="D633" s="35">
        <v>267.46600000000001</v>
      </c>
      <c r="E633" s="41">
        <v>812.32899999999995</v>
      </c>
      <c r="F633" s="35">
        <v>1274</v>
      </c>
      <c r="G633" s="35">
        <v>75</v>
      </c>
      <c r="H633" s="43">
        <v>600</v>
      </c>
      <c r="I633" s="35">
        <v>695</v>
      </c>
      <c r="J633" s="35">
        <v>50</v>
      </c>
      <c r="K633" s="36"/>
      <c r="L633" s="36"/>
      <c r="M633" s="36"/>
      <c r="N633" s="36"/>
      <c r="O633" s="36"/>
      <c r="P633" s="36"/>
      <c r="Q633" s="36"/>
      <c r="R633" s="36"/>
      <c r="S633" s="36"/>
      <c r="T633" s="36"/>
    </row>
    <row r="634" spans="1:20" ht="15.75">
      <c r="A634" s="13">
        <v>60813</v>
      </c>
      <c r="B634" s="44">
        <f t="shared" si="0"/>
        <v>30</v>
      </c>
      <c r="C634" s="35">
        <v>194.20500000000001</v>
      </c>
      <c r="D634" s="35">
        <v>267.46600000000001</v>
      </c>
      <c r="E634" s="41">
        <v>812.32899999999995</v>
      </c>
      <c r="F634" s="35">
        <v>1274</v>
      </c>
      <c r="G634" s="35">
        <v>50</v>
      </c>
      <c r="H634" s="43">
        <v>600</v>
      </c>
      <c r="I634" s="35">
        <v>695</v>
      </c>
      <c r="J634" s="35">
        <v>50</v>
      </c>
      <c r="K634" s="36"/>
      <c r="L634" s="36"/>
      <c r="M634" s="36"/>
      <c r="N634" s="36"/>
      <c r="O634" s="36"/>
      <c r="P634" s="36"/>
      <c r="Q634" s="36"/>
      <c r="R634" s="36"/>
      <c r="S634" s="36"/>
      <c r="T634" s="36"/>
    </row>
    <row r="635" spans="1:20" ht="15.75">
      <c r="A635" s="13">
        <v>60844</v>
      </c>
      <c r="B635" s="44">
        <f t="shared" si="0"/>
        <v>31</v>
      </c>
      <c r="C635" s="35">
        <v>194.20500000000001</v>
      </c>
      <c r="D635" s="35">
        <v>267.46600000000001</v>
      </c>
      <c r="E635" s="41">
        <v>812.32899999999995</v>
      </c>
      <c r="F635" s="35">
        <v>1274</v>
      </c>
      <c r="G635" s="35">
        <v>50</v>
      </c>
      <c r="H635" s="43">
        <v>600</v>
      </c>
      <c r="I635" s="35">
        <v>695</v>
      </c>
      <c r="J635" s="35">
        <v>0</v>
      </c>
      <c r="K635" s="36"/>
      <c r="L635" s="36"/>
      <c r="M635" s="36"/>
      <c r="N635" s="36"/>
      <c r="O635" s="36"/>
      <c r="P635" s="36"/>
      <c r="Q635" s="36"/>
      <c r="R635" s="36"/>
      <c r="S635" s="36"/>
      <c r="T635" s="36"/>
    </row>
    <row r="636" spans="1:20" ht="15.75">
      <c r="A636" s="13">
        <v>60875</v>
      </c>
      <c r="B636" s="44">
        <f t="shared" si="0"/>
        <v>31</v>
      </c>
      <c r="C636" s="35">
        <v>194.20500000000001</v>
      </c>
      <c r="D636" s="35">
        <v>267.46600000000001</v>
      </c>
      <c r="E636" s="41">
        <v>812.32899999999995</v>
      </c>
      <c r="F636" s="35">
        <v>1274</v>
      </c>
      <c r="G636" s="35">
        <v>50</v>
      </c>
      <c r="H636" s="43">
        <v>600</v>
      </c>
      <c r="I636" s="35">
        <v>695</v>
      </c>
      <c r="J636" s="35">
        <v>0</v>
      </c>
      <c r="K636" s="36"/>
      <c r="L636" s="36"/>
      <c r="M636" s="36"/>
      <c r="N636" s="36"/>
      <c r="O636" s="36"/>
      <c r="P636" s="36"/>
      <c r="Q636" s="36"/>
      <c r="R636" s="36"/>
      <c r="S636" s="36"/>
      <c r="T636" s="36"/>
    </row>
    <row r="637" spans="1:20" ht="15.75">
      <c r="A637" s="13">
        <v>60905</v>
      </c>
      <c r="B637" s="44">
        <f t="shared" si="0"/>
        <v>30</v>
      </c>
      <c r="C637" s="35">
        <v>194.20500000000001</v>
      </c>
      <c r="D637" s="35">
        <v>267.46600000000001</v>
      </c>
      <c r="E637" s="41">
        <v>812.32899999999995</v>
      </c>
      <c r="F637" s="35">
        <v>1274</v>
      </c>
      <c r="G637" s="35">
        <v>50</v>
      </c>
      <c r="H637" s="43">
        <v>600</v>
      </c>
      <c r="I637" s="35">
        <v>695</v>
      </c>
      <c r="J637" s="35">
        <v>0</v>
      </c>
      <c r="K637" s="36"/>
      <c r="L637" s="36"/>
      <c r="M637" s="36"/>
      <c r="N637" s="36"/>
      <c r="O637" s="36"/>
      <c r="P637" s="36"/>
      <c r="Q637" s="36"/>
      <c r="R637" s="36"/>
      <c r="S637" s="36"/>
      <c r="T637" s="36"/>
    </row>
    <row r="638" spans="1:20" ht="15.75">
      <c r="A638" s="13">
        <v>60936</v>
      </c>
      <c r="B638" s="44">
        <f t="shared" si="0"/>
        <v>31</v>
      </c>
      <c r="C638" s="35">
        <v>131.881</v>
      </c>
      <c r="D638" s="35">
        <v>277.16699999999997</v>
      </c>
      <c r="E638" s="41">
        <v>829.952</v>
      </c>
      <c r="F638" s="35">
        <v>1239</v>
      </c>
      <c r="G638" s="35">
        <v>75</v>
      </c>
      <c r="H638" s="43">
        <v>600</v>
      </c>
      <c r="I638" s="35">
        <v>695</v>
      </c>
      <c r="J638" s="35">
        <v>0</v>
      </c>
      <c r="K638" s="36"/>
      <c r="L638" s="36"/>
      <c r="M638" s="36"/>
      <c r="N638" s="36"/>
      <c r="O638" s="36"/>
      <c r="P638" s="36"/>
      <c r="Q638" s="36"/>
      <c r="R638" s="36"/>
      <c r="S638" s="36"/>
      <c r="T638" s="36"/>
    </row>
    <row r="639" spans="1:20" ht="15.75">
      <c r="A639" s="13">
        <v>60966</v>
      </c>
      <c r="B639" s="44">
        <f t="shared" si="0"/>
        <v>30</v>
      </c>
      <c r="C639" s="35">
        <v>122.58</v>
      </c>
      <c r="D639" s="35">
        <v>297.94099999999997</v>
      </c>
      <c r="E639" s="41">
        <v>729.47900000000004</v>
      </c>
      <c r="F639" s="35">
        <v>1150</v>
      </c>
      <c r="G639" s="35">
        <v>100</v>
      </c>
      <c r="H639" s="43">
        <v>600</v>
      </c>
      <c r="I639" s="35">
        <v>695</v>
      </c>
      <c r="J639" s="35">
        <v>50</v>
      </c>
      <c r="K639" s="36"/>
      <c r="L639" s="36"/>
      <c r="M639" s="36"/>
      <c r="N639" s="36"/>
      <c r="O639" s="36"/>
      <c r="P639" s="36"/>
      <c r="Q639" s="36"/>
      <c r="R639" s="36"/>
      <c r="S639" s="36"/>
      <c r="T639" s="36"/>
    </row>
    <row r="640" spans="1:20" ht="15.75">
      <c r="A640" s="13">
        <v>60997</v>
      </c>
      <c r="B640" s="44">
        <f t="shared" si="0"/>
        <v>31</v>
      </c>
      <c r="C640" s="35">
        <v>122.58</v>
      </c>
      <c r="D640" s="35">
        <v>297.94099999999997</v>
      </c>
      <c r="E640" s="41">
        <v>729.47900000000004</v>
      </c>
      <c r="F640" s="35">
        <v>1150</v>
      </c>
      <c r="G640" s="35">
        <v>100</v>
      </c>
      <c r="H640" s="43">
        <v>600</v>
      </c>
      <c r="I640" s="35">
        <v>695</v>
      </c>
      <c r="J640" s="35">
        <v>50</v>
      </c>
      <c r="K640" s="36"/>
      <c r="L640" s="36"/>
      <c r="M640" s="36"/>
      <c r="N640" s="36"/>
      <c r="O640" s="36"/>
      <c r="P640" s="36"/>
      <c r="Q640" s="36"/>
      <c r="R640" s="36"/>
      <c r="S640" s="36"/>
      <c r="T640" s="36"/>
    </row>
    <row r="641" spans="1:20" ht="15.75">
      <c r="A641" s="13">
        <v>61028</v>
      </c>
      <c r="B641" s="44">
        <f t="shared" si="0"/>
        <v>31</v>
      </c>
      <c r="C641" s="35">
        <v>122.58</v>
      </c>
      <c r="D641" s="35">
        <v>297.94099999999997</v>
      </c>
      <c r="E641" s="41">
        <v>729.47900000000004</v>
      </c>
      <c r="F641" s="35">
        <v>1150</v>
      </c>
      <c r="G641" s="35">
        <v>100</v>
      </c>
      <c r="H641" s="43">
        <v>600</v>
      </c>
      <c r="I641" s="35">
        <v>695</v>
      </c>
      <c r="J641" s="35">
        <v>50</v>
      </c>
      <c r="K641" s="36"/>
      <c r="L641" s="36"/>
      <c r="M641" s="36"/>
      <c r="N641" s="36"/>
      <c r="O641" s="36"/>
      <c r="P641" s="36"/>
      <c r="Q641" s="36"/>
      <c r="R641" s="36"/>
      <c r="S641" s="36"/>
      <c r="T641" s="36"/>
    </row>
    <row r="642" spans="1:20" ht="15.75">
      <c r="A642" s="13">
        <v>61056</v>
      </c>
      <c r="B642" s="44">
        <f t="shared" si="0"/>
        <v>28</v>
      </c>
      <c r="C642" s="35">
        <v>122.58</v>
      </c>
      <c r="D642" s="35">
        <v>297.94099999999997</v>
      </c>
      <c r="E642" s="41">
        <v>729.47900000000004</v>
      </c>
      <c r="F642" s="35">
        <v>1150</v>
      </c>
      <c r="G642" s="35">
        <v>100</v>
      </c>
      <c r="H642" s="43">
        <v>600</v>
      </c>
      <c r="I642" s="35">
        <v>695</v>
      </c>
      <c r="J642" s="35">
        <v>50</v>
      </c>
      <c r="K642" s="36"/>
      <c r="L642" s="36"/>
      <c r="M642" s="36"/>
      <c r="N642" s="36"/>
      <c r="O642" s="36"/>
      <c r="P642" s="36"/>
      <c r="Q642" s="36"/>
      <c r="R642" s="36"/>
      <c r="S642" s="36"/>
      <c r="T642" s="36"/>
    </row>
    <row r="643" spans="1:20" ht="15.75">
      <c r="A643" s="13">
        <v>61087</v>
      </c>
      <c r="B643" s="44">
        <f t="shared" si="0"/>
        <v>31</v>
      </c>
      <c r="C643" s="35">
        <v>122.58</v>
      </c>
      <c r="D643" s="35">
        <v>297.94099999999997</v>
      </c>
      <c r="E643" s="41">
        <v>729.47900000000004</v>
      </c>
      <c r="F643" s="35">
        <v>1150</v>
      </c>
      <c r="G643" s="35">
        <v>100</v>
      </c>
      <c r="H643" s="43">
        <v>600</v>
      </c>
      <c r="I643" s="35">
        <v>695</v>
      </c>
      <c r="J643" s="35">
        <v>50</v>
      </c>
      <c r="K643" s="36"/>
      <c r="L643" s="36"/>
      <c r="M643" s="36"/>
      <c r="N643" s="36"/>
      <c r="O643" s="36"/>
      <c r="P643" s="36"/>
      <c r="Q643" s="36"/>
      <c r="R643" s="36"/>
      <c r="S643" s="36"/>
      <c r="T643" s="36"/>
    </row>
    <row r="644" spans="1:20" ht="15.75">
      <c r="A644" s="13">
        <v>61117</v>
      </c>
      <c r="B644" s="44">
        <f t="shared" si="0"/>
        <v>30</v>
      </c>
      <c r="C644" s="35">
        <v>141.29300000000001</v>
      </c>
      <c r="D644" s="35">
        <v>267.99299999999999</v>
      </c>
      <c r="E644" s="41">
        <v>829.71400000000006</v>
      </c>
      <c r="F644" s="35">
        <v>1239</v>
      </c>
      <c r="G644" s="35">
        <v>100</v>
      </c>
      <c r="H644" s="43">
        <v>600</v>
      </c>
      <c r="I644" s="35">
        <v>695</v>
      </c>
      <c r="J644" s="35">
        <v>50</v>
      </c>
      <c r="K644" s="36"/>
      <c r="L644" s="36"/>
      <c r="M644" s="36"/>
      <c r="N644" s="36"/>
      <c r="O644" s="36"/>
      <c r="P644" s="36"/>
      <c r="Q644" s="36"/>
      <c r="R644" s="36"/>
      <c r="S644" s="36"/>
      <c r="T644" s="36"/>
    </row>
    <row r="645" spans="1:20" ht="15.75">
      <c r="A645" s="13">
        <v>61148</v>
      </c>
      <c r="B645" s="44">
        <f t="shared" ref="B645:B708" si="1">EOMONTH(A645,0)-EOMONTH(A645,-1)</f>
        <v>31</v>
      </c>
      <c r="C645" s="35">
        <v>194.20500000000001</v>
      </c>
      <c r="D645" s="35">
        <v>267.46600000000001</v>
      </c>
      <c r="E645" s="41">
        <v>812.32899999999995</v>
      </c>
      <c r="F645" s="35">
        <v>1274</v>
      </c>
      <c r="G645" s="35">
        <v>75</v>
      </c>
      <c r="H645" s="43">
        <v>600</v>
      </c>
      <c r="I645" s="35">
        <v>695</v>
      </c>
      <c r="J645" s="35">
        <v>50</v>
      </c>
      <c r="K645" s="36"/>
      <c r="L645" s="36"/>
      <c r="M645" s="36"/>
      <c r="N645" s="36"/>
      <c r="O645" s="36"/>
      <c r="P645" s="36"/>
      <c r="Q645" s="36"/>
      <c r="R645" s="36"/>
      <c r="S645" s="36"/>
      <c r="T645" s="36"/>
    </row>
    <row r="646" spans="1:20" ht="15.75">
      <c r="A646" s="13">
        <v>61178</v>
      </c>
      <c r="B646" s="44">
        <f t="shared" si="1"/>
        <v>30</v>
      </c>
      <c r="C646" s="35">
        <v>194.20500000000001</v>
      </c>
      <c r="D646" s="35">
        <v>267.46600000000001</v>
      </c>
      <c r="E646" s="41">
        <v>812.32899999999995</v>
      </c>
      <c r="F646" s="35">
        <v>1274</v>
      </c>
      <c r="G646" s="35">
        <v>50</v>
      </c>
      <c r="H646" s="43">
        <v>600</v>
      </c>
      <c r="I646" s="35">
        <v>695</v>
      </c>
      <c r="J646" s="35">
        <v>50</v>
      </c>
      <c r="K646" s="36"/>
      <c r="L646" s="36"/>
      <c r="M646" s="36"/>
      <c r="N646" s="36"/>
      <c r="O646" s="36"/>
      <c r="P646" s="36"/>
      <c r="Q646" s="36"/>
      <c r="R646" s="36"/>
      <c r="S646" s="36"/>
      <c r="T646" s="36"/>
    </row>
    <row r="647" spans="1:20" ht="15.75">
      <c r="A647" s="13">
        <v>61209</v>
      </c>
      <c r="B647" s="44">
        <f t="shared" si="1"/>
        <v>31</v>
      </c>
      <c r="C647" s="35">
        <v>194.20500000000001</v>
      </c>
      <c r="D647" s="35">
        <v>267.46600000000001</v>
      </c>
      <c r="E647" s="41">
        <v>812.32899999999995</v>
      </c>
      <c r="F647" s="35">
        <v>1274</v>
      </c>
      <c r="G647" s="35">
        <v>50</v>
      </c>
      <c r="H647" s="43">
        <v>600</v>
      </c>
      <c r="I647" s="35">
        <v>695</v>
      </c>
      <c r="J647" s="35">
        <v>0</v>
      </c>
      <c r="K647" s="36"/>
      <c r="L647" s="36"/>
      <c r="M647" s="36"/>
      <c r="N647" s="36"/>
      <c r="O647" s="36"/>
      <c r="P647" s="36"/>
      <c r="Q647" s="36"/>
      <c r="R647" s="36"/>
      <c r="S647" s="36"/>
      <c r="T647" s="36"/>
    </row>
    <row r="648" spans="1:20" ht="15.75">
      <c r="A648" s="13">
        <v>61240</v>
      </c>
      <c r="B648" s="44">
        <f t="shared" si="1"/>
        <v>31</v>
      </c>
      <c r="C648" s="35">
        <v>194.20500000000001</v>
      </c>
      <c r="D648" s="35">
        <v>267.46600000000001</v>
      </c>
      <c r="E648" s="41">
        <v>812.32899999999995</v>
      </c>
      <c r="F648" s="35">
        <v>1274</v>
      </c>
      <c r="G648" s="35">
        <v>50</v>
      </c>
      <c r="H648" s="43">
        <v>600</v>
      </c>
      <c r="I648" s="35">
        <v>695</v>
      </c>
      <c r="J648" s="35">
        <v>0</v>
      </c>
      <c r="K648" s="36"/>
      <c r="L648" s="36"/>
      <c r="M648" s="36"/>
      <c r="N648" s="36"/>
      <c r="O648" s="36"/>
      <c r="P648" s="36"/>
      <c r="Q648" s="36"/>
      <c r="R648" s="36"/>
      <c r="S648" s="36"/>
      <c r="T648" s="36"/>
    </row>
    <row r="649" spans="1:20" ht="15.75">
      <c r="A649" s="13">
        <v>61270</v>
      </c>
      <c r="B649" s="44">
        <f t="shared" si="1"/>
        <v>30</v>
      </c>
      <c r="C649" s="35">
        <v>194.20500000000001</v>
      </c>
      <c r="D649" s="35">
        <v>267.46600000000001</v>
      </c>
      <c r="E649" s="41">
        <v>812.32899999999995</v>
      </c>
      <c r="F649" s="35">
        <v>1274</v>
      </c>
      <c r="G649" s="35">
        <v>50</v>
      </c>
      <c r="H649" s="43">
        <v>600</v>
      </c>
      <c r="I649" s="35">
        <v>695</v>
      </c>
      <c r="J649" s="35">
        <v>0</v>
      </c>
      <c r="K649" s="36"/>
      <c r="L649" s="36"/>
      <c r="M649" s="36"/>
      <c r="N649" s="36"/>
      <c r="O649" s="36"/>
      <c r="P649" s="36"/>
      <c r="Q649" s="36"/>
      <c r="R649" s="36"/>
      <c r="S649" s="36"/>
      <c r="T649" s="36"/>
    </row>
    <row r="650" spans="1:20" ht="15.75">
      <c r="A650" s="13">
        <v>61301</v>
      </c>
      <c r="B650" s="44">
        <f t="shared" si="1"/>
        <v>31</v>
      </c>
      <c r="C650" s="35">
        <v>131.881</v>
      </c>
      <c r="D650" s="35">
        <v>277.16699999999997</v>
      </c>
      <c r="E650" s="41">
        <v>829.952</v>
      </c>
      <c r="F650" s="35">
        <v>1239</v>
      </c>
      <c r="G650" s="35">
        <v>75</v>
      </c>
      <c r="H650" s="43">
        <v>600</v>
      </c>
      <c r="I650" s="35">
        <v>695</v>
      </c>
      <c r="J650" s="35">
        <v>0</v>
      </c>
      <c r="K650" s="36"/>
      <c r="L650" s="36"/>
      <c r="M650" s="36"/>
      <c r="N650" s="36"/>
      <c r="O650" s="36"/>
      <c r="P650" s="36"/>
      <c r="Q650" s="36"/>
      <c r="R650" s="36"/>
      <c r="S650" s="36"/>
      <c r="T650" s="36"/>
    </row>
    <row r="651" spans="1:20" ht="15.75">
      <c r="A651" s="13">
        <v>61331</v>
      </c>
      <c r="B651" s="44">
        <f t="shared" si="1"/>
        <v>30</v>
      </c>
      <c r="C651" s="35">
        <v>122.58</v>
      </c>
      <c r="D651" s="35">
        <v>297.94099999999997</v>
      </c>
      <c r="E651" s="41">
        <v>729.47900000000004</v>
      </c>
      <c r="F651" s="35">
        <v>1150</v>
      </c>
      <c r="G651" s="35">
        <v>100</v>
      </c>
      <c r="H651" s="43">
        <v>600</v>
      </c>
      <c r="I651" s="35">
        <v>695</v>
      </c>
      <c r="J651" s="35">
        <v>50</v>
      </c>
      <c r="K651" s="36"/>
      <c r="L651" s="36"/>
      <c r="M651" s="36"/>
      <c r="N651" s="36"/>
      <c r="O651" s="36"/>
      <c r="P651" s="36"/>
      <c r="Q651" s="36"/>
      <c r="R651" s="36"/>
      <c r="S651" s="36"/>
      <c r="T651" s="36"/>
    </row>
    <row r="652" spans="1:20" ht="15.75">
      <c r="A652" s="13">
        <v>61362</v>
      </c>
      <c r="B652" s="44">
        <f t="shared" si="1"/>
        <v>31</v>
      </c>
      <c r="C652" s="35">
        <v>122.58</v>
      </c>
      <c r="D652" s="35">
        <v>297.94099999999997</v>
      </c>
      <c r="E652" s="41">
        <v>729.47900000000004</v>
      </c>
      <c r="F652" s="35">
        <v>1150</v>
      </c>
      <c r="G652" s="35">
        <v>100</v>
      </c>
      <c r="H652" s="43">
        <v>600</v>
      </c>
      <c r="I652" s="35">
        <v>695</v>
      </c>
      <c r="J652" s="35">
        <v>50</v>
      </c>
      <c r="K652" s="36"/>
      <c r="L652" s="36"/>
      <c r="M652" s="36"/>
      <c r="N652" s="36"/>
      <c r="O652" s="36"/>
      <c r="P652" s="36"/>
      <c r="Q652" s="36"/>
      <c r="R652" s="36"/>
      <c r="S652" s="36"/>
      <c r="T652" s="36"/>
    </row>
    <row r="653" spans="1:20" ht="15.75">
      <c r="A653" s="13">
        <v>61393</v>
      </c>
      <c r="B653" s="44">
        <f t="shared" si="1"/>
        <v>31</v>
      </c>
      <c r="C653" s="35">
        <v>122.58</v>
      </c>
      <c r="D653" s="35">
        <v>297.94099999999997</v>
      </c>
      <c r="E653" s="41">
        <v>729.47900000000004</v>
      </c>
      <c r="F653" s="35">
        <v>1150</v>
      </c>
      <c r="G653" s="35">
        <v>100</v>
      </c>
      <c r="H653" s="43">
        <v>600</v>
      </c>
      <c r="I653" s="35">
        <v>695</v>
      </c>
      <c r="J653" s="35">
        <v>50</v>
      </c>
      <c r="K653" s="36"/>
      <c r="L653" s="36"/>
      <c r="M653" s="36"/>
      <c r="N653" s="36"/>
      <c r="O653" s="36"/>
      <c r="P653" s="36"/>
      <c r="Q653" s="36"/>
      <c r="R653" s="36"/>
      <c r="S653" s="36"/>
      <c r="T653" s="36"/>
    </row>
    <row r="654" spans="1:20" ht="15.75">
      <c r="A654" s="13">
        <v>61422</v>
      </c>
      <c r="B654" s="44">
        <f t="shared" si="1"/>
        <v>29</v>
      </c>
      <c r="C654" s="35">
        <v>122.58</v>
      </c>
      <c r="D654" s="35">
        <v>297.94099999999997</v>
      </c>
      <c r="E654" s="41">
        <v>729.47900000000004</v>
      </c>
      <c r="F654" s="35">
        <v>1150</v>
      </c>
      <c r="G654" s="35">
        <v>100</v>
      </c>
      <c r="H654" s="43">
        <v>600</v>
      </c>
      <c r="I654" s="35">
        <v>695</v>
      </c>
      <c r="J654" s="35">
        <v>50</v>
      </c>
      <c r="K654" s="36"/>
      <c r="L654" s="36"/>
      <c r="M654" s="36"/>
      <c r="N654" s="36"/>
      <c r="O654" s="36"/>
      <c r="P654" s="36"/>
      <c r="Q654" s="36"/>
      <c r="R654" s="36"/>
      <c r="S654" s="36"/>
      <c r="T654" s="36"/>
    </row>
    <row r="655" spans="1:20" ht="15.75">
      <c r="A655" s="13">
        <v>61453</v>
      </c>
      <c r="B655" s="44">
        <f t="shared" si="1"/>
        <v>31</v>
      </c>
      <c r="C655" s="35">
        <v>122.58</v>
      </c>
      <c r="D655" s="35">
        <v>297.94099999999997</v>
      </c>
      <c r="E655" s="41">
        <v>729.47900000000004</v>
      </c>
      <c r="F655" s="35">
        <v>1150</v>
      </c>
      <c r="G655" s="35">
        <v>100</v>
      </c>
      <c r="H655" s="43">
        <v>600</v>
      </c>
      <c r="I655" s="35">
        <v>695</v>
      </c>
      <c r="J655" s="35">
        <v>50</v>
      </c>
      <c r="K655" s="36"/>
      <c r="L655" s="36"/>
      <c r="M655" s="36"/>
      <c r="N655" s="36"/>
      <c r="O655" s="36"/>
      <c r="P655" s="36"/>
      <c r="Q655" s="36"/>
      <c r="R655" s="36"/>
      <c r="S655" s="36"/>
      <c r="T655" s="36"/>
    </row>
    <row r="656" spans="1:20" ht="15.75">
      <c r="A656" s="13">
        <v>61483</v>
      </c>
      <c r="B656" s="44">
        <f t="shared" si="1"/>
        <v>30</v>
      </c>
      <c r="C656" s="35">
        <v>141.29300000000001</v>
      </c>
      <c r="D656" s="35">
        <v>267.99299999999999</v>
      </c>
      <c r="E656" s="41">
        <v>829.71400000000006</v>
      </c>
      <c r="F656" s="35">
        <v>1239</v>
      </c>
      <c r="G656" s="35">
        <v>100</v>
      </c>
      <c r="H656" s="43">
        <v>600</v>
      </c>
      <c r="I656" s="35">
        <v>695</v>
      </c>
      <c r="J656" s="35">
        <v>50</v>
      </c>
      <c r="K656" s="36"/>
      <c r="L656" s="36"/>
      <c r="M656" s="36"/>
      <c r="N656" s="36"/>
      <c r="O656" s="36"/>
      <c r="P656" s="36"/>
      <c r="Q656" s="36"/>
      <c r="R656" s="36"/>
      <c r="S656" s="36"/>
      <c r="T656" s="36"/>
    </row>
    <row r="657" spans="1:20" ht="15.75">
      <c r="A657" s="13">
        <v>61514</v>
      </c>
      <c r="B657" s="44">
        <f t="shared" si="1"/>
        <v>31</v>
      </c>
      <c r="C657" s="35">
        <v>194.20500000000001</v>
      </c>
      <c r="D657" s="35">
        <v>267.46600000000001</v>
      </c>
      <c r="E657" s="41">
        <v>812.32899999999995</v>
      </c>
      <c r="F657" s="35">
        <v>1274</v>
      </c>
      <c r="G657" s="35">
        <v>75</v>
      </c>
      <c r="H657" s="43">
        <v>600</v>
      </c>
      <c r="I657" s="35">
        <v>695</v>
      </c>
      <c r="J657" s="35">
        <v>50</v>
      </c>
      <c r="K657" s="36"/>
      <c r="L657" s="36"/>
      <c r="M657" s="36"/>
      <c r="N657" s="36"/>
      <c r="O657" s="36"/>
      <c r="P657" s="36"/>
      <c r="Q657" s="36"/>
      <c r="R657" s="36"/>
      <c r="S657" s="36"/>
      <c r="T657" s="36"/>
    </row>
    <row r="658" spans="1:20" ht="15.75">
      <c r="A658" s="13">
        <v>61544</v>
      </c>
      <c r="B658" s="44">
        <f t="shared" si="1"/>
        <v>30</v>
      </c>
      <c r="C658" s="35">
        <v>194.20500000000001</v>
      </c>
      <c r="D658" s="35">
        <v>267.46600000000001</v>
      </c>
      <c r="E658" s="41">
        <v>812.32899999999995</v>
      </c>
      <c r="F658" s="35">
        <v>1274</v>
      </c>
      <c r="G658" s="35">
        <v>50</v>
      </c>
      <c r="H658" s="43">
        <v>600</v>
      </c>
      <c r="I658" s="35">
        <v>695</v>
      </c>
      <c r="J658" s="35">
        <v>50</v>
      </c>
      <c r="K658" s="36"/>
      <c r="L658" s="36"/>
      <c r="M658" s="36"/>
      <c r="N658" s="36"/>
      <c r="O658" s="36"/>
      <c r="P658" s="36"/>
      <c r="Q658" s="36"/>
      <c r="R658" s="36"/>
      <c r="S658" s="36"/>
      <c r="T658" s="36"/>
    </row>
    <row r="659" spans="1:20" ht="15.75">
      <c r="A659" s="13">
        <v>61575</v>
      </c>
      <c r="B659" s="44">
        <f t="shared" si="1"/>
        <v>31</v>
      </c>
      <c r="C659" s="35">
        <v>194.20500000000001</v>
      </c>
      <c r="D659" s="35">
        <v>267.46600000000001</v>
      </c>
      <c r="E659" s="41">
        <v>812.32899999999995</v>
      </c>
      <c r="F659" s="35">
        <v>1274</v>
      </c>
      <c r="G659" s="35">
        <v>50</v>
      </c>
      <c r="H659" s="43">
        <v>600</v>
      </c>
      <c r="I659" s="35">
        <v>695</v>
      </c>
      <c r="J659" s="35">
        <v>0</v>
      </c>
      <c r="K659" s="36"/>
      <c r="L659" s="36"/>
      <c r="M659" s="36"/>
      <c r="N659" s="36"/>
      <c r="O659" s="36"/>
      <c r="P659" s="36"/>
      <c r="Q659" s="36"/>
      <c r="R659" s="36"/>
      <c r="S659" s="36"/>
      <c r="T659" s="36"/>
    </row>
    <row r="660" spans="1:20" ht="15.75">
      <c r="A660" s="13">
        <v>61606</v>
      </c>
      <c r="B660" s="44">
        <f t="shared" si="1"/>
        <v>31</v>
      </c>
      <c r="C660" s="35">
        <v>194.20500000000001</v>
      </c>
      <c r="D660" s="35">
        <v>267.46600000000001</v>
      </c>
      <c r="E660" s="41">
        <v>812.32899999999995</v>
      </c>
      <c r="F660" s="35">
        <v>1274</v>
      </c>
      <c r="G660" s="35">
        <v>50</v>
      </c>
      <c r="H660" s="43">
        <v>600</v>
      </c>
      <c r="I660" s="35">
        <v>695</v>
      </c>
      <c r="J660" s="35">
        <v>0</v>
      </c>
      <c r="K660" s="36"/>
      <c r="L660" s="36"/>
      <c r="M660" s="36"/>
      <c r="N660" s="36"/>
      <c r="O660" s="36"/>
      <c r="P660" s="36"/>
      <c r="Q660" s="36"/>
      <c r="R660" s="36"/>
      <c r="S660" s="36"/>
      <c r="T660" s="36"/>
    </row>
    <row r="661" spans="1:20" ht="15.75">
      <c r="A661" s="13">
        <v>61636</v>
      </c>
      <c r="B661" s="44">
        <f t="shared" si="1"/>
        <v>30</v>
      </c>
      <c r="C661" s="35">
        <v>194.20500000000001</v>
      </c>
      <c r="D661" s="35">
        <v>267.46600000000001</v>
      </c>
      <c r="E661" s="41">
        <v>812.32899999999995</v>
      </c>
      <c r="F661" s="35">
        <v>1274</v>
      </c>
      <c r="G661" s="35">
        <v>50</v>
      </c>
      <c r="H661" s="43">
        <v>600</v>
      </c>
      <c r="I661" s="35">
        <v>695</v>
      </c>
      <c r="J661" s="35">
        <v>0</v>
      </c>
      <c r="K661" s="36"/>
      <c r="L661" s="36"/>
      <c r="M661" s="36"/>
      <c r="N661" s="36"/>
      <c r="O661" s="36"/>
      <c r="P661" s="36"/>
      <c r="Q661" s="36"/>
      <c r="R661" s="36"/>
      <c r="S661" s="36"/>
      <c r="T661" s="36"/>
    </row>
    <row r="662" spans="1:20" ht="15.75">
      <c r="A662" s="13">
        <v>61667</v>
      </c>
      <c r="B662" s="44">
        <f t="shared" si="1"/>
        <v>31</v>
      </c>
      <c r="C662" s="35">
        <v>131.881</v>
      </c>
      <c r="D662" s="35">
        <v>277.16699999999997</v>
      </c>
      <c r="E662" s="41">
        <v>829.952</v>
      </c>
      <c r="F662" s="35">
        <v>1239</v>
      </c>
      <c r="G662" s="35">
        <v>75</v>
      </c>
      <c r="H662" s="43">
        <v>600</v>
      </c>
      <c r="I662" s="35">
        <v>695</v>
      </c>
      <c r="J662" s="35">
        <v>0</v>
      </c>
      <c r="K662" s="36"/>
      <c r="L662" s="36"/>
      <c r="M662" s="36"/>
      <c r="N662" s="36"/>
      <c r="O662" s="36"/>
      <c r="P662" s="36"/>
      <c r="Q662" s="36"/>
      <c r="R662" s="36"/>
      <c r="S662" s="36"/>
      <c r="T662" s="36"/>
    </row>
    <row r="663" spans="1:20" ht="15.75">
      <c r="A663" s="13">
        <v>61697</v>
      </c>
      <c r="B663" s="44">
        <f t="shared" si="1"/>
        <v>30</v>
      </c>
      <c r="C663" s="35">
        <v>122.58</v>
      </c>
      <c r="D663" s="35">
        <v>297.94099999999997</v>
      </c>
      <c r="E663" s="41">
        <v>729.47900000000004</v>
      </c>
      <c r="F663" s="35">
        <v>1150</v>
      </c>
      <c r="G663" s="35">
        <v>100</v>
      </c>
      <c r="H663" s="43">
        <v>600</v>
      </c>
      <c r="I663" s="35">
        <v>695</v>
      </c>
      <c r="J663" s="35">
        <v>50</v>
      </c>
      <c r="K663" s="36"/>
      <c r="L663" s="36"/>
      <c r="M663" s="36"/>
      <c r="N663" s="36"/>
      <c r="O663" s="36"/>
      <c r="P663" s="36"/>
      <c r="Q663" s="36"/>
      <c r="R663" s="36"/>
      <c r="S663" s="36"/>
      <c r="T663" s="36"/>
    </row>
    <row r="664" spans="1:20" ht="15.75">
      <c r="A664" s="13">
        <v>61728</v>
      </c>
      <c r="B664" s="44">
        <f t="shared" si="1"/>
        <v>31</v>
      </c>
      <c r="C664" s="35">
        <v>122.58</v>
      </c>
      <c r="D664" s="35">
        <v>297.94099999999997</v>
      </c>
      <c r="E664" s="41">
        <v>729.47900000000004</v>
      </c>
      <c r="F664" s="35">
        <v>1150</v>
      </c>
      <c r="G664" s="35">
        <v>100</v>
      </c>
      <c r="H664" s="43">
        <v>600</v>
      </c>
      <c r="I664" s="35">
        <v>695</v>
      </c>
      <c r="J664" s="35">
        <v>50</v>
      </c>
      <c r="K664" s="36"/>
      <c r="L664" s="36"/>
      <c r="M664" s="36"/>
      <c r="N664" s="36"/>
      <c r="O664" s="36"/>
      <c r="P664" s="36"/>
      <c r="Q664" s="36"/>
      <c r="R664" s="36"/>
      <c r="S664" s="36"/>
      <c r="T664" s="36"/>
    </row>
    <row r="665" spans="1:20" ht="15.75">
      <c r="A665" s="13">
        <v>61759</v>
      </c>
      <c r="B665" s="44">
        <f t="shared" si="1"/>
        <v>31</v>
      </c>
      <c r="C665" s="35">
        <v>122.58</v>
      </c>
      <c r="D665" s="35">
        <v>297.94099999999997</v>
      </c>
      <c r="E665" s="41">
        <v>729.47900000000004</v>
      </c>
      <c r="F665" s="35">
        <v>1150</v>
      </c>
      <c r="G665" s="35">
        <v>100</v>
      </c>
      <c r="H665" s="43">
        <v>600</v>
      </c>
      <c r="I665" s="35">
        <v>695</v>
      </c>
      <c r="J665" s="35">
        <v>50</v>
      </c>
      <c r="K665" s="36"/>
      <c r="L665" s="36"/>
      <c r="M665" s="36"/>
      <c r="N665" s="36"/>
      <c r="O665" s="36"/>
      <c r="P665" s="36"/>
      <c r="Q665" s="36"/>
      <c r="R665" s="36"/>
      <c r="S665" s="36"/>
      <c r="T665" s="36"/>
    </row>
    <row r="666" spans="1:20" ht="15.75">
      <c r="A666" s="13">
        <v>61787</v>
      </c>
      <c r="B666" s="44">
        <f t="shared" si="1"/>
        <v>28</v>
      </c>
      <c r="C666" s="35">
        <v>122.58</v>
      </c>
      <c r="D666" s="35">
        <v>297.94099999999997</v>
      </c>
      <c r="E666" s="41">
        <v>729.47900000000004</v>
      </c>
      <c r="F666" s="35">
        <v>1150</v>
      </c>
      <c r="G666" s="35">
        <v>100</v>
      </c>
      <c r="H666" s="43">
        <v>600</v>
      </c>
      <c r="I666" s="35">
        <v>695</v>
      </c>
      <c r="J666" s="35">
        <v>50</v>
      </c>
      <c r="K666" s="36"/>
      <c r="L666" s="36"/>
      <c r="M666" s="36"/>
      <c r="N666" s="36"/>
      <c r="O666" s="36"/>
      <c r="P666" s="36"/>
      <c r="Q666" s="36"/>
      <c r="R666" s="36"/>
      <c r="S666" s="36"/>
      <c r="T666" s="36"/>
    </row>
    <row r="667" spans="1:20" ht="15.75">
      <c r="A667" s="13">
        <v>61818</v>
      </c>
      <c r="B667" s="44">
        <f t="shared" si="1"/>
        <v>31</v>
      </c>
      <c r="C667" s="35">
        <v>122.58</v>
      </c>
      <c r="D667" s="35">
        <v>297.94099999999997</v>
      </c>
      <c r="E667" s="41">
        <v>729.47900000000004</v>
      </c>
      <c r="F667" s="35">
        <v>1150</v>
      </c>
      <c r="G667" s="35">
        <v>100</v>
      </c>
      <c r="H667" s="43">
        <v>600</v>
      </c>
      <c r="I667" s="35">
        <v>695</v>
      </c>
      <c r="J667" s="35">
        <v>50</v>
      </c>
      <c r="K667" s="36"/>
      <c r="L667" s="36"/>
      <c r="M667" s="36"/>
      <c r="N667" s="36"/>
      <c r="O667" s="36"/>
      <c r="P667" s="36"/>
      <c r="Q667" s="36"/>
      <c r="R667" s="36"/>
      <c r="S667" s="36"/>
      <c r="T667" s="36"/>
    </row>
    <row r="668" spans="1:20" ht="15.75">
      <c r="A668" s="13">
        <v>61848</v>
      </c>
      <c r="B668" s="44">
        <f t="shared" si="1"/>
        <v>30</v>
      </c>
      <c r="C668" s="35">
        <v>141.29300000000001</v>
      </c>
      <c r="D668" s="35">
        <v>267.99299999999999</v>
      </c>
      <c r="E668" s="41">
        <v>829.71400000000006</v>
      </c>
      <c r="F668" s="35">
        <v>1239</v>
      </c>
      <c r="G668" s="35">
        <v>100</v>
      </c>
      <c r="H668" s="43">
        <v>600</v>
      </c>
      <c r="I668" s="35">
        <v>695</v>
      </c>
      <c r="J668" s="35">
        <v>50</v>
      </c>
      <c r="K668" s="36"/>
      <c r="L668" s="36"/>
      <c r="M668" s="36"/>
      <c r="N668" s="36"/>
      <c r="O668" s="36"/>
      <c r="P668" s="36"/>
      <c r="Q668" s="36"/>
      <c r="R668" s="36"/>
      <c r="S668" s="36"/>
      <c r="T668" s="36"/>
    </row>
    <row r="669" spans="1:20" ht="15.75">
      <c r="A669" s="13">
        <v>61879</v>
      </c>
      <c r="B669" s="44">
        <f t="shared" si="1"/>
        <v>31</v>
      </c>
      <c r="C669" s="35">
        <v>194.20500000000001</v>
      </c>
      <c r="D669" s="35">
        <v>267.46600000000001</v>
      </c>
      <c r="E669" s="41">
        <v>812.32899999999995</v>
      </c>
      <c r="F669" s="35">
        <v>1274</v>
      </c>
      <c r="G669" s="35">
        <v>75</v>
      </c>
      <c r="H669" s="43">
        <v>600</v>
      </c>
      <c r="I669" s="35">
        <v>695</v>
      </c>
      <c r="J669" s="35">
        <v>50</v>
      </c>
      <c r="K669" s="36"/>
      <c r="L669" s="36"/>
      <c r="M669" s="36"/>
      <c r="N669" s="36"/>
      <c r="O669" s="36"/>
      <c r="P669" s="36"/>
      <c r="Q669" s="36"/>
      <c r="R669" s="36"/>
      <c r="S669" s="36"/>
      <c r="T669" s="36"/>
    </row>
    <row r="670" spans="1:20" ht="15.75">
      <c r="A670" s="13">
        <v>61909</v>
      </c>
      <c r="B670" s="44">
        <f t="shared" si="1"/>
        <v>30</v>
      </c>
      <c r="C670" s="35">
        <v>194.20500000000001</v>
      </c>
      <c r="D670" s="35">
        <v>267.46600000000001</v>
      </c>
      <c r="E670" s="41">
        <v>812.32899999999995</v>
      </c>
      <c r="F670" s="35">
        <v>1274</v>
      </c>
      <c r="G670" s="35">
        <v>50</v>
      </c>
      <c r="H670" s="43">
        <v>600</v>
      </c>
      <c r="I670" s="35">
        <v>695</v>
      </c>
      <c r="J670" s="35">
        <v>50</v>
      </c>
      <c r="K670" s="36"/>
      <c r="L670" s="36"/>
      <c r="M670" s="36"/>
      <c r="N670" s="36"/>
      <c r="O670" s="36"/>
      <c r="P670" s="36"/>
      <c r="Q670" s="36"/>
      <c r="R670" s="36"/>
      <c r="S670" s="36"/>
      <c r="T670" s="36"/>
    </row>
    <row r="671" spans="1:20" ht="15.75">
      <c r="A671" s="13">
        <v>61940</v>
      </c>
      <c r="B671" s="44">
        <f t="shared" si="1"/>
        <v>31</v>
      </c>
      <c r="C671" s="35">
        <v>194.20500000000001</v>
      </c>
      <c r="D671" s="35">
        <v>267.46600000000001</v>
      </c>
      <c r="E671" s="41">
        <v>812.32899999999995</v>
      </c>
      <c r="F671" s="35">
        <v>1274</v>
      </c>
      <c r="G671" s="35">
        <v>50</v>
      </c>
      <c r="H671" s="43">
        <v>600</v>
      </c>
      <c r="I671" s="35">
        <v>695</v>
      </c>
      <c r="J671" s="35">
        <v>0</v>
      </c>
      <c r="K671" s="36"/>
      <c r="L671" s="36"/>
      <c r="M671" s="36"/>
      <c r="N671" s="36"/>
      <c r="O671" s="36"/>
      <c r="P671" s="36"/>
      <c r="Q671" s="36"/>
      <c r="R671" s="36"/>
      <c r="S671" s="36"/>
      <c r="T671" s="36"/>
    </row>
    <row r="672" spans="1:20" ht="15.75">
      <c r="A672" s="13">
        <v>61971</v>
      </c>
      <c r="B672" s="44">
        <f t="shared" si="1"/>
        <v>31</v>
      </c>
      <c r="C672" s="35">
        <v>194.20500000000001</v>
      </c>
      <c r="D672" s="35">
        <v>267.46600000000001</v>
      </c>
      <c r="E672" s="41">
        <v>812.32899999999995</v>
      </c>
      <c r="F672" s="35">
        <v>1274</v>
      </c>
      <c r="G672" s="35">
        <v>50</v>
      </c>
      <c r="H672" s="43">
        <v>600</v>
      </c>
      <c r="I672" s="35">
        <v>695</v>
      </c>
      <c r="J672" s="35">
        <v>0</v>
      </c>
      <c r="K672" s="36"/>
      <c r="L672" s="36"/>
      <c r="M672" s="36"/>
      <c r="N672" s="36"/>
      <c r="O672" s="36"/>
      <c r="P672" s="36"/>
      <c r="Q672" s="36"/>
      <c r="R672" s="36"/>
      <c r="S672" s="36"/>
      <c r="T672" s="36"/>
    </row>
    <row r="673" spans="1:20" ht="15.75">
      <c r="A673" s="13">
        <v>62001</v>
      </c>
      <c r="B673" s="44">
        <f t="shared" si="1"/>
        <v>30</v>
      </c>
      <c r="C673" s="35">
        <v>194.20500000000001</v>
      </c>
      <c r="D673" s="35">
        <v>267.46600000000001</v>
      </c>
      <c r="E673" s="41">
        <v>812.32899999999995</v>
      </c>
      <c r="F673" s="35">
        <v>1274</v>
      </c>
      <c r="G673" s="35">
        <v>50</v>
      </c>
      <c r="H673" s="43">
        <v>600</v>
      </c>
      <c r="I673" s="35">
        <v>695</v>
      </c>
      <c r="J673" s="35">
        <v>0</v>
      </c>
      <c r="K673" s="36"/>
      <c r="L673" s="36"/>
      <c r="M673" s="36"/>
      <c r="N673" s="36"/>
      <c r="O673" s="36"/>
      <c r="P673" s="36"/>
      <c r="Q673" s="36"/>
      <c r="R673" s="36"/>
      <c r="S673" s="36"/>
      <c r="T673" s="36"/>
    </row>
    <row r="674" spans="1:20" ht="15.75">
      <c r="A674" s="13">
        <v>62032</v>
      </c>
      <c r="B674" s="44">
        <f t="shared" si="1"/>
        <v>31</v>
      </c>
      <c r="C674" s="35">
        <v>131.881</v>
      </c>
      <c r="D674" s="35">
        <v>277.16699999999997</v>
      </c>
      <c r="E674" s="41">
        <v>829.952</v>
      </c>
      <c r="F674" s="35">
        <v>1239</v>
      </c>
      <c r="G674" s="35">
        <v>75</v>
      </c>
      <c r="H674" s="43">
        <v>600</v>
      </c>
      <c r="I674" s="35">
        <v>695</v>
      </c>
      <c r="J674" s="35">
        <v>0</v>
      </c>
      <c r="K674" s="36"/>
      <c r="L674" s="36"/>
      <c r="M674" s="36"/>
      <c r="N674" s="36"/>
      <c r="O674" s="36"/>
      <c r="P674" s="36"/>
      <c r="Q674" s="36"/>
      <c r="R674" s="36"/>
      <c r="S674" s="36"/>
      <c r="T674" s="36"/>
    </row>
    <row r="675" spans="1:20" ht="15.75">
      <c r="A675" s="13">
        <v>62062</v>
      </c>
      <c r="B675" s="44">
        <f t="shared" si="1"/>
        <v>30</v>
      </c>
      <c r="C675" s="35">
        <v>122.58</v>
      </c>
      <c r="D675" s="35">
        <v>297.94099999999997</v>
      </c>
      <c r="E675" s="41">
        <v>729.47900000000004</v>
      </c>
      <c r="F675" s="35">
        <v>1150</v>
      </c>
      <c r="G675" s="35">
        <v>100</v>
      </c>
      <c r="H675" s="43">
        <v>600</v>
      </c>
      <c r="I675" s="35">
        <v>695</v>
      </c>
      <c r="J675" s="35">
        <v>50</v>
      </c>
      <c r="K675" s="36"/>
      <c r="L675" s="36"/>
      <c r="M675" s="36"/>
      <c r="N675" s="36"/>
      <c r="O675" s="36"/>
      <c r="P675" s="36"/>
      <c r="Q675" s="36"/>
      <c r="R675" s="36"/>
      <c r="S675" s="36"/>
      <c r="T675" s="36"/>
    </row>
    <row r="676" spans="1:20" ht="15.75">
      <c r="A676" s="13">
        <v>62093</v>
      </c>
      <c r="B676" s="44">
        <f t="shared" si="1"/>
        <v>31</v>
      </c>
      <c r="C676" s="35">
        <v>122.58</v>
      </c>
      <c r="D676" s="35">
        <v>297.94099999999997</v>
      </c>
      <c r="E676" s="41">
        <v>729.47900000000004</v>
      </c>
      <c r="F676" s="35">
        <v>1150</v>
      </c>
      <c r="G676" s="35">
        <v>100</v>
      </c>
      <c r="H676" s="43">
        <v>600</v>
      </c>
      <c r="I676" s="35">
        <v>695</v>
      </c>
      <c r="J676" s="35">
        <v>50</v>
      </c>
      <c r="K676" s="36"/>
      <c r="L676" s="36"/>
      <c r="M676" s="36"/>
      <c r="N676" s="36"/>
      <c r="O676" s="36"/>
      <c r="P676" s="36"/>
      <c r="Q676" s="36"/>
      <c r="R676" s="36"/>
      <c r="S676" s="36"/>
      <c r="T676" s="36"/>
    </row>
    <row r="677" spans="1:20" ht="15.75">
      <c r="A677" s="13">
        <v>62124</v>
      </c>
      <c r="B677" s="44">
        <f t="shared" si="1"/>
        <v>31</v>
      </c>
      <c r="C677" s="35">
        <v>122.58</v>
      </c>
      <c r="D677" s="35">
        <v>297.94099999999997</v>
      </c>
      <c r="E677" s="41">
        <v>729.47900000000004</v>
      </c>
      <c r="F677" s="35">
        <v>1150</v>
      </c>
      <c r="G677" s="35">
        <v>100</v>
      </c>
      <c r="H677" s="43">
        <v>600</v>
      </c>
      <c r="I677" s="35">
        <v>695</v>
      </c>
      <c r="J677" s="35">
        <v>50</v>
      </c>
      <c r="K677" s="36"/>
      <c r="L677" s="36"/>
      <c r="M677" s="36"/>
      <c r="N677" s="36"/>
      <c r="O677" s="36"/>
      <c r="P677" s="36"/>
      <c r="Q677" s="36"/>
      <c r="R677" s="36"/>
      <c r="S677" s="36"/>
      <c r="T677" s="36"/>
    </row>
    <row r="678" spans="1:20" ht="15.75">
      <c r="A678" s="13">
        <v>62152</v>
      </c>
      <c r="B678" s="44">
        <f t="shared" si="1"/>
        <v>28</v>
      </c>
      <c r="C678" s="35">
        <v>122.58</v>
      </c>
      <c r="D678" s="35">
        <v>297.94099999999997</v>
      </c>
      <c r="E678" s="41">
        <v>729.47900000000004</v>
      </c>
      <c r="F678" s="35">
        <v>1150</v>
      </c>
      <c r="G678" s="35">
        <v>100</v>
      </c>
      <c r="H678" s="43">
        <v>600</v>
      </c>
      <c r="I678" s="35">
        <v>695</v>
      </c>
      <c r="J678" s="35">
        <v>50</v>
      </c>
      <c r="K678" s="36"/>
      <c r="L678" s="36"/>
      <c r="M678" s="36"/>
      <c r="N678" s="36"/>
      <c r="O678" s="36"/>
      <c r="P678" s="36"/>
      <c r="Q678" s="36"/>
      <c r="R678" s="36"/>
      <c r="S678" s="36"/>
      <c r="T678" s="36"/>
    </row>
    <row r="679" spans="1:20" ht="15.75">
      <c r="A679" s="13">
        <v>62183</v>
      </c>
      <c r="B679" s="44">
        <f t="shared" si="1"/>
        <v>31</v>
      </c>
      <c r="C679" s="35">
        <v>122.58</v>
      </c>
      <c r="D679" s="35">
        <v>297.94099999999997</v>
      </c>
      <c r="E679" s="41">
        <v>729.47900000000004</v>
      </c>
      <c r="F679" s="35">
        <v>1150</v>
      </c>
      <c r="G679" s="35">
        <v>100</v>
      </c>
      <c r="H679" s="43">
        <v>600</v>
      </c>
      <c r="I679" s="35">
        <v>695</v>
      </c>
      <c r="J679" s="35">
        <v>50</v>
      </c>
      <c r="K679" s="36"/>
      <c r="L679" s="36"/>
      <c r="M679" s="36"/>
      <c r="N679" s="36"/>
      <c r="O679" s="36"/>
      <c r="P679" s="36"/>
      <c r="Q679" s="36"/>
      <c r="R679" s="36"/>
      <c r="S679" s="36"/>
      <c r="T679" s="36"/>
    </row>
    <row r="680" spans="1:20" ht="15.75">
      <c r="A680" s="13">
        <v>62213</v>
      </c>
      <c r="B680" s="44">
        <f t="shared" si="1"/>
        <v>30</v>
      </c>
      <c r="C680" s="35">
        <v>141.29300000000001</v>
      </c>
      <c r="D680" s="35">
        <v>267.99299999999999</v>
      </c>
      <c r="E680" s="41">
        <v>829.71400000000006</v>
      </c>
      <c r="F680" s="35">
        <v>1239</v>
      </c>
      <c r="G680" s="35">
        <v>100</v>
      </c>
      <c r="H680" s="43">
        <v>600</v>
      </c>
      <c r="I680" s="35">
        <v>695</v>
      </c>
      <c r="J680" s="35">
        <v>50</v>
      </c>
      <c r="K680" s="36"/>
      <c r="L680" s="36"/>
      <c r="M680" s="36"/>
      <c r="N680" s="36"/>
      <c r="O680" s="36"/>
      <c r="P680" s="36"/>
      <c r="Q680" s="36"/>
      <c r="R680" s="36"/>
      <c r="S680" s="36"/>
      <c r="T680" s="36"/>
    </row>
    <row r="681" spans="1:20" ht="15.75">
      <c r="A681" s="13">
        <v>62244</v>
      </c>
      <c r="B681" s="44">
        <f t="shared" si="1"/>
        <v>31</v>
      </c>
      <c r="C681" s="35">
        <v>194.20500000000001</v>
      </c>
      <c r="D681" s="35">
        <v>267.46600000000001</v>
      </c>
      <c r="E681" s="41">
        <v>812.32899999999995</v>
      </c>
      <c r="F681" s="35">
        <v>1274</v>
      </c>
      <c r="G681" s="35">
        <v>75</v>
      </c>
      <c r="H681" s="43">
        <v>600</v>
      </c>
      <c r="I681" s="35">
        <v>695</v>
      </c>
      <c r="J681" s="35">
        <v>50</v>
      </c>
      <c r="K681" s="36"/>
      <c r="L681" s="36"/>
      <c r="M681" s="36"/>
      <c r="N681" s="36"/>
      <c r="O681" s="36"/>
      <c r="P681" s="36"/>
      <c r="Q681" s="36"/>
      <c r="R681" s="36"/>
      <c r="S681" s="36"/>
      <c r="T681" s="36"/>
    </row>
    <row r="682" spans="1:20" ht="15.75">
      <c r="A682" s="13">
        <v>62274</v>
      </c>
      <c r="B682" s="44">
        <f t="shared" si="1"/>
        <v>30</v>
      </c>
      <c r="C682" s="35">
        <v>194.20500000000001</v>
      </c>
      <c r="D682" s="35">
        <v>267.46600000000001</v>
      </c>
      <c r="E682" s="41">
        <v>812.32899999999995</v>
      </c>
      <c r="F682" s="35">
        <v>1274</v>
      </c>
      <c r="G682" s="35">
        <v>50</v>
      </c>
      <c r="H682" s="43">
        <v>600</v>
      </c>
      <c r="I682" s="35">
        <v>695</v>
      </c>
      <c r="J682" s="35">
        <v>50</v>
      </c>
      <c r="K682" s="36"/>
      <c r="L682" s="36"/>
      <c r="M682" s="36"/>
      <c r="N682" s="36"/>
      <c r="O682" s="36"/>
      <c r="P682" s="36"/>
      <c r="Q682" s="36"/>
      <c r="R682" s="36"/>
      <c r="S682" s="36"/>
      <c r="T682" s="36"/>
    </row>
    <row r="683" spans="1:20" ht="15.75">
      <c r="A683" s="13">
        <v>62305</v>
      </c>
      <c r="B683" s="44">
        <f t="shared" si="1"/>
        <v>31</v>
      </c>
      <c r="C683" s="35">
        <v>194.20500000000001</v>
      </c>
      <c r="D683" s="35">
        <v>267.46600000000001</v>
      </c>
      <c r="E683" s="41">
        <v>812.32899999999995</v>
      </c>
      <c r="F683" s="35">
        <v>1274</v>
      </c>
      <c r="G683" s="35">
        <v>50</v>
      </c>
      <c r="H683" s="43">
        <v>600</v>
      </c>
      <c r="I683" s="35">
        <v>695</v>
      </c>
      <c r="J683" s="35">
        <v>0</v>
      </c>
      <c r="K683" s="36"/>
      <c r="L683" s="36"/>
      <c r="M683" s="36"/>
      <c r="N683" s="36"/>
      <c r="O683" s="36"/>
      <c r="P683" s="36"/>
      <c r="Q683" s="36"/>
      <c r="R683" s="36"/>
      <c r="S683" s="36"/>
      <c r="T683" s="36"/>
    </row>
    <row r="684" spans="1:20" ht="15.75">
      <c r="A684" s="13">
        <v>62336</v>
      </c>
      <c r="B684" s="44">
        <f t="shared" si="1"/>
        <v>31</v>
      </c>
      <c r="C684" s="35">
        <v>194.20500000000001</v>
      </c>
      <c r="D684" s="35">
        <v>267.46600000000001</v>
      </c>
      <c r="E684" s="41">
        <v>812.32899999999995</v>
      </c>
      <c r="F684" s="35">
        <v>1274</v>
      </c>
      <c r="G684" s="35">
        <v>50</v>
      </c>
      <c r="H684" s="43">
        <v>600</v>
      </c>
      <c r="I684" s="35">
        <v>695</v>
      </c>
      <c r="J684" s="35">
        <v>0</v>
      </c>
      <c r="K684" s="36"/>
      <c r="L684" s="36"/>
      <c r="M684" s="36"/>
      <c r="N684" s="36"/>
      <c r="O684" s="36"/>
      <c r="P684" s="36"/>
      <c r="Q684" s="36"/>
      <c r="R684" s="36"/>
      <c r="S684" s="36"/>
      <c r="T684" s="36"/>
    </row>
    <row r="685" spans="1:20" ht="15.75">
      <c r="A685" s="13">
        <v>62366</v>
      </c>
      <c r="B685" s="44">
        <f t="shared" si="1"/>
        <v>30</v>
      </c>
      <c r="C685" s="35">
        <v>194.20500000000001</v>
      </c>
      <c r="D685" s="35">
        <v>267.46600000000001</v>
      </c>
      <c r="E685" s="41">
        <v>812.32899999999995</v>
      </c>
      <c r="F685" s="35">
        <v>1274</v>
      </c>
      <c r="G685" s="35">
        <v>50</v>
      </c>
      <c r="H685" s="43">
        <v>600</v>
      </c>
      <c r="I685" s="35">
        <v>695</v>
      </c>
      <c r="J685" s="35">
        <v>0</v>
      </c>
      <c r="K685" s="36"/>
      <c r="L685" s="36"/>
      <c r="M685" s="36"/>
      <c r="N685" s="36"/>
      <c r="O685" s="36"/>
      <c r="P685" s="36"/>
      <c r="Q685" s="36"/>
      <c r="R685" s="36"/>
      <c r="S685" s="36"/>
      <c r="T685" s="36"/>
    </row>
    <row r="686" spans="1:20" ht="15.75">
      <c r="A686" s="13">
        <v>62397</v>
      </c>
      <c r="B686" s="44">
        <f t="shared" si="1"/>
        <v>31</v>
      </c>
      <c r="C686" s="35">
        <v>131.881</v>
      </c>
      <c r="D686" s="35">
        <v>277.16699999999997</v>
      </c>
      <c r="E686" s="41">
        <v>829.952</v>
      </c>
      <c r="F686" s="35">
        <v>1239</v>
      </c>
      <c r="G686" s="35">
        <v>75</v>
      </c>
      <c r="H686" s="43">
        <v>600</v>
      </c>
      <c r="I686" s="35">
        <v>695</v>
      </c>
      <c r="J686" s="35">
        <v>0</v>
      </c>
      <c r="K686" s="36"/>
      <c r="L686" s="36"/>
      <c r="M686" s="36"/>
      <c r="N686" s="36"/>
      <c r="O686" s="36"/>
      <c r="P686" s="36"/>
      <c r="Q686" s="36"/>
      <c r="R686" s="36"/>
      <c r="S686" s="36"/>
      <c r="T686" s="36"/>
    </row>
    <row r="687" spans="1:20" ht="15.75">
      <c r="A687" s="13">
        <v>62427</v>
      </c>
      <c r="B687" s="44">
        <f t="shared" si="1"/>
        <v>30</v>
      </c>
      <c r="C687" s="35">
        <v>122.58</v>
      </c>
      <c r="D687" s="35">
        <v>297.94099999999997</v>
      </c>
      <c r="E687" s="41">
        <v>729.47900000000004</v>
      </c>
      <c r="F687" s="35">
        <v>1150</v>
      </c>
      <c r="G687" s="35">
        <v>100</v>
      </c>
      <c r="H687" s="43">
        <v>600</v>
      </c>
      <c r="I687" s="35">
        <v>695</v>
      </c>
      <c r="J687" s="35">
        <v>50</v>
      </c>
      <c r="K687" s="36"/>
      <c r="L687" s="36"/>
      <c r="M687" s="36"/>
      <c r="N687" s="36"/>
      <c r="O687" s="36"/>
      <c r="P687" s="36"/>
      <c r="Q687" s="36"/>
      <c r="R687" s="36"/>
      <c r="S687" s="36"/>
      <c r="T687" s="36"/>
    </row>
    <row r="688" spans="1:20" ht="15.75">
      <c r="A688" s="13">
        <v>62458</v>
      </c>
      <c r="B688" s="44">
        <f t="shared" si="1"/>
        <v>31</v>
      </c>
      <c r="C688" s="35">
        <v>122.58</v>
      </c>
      <c r="D688" s="35">
        <v>297.94099999999997</v>
      </c>
      <c r="E688" s="41">
        <v>729.47900000000004</v>
      </c>
      <c r="F688" s="35">
        <v>1150</v>
      </c>
      <c r="G688" s="35">
        <v>100</v>
      </c>
      <c r="H688" s="43">
        <v>600</v>
      </c>
      <c r="I688" s="35">
        <v>695</v>
      </c>
      <c r="J688" s="35">
        <v>50</v>
      </c>
      <c r="K688" s="36"/>
      <c r="L688" s="36"/>
      <c r="M688" s="36"/>
      <c r="N688" s="36"/>
      <c r="O688" s="36"/>
      <c r="P688" s="36"/>
      <c r="Q688" s="36"/>
      <c r="R688" s="36"/>
      <c r="S688" s="36"/>
      <c r="T688" s="36"/>
    </row>
    <row r="689" spans="1:20" ht="15.75">
      <c r="A689" s="13">
        <v>62489</v>
      </c>
      <c r="B689" s="44">
        <f t="shared" si="1"/>
        <v>31</v>
      </c>
      <c r="C689" s="35">
        <v>122.58</v>
      </c>
      <c r="D689" s="35">
        <v>297.94099999999997</v>
      </c>
      <c r="E689" s="41">
        <v>729.47900000000004</v>
      </c>
      <c r="F689" s="35">
        <v>1150</v>
      </c>
      <c r="G689" s="35">
        <v>100</v>
      </c>
      <c r="H689" s="43">
        <v>600</v>
      </c>
      <c r="I689" s="35">
        <v>695</v>
      </c>
      <c r="J689" s="35">
        <v>50</v>
      </c>
      <c r="K689" s="36"/>
      <c r="L689" s="36"/>
      <c r="M689" s="36"/>
      <c r="N689" s="36"/>
      <c r="O689" s="36"/>
      <c r="P689" s="36"/>
      <c r="Q689" s="36"/>
      <c r="R689" s="36"/>
      <c r="S689" s="36"/>
      <c r="T689" s="36"/>
    </row>
    <row r="690" spans="1:20" ht="15.75">
      <c r="A690" s="13">
        <v>62517</v>
      </c>
      <c r="B690" s="44">
        <f t="shared" si="1"/>
        <v>28</v>
      </c>
      <c r="C690" s="35">
        <v>122.58</v>
      </c>
      <c r="D690" s="35">
        <v>297.94099999999997</v>
      </c>
      <c r="E690" s="41">
        <v>729.47900000000004</v>
      </c>
      <c r="F690" s="35">
        <v>1150</v>
      </c>
      <c r="G690" s="35">
        <v>100</v>
      </c>
      <c r="H690" s="43">
        <v>600</v>
      </c>
      <c r="I690" s="35">
        <v>695</v>
      </c>
      <c r="J690" s="35">
        <v>50</v>
      </c>
      <c r="K690" s="36"/>
      <c r="L690" s="36"/>
      <c r="M690" s="36"/>
      <c r="N690" s="36"/>
      <c r="O690" s="36"/>
      <c r="P690" s="36"/>
      <c r="Q690" s="36"/>
      <c r="R690" s="36"/>
      <c r="S690" s="36"/>
      <c r="T690" s="36"/>
    </row>
    <row r="691" spans="1:20" ht="15.75">
      <c r="A691" s="13">
        <v>62548</v>
      </c>
      <c r="B691" s="44">
        <f t="shared" si="1"/>
        <v>31</v>
      </c>
      <c r="C691" s="35">
        <v>122.58</v>
      </c>
      <c r="D691" s="35">
        <v>297.94099999999997</v>
      </c>
      <c r="E691" s="41">
        <v>729.47900000000004</v>
      </c>
      <c r="F691" s="35">
        <v>1150</v>
      </c>
      <c r="G691" s="35">
        <v>100</v>
      </c>
      <c r="H691" s="43">
        <v>600</v>
      </c>
      <c r="I691" s="35">
        <v>695</v>
      </c>
      <c r="J691" s="35">
        <v>50</v>
      </c>
      <c r="K691" s="36"/>
      <c r="L691" s="36"/>
      <c r="M691" s="36"/>
      <c r="N691" s="36"/>
      <c r="O691" s="36"/>
      <c r="P691" s="36"/>
      <c r="Q691" s="36"/>
      <c r="R691" s="36"/>
      <c r="S691" s="36"/>
      <c r="T691" s="36"/>
    </row>
    <row r="692" spans="1:20" ht="15.75">
      <c r="A692" s="13">
        <v>62578</v>
      </c>
      <c r="B692" s="44">
        <f t="shared" si="1"/>
        <v>30</v>
      </c>
      <c r="C692" s="35">
        <v>141.29300000000001</v>
      </c>
      <c r="D692" s="35">
        <v>267.99299999999999</v>
      </c>
      <c r="E692" s="41">
        <v>829.71400000000006</v>
      </c>
      <c r="F692" s="35">
        <v>1239</v>
      </c>
      <c r="G692" s="35">
        <v>100</v>
      </c>
      <c r="H692" s="43">
        <v>600</v>
      </c>
      <c r="I692" s="35">
        <v>695</v>
      </c>
      <c r="J692" s="35">
        <v>50</v>
      </c>
      <c r="K692" s="36"/>
      <c r="L692" s="36"/>
      <c r="M692" s="36"/>
      <c r="N692" s="36"/>
      <c r="O692" s="36"/>
      <c r="P692" s="36"/>
      <c r="Q692" s="36"/>
      <c r="R692" s="36"/>
      <c r="S692" s="36"/>
      <c r="T692" s="36"/>
    </row>
    <row r="693" spans="1:20" ht="15.75">
      <c r="A693" s="13">
        <v>62609</v>
      </c>
      <c r="B693" s="44">
        <f t="shared" si="1"/>
        <v>31</v>
      </c>
      <c r="C693" s="35">
        <v>194.20500000000001</v>
      </c>
      <c r="D693" s="35">
        <v>267.46600000000001</v>
      </c>
      <c r="E693" s="41">
        <v>812.32899999999995</v>
      </c>
      <c r="F693" s="35">
        <v>1274</v>
      </c>
      <c r="G693" s="35">
        <v>75</v>
      </c>
      <c r="H693" s="43">
        <v>600</v>
      </c>
      <c r="I693" s="35">
        <v>695</v>
      </c>
      <c r="J693" s="35">
        <v>50</v>
      </c>
      <c r="K693" s="36"/>
      <c r="L693" s="36"/>
      <c r="M693" s="36"/>
      <c r="N693" s="36"/>
      <c r="O693" s="36"/>
      <c r="P693" s="36"/>
      <c r="Q693" s="36"/>
      <c r="R693" s="36"/>
      <c r="S693" s="36"/>
      <c r="T693" s="36"/>
    </row>
    <row r="694" spans="1:20" ht="15.75">
      <c r="A694" s="13">
        <v>62639</v>
      </c>
      <c r="B694" s="44">
        <f t="shared" si="1"/>
        <v>30</v>
      </c>
      <c r="C694" s="35">
        <v>194.20500000000001</v>
      </c>
      <c r="D694" s="35">
        <v>267.46600000000001</v>
      </c>
      <c r="E694" s="41">
        <v>812.32899999999995</v>
      </c>
      <c r="F694" s="35">
        <v>1274</v>
      </c>
      <c r="G694" s="35">
        <v>50</v>
      </c>
      <c r="H694" s="43">
        <v>600</v>
      </c>
      <c r="I694" s="35">
        <v>695</v>
      </c>
      <c r="J694" s="35">
        <v>50</v>
      </c>
      <c r="K694" s="36"/>
      <c r="L694" s="36"/>
      <c r="M694" s="36"/>
      <c r="N694" s="36"/>
      <c r="O694" s="36"/>
      <c r="P694" s="36"/>
      <c r="Q694" s="36"/>
      <c r="R694" s="36"/>
      <c r="S694" s="36"/>
      <c r="T694" s="36"/>
    </row>
    <row r="695" spans="1:20" ht="15.75">
      <c r="A695" s="13">
        <v>62670</v>
      </c>
      <c r="B695" s="44">
        <f t="shared" si="1"/>
        <v>31</v>
      </c>
      <c r="C695" s="35">
        <v>194.20500000000001</v>
      </c>
      <c r="D695" s="35">
        <v>267.46600000000001</v>
      </c>
      <c r="E695" s="41">
        <v>812.32899999999995</v>
      </c>
      <c r="F695" s="35">
        <v>1274</v>
      </c>
      <c r="G695" s="35">
        <v>50</v>
      </c>
      <c r="H695" s="43">
        <v>600</v>
      </c>
      <c r="I695" s="35">
        <v>695</v>
      </c>
      <c r="J695" s="35">
        <v>0</v>
      </c>
      <c r="K695" s="36"/>
      <c r="L695" s="36"/>
      <c r="M695" s="36"/>
      <c r="N695" s="36"/>
      <c r="O695" s="36"/>
      <c r="P695" s="36"/>
      <c r="Q695" s="36"/>
      <c r="R695" s="36"/>
      <c r="S695" s="36"/>
      <c r="T695" s="36"/>
    </row>
    <row r="696" spans="1:20" ht="15.75">
      <c r="A696" s="13">
        <v>62701</v>
      </c>
      <c r="B696" s="44">
        <f t="shared" si="1"/>
        <v>31</v>
      </c>
      <c r="C696" s="35">
        <v>194.20500000000001</v>
      </c>
      <c r="D696" s="35">
        <v>267.46600000000001</v>
      </c>
      <c r="E696" s="41">
        <v>812.32899999999995</v>
      </c>
      <c r="F696" s="35">
        <v>1274</v>
      </c>
      <c r="G696" s="35">
        <v>50</v>
      </c>
      <c r="H696" s="43">
        <v>600</v>
      </c>
      <c r="I696" s="35">
        <v>695</v>
      </c>
      <c r="J696" s="35">
        <v>0</v>
      </c>
      <c r="K696" s="36"/>
      <c r="L696" s="36"/>
      <c r="M696" s="36"/>
      <c r="N696" s="36"/>
      <c r="O696" s="36"/>
      <c r="P696" s="36"/>
      <c r="Q696" s="36"/>
      <c r="R696" s="36"/>
      <c r="S696" s="36"/>
      <c r="T696" s="36"/>
    </row>
    <row r="697" spans="1:20" ht="15.75">
      <c r="A697" s="13">
        <v>62731</v>
      </c>
      <c r="B697" s="44">
        <f t="shared" si="1"/>
        <v>30</v>
      </c>
      <c r="C697" s="35">
        <v>194.20500000000001</v>
      </c>
      <c r="D697" s="35">
        <v>267.46600000000001</v>
      </c>
      <c r="E697" s="41">
        <v>812.32899999999995</v>
      </c>
      <c r="F697" s="35">
        <v>1274</v>
      </c>
      <c r="G697" s="35">
        <v>50</v>
      </c>
      <c r="H697" s="43">
        <v>600</v>
      </c>
      <c r="I697" s="35">
        <v>695</v>
      </c>
      <c r="J697" s="35">
        <v>0</v>
      </c>
      <c r="K697" s="36"/>
      <c r="L697" s="36"/>
      <c r="M697" s="36"/>
      <c r="N697" s="36"/>
      <c r="O697" s="36"/>
      <c r="P697" s="36"/>
      <c r="Q697" s="36"/>
      <c r="R697" s="36"/>
      <c r="S697" s="36"/>
      <c r="T697" s="36"/>
    </row>
    <row r="698" spans="1:20" ht="15.75">
      <c r="A698" s="13">
        <v>62762</v>
      </c>
      <c r="B698" s="44">
        <f t="shared" si="1"/>
        <v>31</v>
      </c>
      <c r="C698" s="35">
        <v>131.881</v>
      </c>
      <c r="D698" s="35">
        <v>277.16699999999997</v>
      </c>
      <c r="E698" s="41">
        <v>829.952</v>
      </c>
      <c r="F698" s="35">
        <v>1239</v>
      </c>
      <c r="G698" s="35">
        <v>75</v>
      </c>
      <c r="H698" s="43">
        <v>600</v>
      </c>
      <c r="I698" s="35">
        <v>695</v>
      </c>
      <c r="J698" s="35">
        <v>0</v>
      </c>
      <c r="K698" s="36"/>
      <c r="L698" s="36"/>
      <c r="M698" s="36"/>
      <c r="N698" s="36"/>
      <c r="O698" s="36"/>
      <c r="P698" s="36"/>
      <c r="Q698" s="36"/>
      <c r="R698" s="36"/>
      <c r="S698" s="36"/>
      <c r="T698" s="36"/>
    </row>
    <row r="699" spans="1:20" ht="15.75">
      <c r="A699" s="13">
        <v>62792</v>
      </c>
      <c r="B699" s="44">
        <f t="shared" si="1"/>
        <v>30</v>
      </c>
      <c r="C699" s="35">
        <v>122.58</v>
      </c>
      <c r="D699" s="35">
        <v>297.94099999999997</v>
      </c>
      <c r="E699" s="41">
        <v>729.47900000000004</v>
      </c>
      <c r="F699" s="35">
        <v>1150</v>
      </c>
      <c r="G699" s="35">
        <v>100</v>
      </c>
      <c r="H699" s="43">
        <v>600</v>
      </c>
      <c r="I699" s="35">
        <v>695</v>
      </c>
      <c r="J699" s="35">
        <v>50</v>
      </c>
      <c r="K699" s="36"/>
      <c r="L699" s="36"/>
      <c r="M699" s="36"/>
      <c r="N699" s="36"/>
      <c r="O699" s="36"/>
      <c r="P699" s="36"/>
      <c r="Q699" s="36"/>
      <c r="R699" s="36"/>
      <c r="S699" s="36"/>
      <c r="T699" s="36"/>
    </row>
    <row r="700" spans="1:20" ht="15.75">
      <c r="A700" s="13">
        <v>62823</v>
      </c>
      <c r="B700" s="44">
        <f t="shared" si="1"/>
        <v>31</v>
      </c>
      <c r="C700" s="35">
        <v>122.58</v>
      </c>
      <c r="D700" s="35">
        <v>297.94099999999997</v>
      </c>
      <c r="E700" s="41">
        <v>729.47900000000004</v>
      </c>
      <c r="F700" s="35">
        <v>1150</v>
      </c>
      <c r="G700" s="35">
        <v>100</v>
      </c>
      <c r="H700" s="43">
        <v>600</v>
      </c>
      <c r="I700" s="35">
        <v>695</v>
      </c>
      <c r="J700" s="35">
        <v>50</v>
      </c>
      <c r="K700" s="36"/>
      <c r="L700" s="36"/>
      <c r="M700" s="36"/>
      <c r="N700" s="36"/>
      <c r="O700" s="36"/>
      <c r="P700" s="36"/>
      <c r="Q700" s="36"/>
      <c r="R700" s="36"/>
      <c r="S700" s="36"/>
      <c r="T700" s="36"/>
    </row>
    <row r="701" spans="1:20" ht="15.75">
      <c r="A701" s="13">
        <v>62854</v>
      </c>
      <c r="B701" s="44">
        <f t="shared" si="1"/>
        <v>31</v>
      </c>
      <c r="C701" s="35">
        <v>122.58</v>
      </c>
      <c r="D701" s="35">
        <v>297.94099999999997</v>
      </c>
      <c r="E701" s="41">
        <v>729.47900000000004</v>
      </c>
      <c r="F701" s="35">
        <v>1150</v>
      </c>
      <c r="G701" s="35">
        <v>100</v>
      </c>
      <c r="H701" s="43">
        <v>600</v>
      </c>
      <c r="I701" s="35">
        <v>695</v>
      </c>
      <c r="J701" s="35">
        <v>50</v>
      </c>
      <c r="K701" s="36"/>
      <c r="L701" s="36"/>
      <c r="M701" s="36"/>
      <c r="N701" s="36"/>
      <c r="O701" s="36"/>
      <c r="P701" s="36"/>
      <c r="Q701" s="36"/>
      <c r="R701" s="36"/>
      <c r="S701" s="36"/>
      <c r="T701" s="36"/>
    </row>
    <row r="702" spans="1:20" ht="15.75">
      <c r="A702" s="13">
        <v>62883</v>
      </c>
      <c r="B702" s="44">
        <f t="shared" si="1"/>
        <v>29</v>
      </c>
      <c r="C702" s="35">
        <v>122.58</v>
      </c>
      <c r="D702" s="35">
        <v>297.94099999999997</v>
      </c>
      <c r="E702" s="41">
        <v>729.47900000000004</v>
      </c>
      <c r="F702" s="35">
        <v>1150</v>
      </c>
      <c r="G702" s="35">
        <v>100</v>
      </c>
      <c r="H702" s="43">
        <v>600</v>
      </c>
      <c r="I702" s="35">
        <v>695</v>
      </c>
      <c r="J702" s="35">
        <v>50</v>
      </c>
      <c r="K702" s="36"/>
      <c r="L702" s="36"/>
      <c r="M702" s="36"/>
      <c r="N702" s="36"/>
      <c r="O702" s="36"/>
      <c r="P702" s="36"/>
      <c r="Q702" s="36"/>
      <c r="R702" s="36"/>
      <c r="S702" s="36"/>
      <c r="T702" s="36"/>
    </row>
    <row r="703" spans="1:20" ht="15.75">
      <c r="A703" s="13">
        <v>62914</v>
      </c>
      <c r="B703" s="44">
        <f t="shared" si="1"/>
        <v>31</v>
      </c>
      <c r="C703" s="35">
        <v>122.58</v>
      </c>
      <c r="D703" s="35">
        <v>297.94099999999997</v>
      </c>
      <c r="E703" s="41">
        <v>729.47900000000004</v>
      </c>
      <c r="F703" s="35">
        <v>1150</v>
      </c>
      <c r="G703" s="35">
        <v>100</v>
      </c>
      <c r="H703" s="43">
        <v>600</v>
      </c>
      <c r="I703" s="35">
        <v>695</v>
      </c>
      <c r="J703" s="35">
        <v>50</v>
      </c>
      <c r="K703" s="36"/>
      <c r="L703" s="36"/>
      <c r="M703" s="36"/>
      <c r="N703" s="36"/>
      <c r="O703" s="36"/>
      <c r="P703" s="36"/>
      <c r="Q703" s="36"/>
      <c r="R703" s="36"/>
      <c r="S703" s="36"/>
      <c r="T703" s="36"/>
    </row>
    <row r="704" spans="1:20" ht="15.75">
      <c r="A704" s="13">
        <v>62944</v>
      </c>
      <c r="B704" s="44">
        <f t="shared" si="1"/>
        <v>30</v>
      </c>
      <c r="C704" s="35">
        <v>141.29300000000001</v>
      </c>
      <c r="D704" s="35">
        <v>267.99299999999999</v>
      </c>
      <c r="E704" s="41">
        <v>829.71400000000006</v>
      </c>
      <c r="F704" s="35">
        <v>1239</v>
      </c>
      <c r="G704" s="35">
        <v>100</v>
      </c>
      <c r="H704" s="43">
        <v>600</v>
      </c>
      <c r="I704" s="35">
        <v>695</v>
      </c>
      <c r="J704" s="35">
        <v>50</v>
      </c>
      <c r="K704" s="36"/>
      <c r="L704" s="36"/>
      <c r="M704" s="36"/>
      <c r="N704" s="36"/>
      <c r="O704" s="36"/>
      <c r="P704" s="36"/>
      <c r="Q704" s="36"/>
      <c r="R704" s="36"/>
      <c r="S704" s="36"/>
      <c r="T704" s="36"/>
    </row>
    <row r="705" spans="1:20" ht="15.75">
      <c r="A705" s="13">
        <v>62975</v>
      </c>
      <c r="B705" s="44">
        <f t="shared" si="1"/>
        <v>31</v>
      </c>
      <c r="C705" s="35">
        <v>194.20500000000001</v>
      </c>
      <c r="D705" s="35">
        <v>267.46600000000001</v>
      </c>
      <c r="E705" s="41">
        <v>812.32899999999995</v>
      </c>
      <c r="F705" s="35">
        <v>1274</v>
      </c>
      <c r="G705" s="35">
        <v>75</v>
      </c>
      <c r="H705" s="43">
        <v>600</v>
      </c>
      <c r="I705" s="35">
        <v>695</v>
      </c>
      <c r="J705" s="35">
        <v>50</v>
      </c>
      <c r="K705" s="36"/>
      <c r="L705" s="36"/>
      <c r="M705" s="36"/>
      <c r="N705" s="36"/>
      <c r="O705" s="36"/>
      <c r="P705" s="36"/>
      <c r="Q705" s="36"/>
      <c r="R705" s="36"/>
      <c r="S705" s="36"/>
      <c r="T705" s="36"/>
    </row>
    <row r="706" spans="1:20" ht="15.75">
      <c r="A706" s="13">
        <v>63005</v>
      </c>
      <c r="B706" s="44">
        <f t="shared" si="1"/>
        <v>30</v>
      </c>
      <c r="C706" s="35">
        <v>194.20500000000001</v>
      </c>
      <c r="D706" s="35">
        <v>267.46600000000001</v>
      </c>
      <c r="E706" s="41">
        <v>812.32899999999995</v>
      </c>
      <c r="F706" s="35">
        <v>1274</v>
      </c>
      <c r="G706" s="35">
        <v>50</v>
      </c>
      <c r="H706" s="43">
        <v>600</v>
      </c>
      <c r="I706" s="35">
        <v>695</v>
      </c>
      <c r="J706" s="35">
        <v>50</v>
      </c>
      <c r="K706" s="36"/>
      <c r="L706" s="36"/>
      <c r="M706" s="36"/>
      <c r="N706" s="36"/>
      <c r="O706" s="36"/>
      <c r="P706" s="36"/>
      <c r="Q706" s="36"/>
      <c r="R706" s="36"/>
      <c r="S706" s="36"/>
      <c r="T706" s="36"/>
    </row>
    <row r="707" spans="1:20" ht="15.75">
      <c r="A707" s="13">
        <v>63036</v>
      </c>
      <c r="B707" s="44">
        <f t="shared" si="1"/>
        <v>31</v>
      </c>
      <c r="C707" s="35">
        <v>194.20500000000001</v>
      </c>
      <c r="D707" s="35">
        <v>267.46600000000001</v>
      </c>
      <c r="E707" s="41">
        <v>812.32899999999995</v>
      </c>
      <c r="F707" s="35">
        <v>1274</v>
      </c>
      <c r="G707" s="35">
        <v>50</v>
      </c>
      <c r="H707" s="43">
        <v>600</v>
      </c>
      <c r="I707" s="35">
        <v>695</v>
      </c>
      <c r="J707" s="35">
        <v>0</v>
      </c>
      <c r="K707" s="36"/>
      <c r="L707" s="36"/>
      <c r="M707" s="36"/>
      <c r="N707" s="36"/>
      <c r="O707" s="36"/>
      <c r="P707" s="36"/>
      <c r="Q707" s="36"/>
      <c r="R707" s="36"/>
      <c r="S707" s="36"/>
      <c r="T707" s="36"/>
    </row>
    <row r="708" spans="1:20" ht="15.75">
      <c r="A708" s="13">
        <v>63067</v>
      </c>
      <c r="B708" s="44">
        <f t="shared" si="1"/>
        <v>31</v>
      </c>
      <c r="C708" s="35">
        <v>194.20500000000001</v>
      </c>
      <c r="D708" s="35">
        <v>267.46600000000001</v>
      </c>
      <c r="E708" s="41">
        <v>812.32899999999995</v>
      </c>
      <c r="F708" s="35">
        <v>1274</v>
      </c>
      <c r="G708" s="35">
        <v>50</v>
      </c>
      <c r="H708" s="43">
        <v>600</v>
      </c>
      <c r="I708" s="35">
        <v>695</v>
      </c>
      <c r="J708" s="35">
        <v>0</v>
      </c>
      <c r="K708" s="36"/>
      <c r="L708" s="36"/>
      <c r="M708" s="36"/>
      <c r="N708" s="36"/>
      <c r="O708" s="36"/>
      <c r="P708" s="36"/>
      <c r="Q708" s="36"/>
      <c r="R708" s="36"/>
      <c r="S708" s="36"/>
      <c r="T708" s="36"/>
    </row>
    <row r="709" spans="1:20" ht="15.75">
      <c r="A709" s="13">
        <v>63097</v>
      </c>
      <c r="B709" s="44">
        <f t="shared" ref="B709:B772" si="2">EOMONTH(A709,0)-EOMONTH(A709,-1)</f>
        <v>30</v>
      </c>
      <c r="C709" s="35">
        <v>194.20500000000001</v>
      </c>
      <c r="D709" s="35">
        <v>267.46600000000001</v>
      </c>
      <c r="E709" s="41">
        <v>812.32899999999995</v>
      </c>
      <c r="F709" s="35">
        <v>1274</v>
      </c>
      <c r="G709" s="35">
        <v>50</v>
      </c>
      <c r="H709" s="43">
        <v>600</v>
      </c>
      <c r="I709" s="35">
        <v>695</v>
      </c>
      <c r="J709" s="35">
        <v>0</v>
      </c>
      <c r="K709" s="36"/>
      <c r="L709" s="36"/>
      <c r="M709" s="36"/>
      <c r="N709" s="36"/>
      <c r="O709" s="36"/>
      <c r="P709" s="36"/>
      <c r="Q709" s="36"/>
      <c r="R709" s="36"/>
      <c r="S709" s="36"/>
      <c r="T709" s="36"/>
    </row>
    <row r="710" spans="1:20" ht="15.75">
      <c r="A710" s="13">
        <v>63128</v>
      </c>
      <c r="B710" s="44">
        <f t="shared" si="2"/>
        <v>31</v>
      </c>
      <c r="C710" s="35">
        <v>131.881</v>
      </c>
      <c r="D710" s="35">
        <v>277.16699999999997</v>
      </c>
      <c r="E710" s="41">
        <v>829.952</v>
      </c>
      <c r="F710" s="35">
        <v>1239</v>
      </c>
      <c r="G710" s="35">
        <v>75</v>
      </c>
      <c r="H710" s="43">
        <v>600</v>
      </c>
      <c r="I710" s="35">
        <v>695</v>
      </c>
      <c r="J710" s="35">
        <v>0</v>
      </c>
      <c r="K710" s="36"/>
      <c r="L710" s="36"/>
      <c r="M710" s="36"/>
      <c r="N710" s="36"/>
      <c r="O710" s="36"/>
      <c r="P710" s="36"/>
      <c r="Q710" s="36"/>
      <c r="R710" s="36"/>
      <c r="S710" s="36"/>
      <c r="T710" s="36"/>
    </row>
    <row r="711" spans="1:20" ht="15.75">
      <c r="A711" s="13">
        <v>63158</v>
      </c>
      <c r="B711" s="44">
        <f t="shared" si="2"/>
        <v>30</v>
      </c>
      <c r="C711" s="35">
        <v>122.58</v>
      </c>
      <c r="D711" s="35">
        <v>297.94099999999997</v>
      </c>
      <c r="E711" s="41">
        <v>729.47900000000004</v>
      </c>
      <c r="F711" s="35">
        <v>1150</v>
      </c>
      <c r="G711" s="35">
        <v>100</v>
      </c>
      <c r="H711" s="43">
        <v>600</v>
      </c>
      <c r="I711" s="35">
        <v>695</v>
      </c>
      <c r="J711" s="35">
        <v>50</v>
      </c>
      <c r="K711" s="36"/>
      <c r="L711" s="36"/>
      <c r="M711" s="36"/>
      <c r="N711" s="36"/>
      <c r="O711" s="36"/>
      <c r="P711" s="36"/>
      <c r="Q711" s="36"/>
      <c r="R711" s="36"/>
      <c r="S711" s="36"/>
      <c r="T711" s="36"/>
    </row>
    <row r="712" spans="1:20" ht="15.75">
      <c r="A712" s="13">
        <v>63189</v>
      </c>
      <c r="B712" s="44">
        <f t="shared" si="2"/>
        <v>31</v>
      </c>
      <c r="C712" s="35">
        <v>122.58</v>
      </c>
      <c r="D712" s="35">
        <v>297.94099999999997</v>
      </c>
      <c r="E712" s="41">
        <v>729.47900000000004</v>
      </c>
      <c r="F712" s="35">
        <v>1150</v>
      </c>
      <c r="G712" s="35">
        <v>100</v>
      </c>
      <c r="H712" s="43">
        <v>600</v>
      </c>
      <c r="I712" s="35">
        <v>695</v>
      </c>
      <c r="J712" s="35">
        <v>50</v>
      </c>
      <c r="K712" s="36"/>
      <c r="L712" s="36"/>
      <c r="M712" s="36"/>
      <c r="N712" s="36"/>
      <c r="O712" s="36"/>
      <c r="P712" s="36"/>
      <c r="Q712" s="36"/>
      <c r="R712" s="36"/>
      <c r="S712" s="36"/>
      <c r="T712" s="36"/>
    </row>
    <row r="713" spans="1:20" ht="15.75">
      <c r="A713" s="13">
        <v>63220</v>
      </c>
      <c r="B713" s="44">
        <f t="shared" si="2"/>
        <v>31</v>
      </c>
      <c r="C713" s="35">
        <v>122.58</v>
      </c>
      <c r="D713" s="35">
        <v>297.94099999999997</v>
      </c>
      <c r="E713" s="41">
        <v>729.47900000000004</v>
      </c>
      <c r="F713" s="35">
        <v>1150</v>
      </c>
      <c r="G713" s="35">
        <v>100</v>
      </c>
      <c r="H713" s="43">
        <v>600</v>
      </c>
      <c r="I713" s="35">
        <v>695</v>
      </c>
      <c r="J713" s="35">
        <v>50</v>
      </c>
      <c r="K713" s="36"/>
      <c r="L713" s="36"/>
      <c r="M713" s="36"/>
      <c r="N713" s="36"/>
      <c r="O713" s="36"/>
      <c r="P713" s="36"/>
      <c r="Q713" s="36"/>
      <c r="R713" s="36"/>
      <c r="S713" s="36"/>
      <c r="T713" s="36"/>
    </row>
    <row r="714" spans="1:20" ht="15.75">
      <c r="A714" s="13">
        <v>63248</v>
      </c>
      <c r="B714" s="44">
        <f t="shared" si="2"/>
        <v>28</v>
      </c>
      <c r="C714" s="35">
        <v>122.58</v>
      </c>
      <c r="D714" s="35">
        <v>297.94099999999997</v>
      </c>
      <c r="E714" s="41">
        <v>729.47900000000004</v>
      </c>
      <c r="F714" s="35">
        <v>1150</v>
      </c>
      <c r="G714" s="35">
        <v>100</v>
      </c>
      <c r="H714" s="43">
        <v>600</v>
      </c>
      <c r="I714" s="35">
        <v>695</v>
      </c>
      <c r="J714" s="35">
        <v>50</v>
      </c>
      <c r="K714" s="36"/>
      <c r="L714" s="36"/>
      <c r="M714" s="36"/>
      <c r="N714" s="36"/>
      <c r="O714" s="36"/>
      <c r="P714" s="36"/>
      <c r="Q714" s="36"/>
      <c r="R714" s="36"/>
      <c r="S714" s="36"/>
      <c r="T714" s="36"/>
    </row>
    <row r="715" spans="1:20" ht="15.75">
      <c r="A715" s="13">
        <v>63279</v>
      </c>
      <c r="B715" s="44">
        <f t="shared" si="2"/>
        <v>31</v>
      </c>
      <c r="C715" s="35">
        <v>122.58</v>
      </c>
      <c r="D715" s="35">
        <v>297.94099999999997</v>
      </c>
      <c r="E715" s="41">
        <v>729.47900000000004</v>
      </c>
      <c r="F715" s="35">
        <v>1150</v>
      </c>
      <c r="G715" s="35">
        <v>100</v>
      </c>
      <c r="H715" s="43">
        <v>600</v>
      </c>
      <c r="I715" s="35">
        <v>695</v>
      </c>
      <c r="J715" s="35">
        <v>50</v>
      </c>
      <c r="K715" s="36"/>
      <c r="L715" s="36"/>
      <c r="M715" s="36"/>
      <c r="N715" s="36"/>
      <c r="O715" s="36"/>
      <c r="P715" s="36"/>
      <c r="Q715" s="36"/>
      <c r="R715" s="36"/>
      <c r="S715" s="36"/>
      <c r="T715" s="36"/>
    </row>
    <row r="716" spans="1:20" ht="15.75">
      <c r="A716" s="13">
        <v>63309</v>
      </c>
      <c r="B716" s="44">
        <f t="shared" si="2"/>
        <v>30</v>
      </c>
      <c r="C716" s="35">
        <v>141.29300000000001</v>
      </c>
      <c r="D716" s="35">
        <v>267.99299999999999</v>
      </c>
      <c r="E716" s="41">
        <v>829.71400000000006</v>
      </c>
      <c r="F716" s="35">
        <v>1239</v>
      </c>
      <c r="G716" s="35">
        <v>100</v>
      </c>
      <c r="H716" s="43">
        <v>600</v>
      </c>
      <c r="I716" s="35">
        <v>695</v>
      </c>
      <c r="J716" s="35">
        <v>50</v>
      </c>
      <c r="K716" s="36"/>
      <c r="L716" s="36"/>
      <c r="M716" s="36"/>
      <c r="N716" s="36"/>
      <c r="O716" s="36"/>
      <c r="P716" s="36"/>
      <c r="Q716" s="36"/>
      <c r="R716" s="36"/>
      <c r="S716" s="36"/>
      <c r="T716" s="36"/>
    </row>
    <row r="717" spans="1:20" ht="15.75">
      <c r="A717" s="13">
        <v>63340</v>
      </c>
      <c r="B717" s="44">
        <f t="shared" si="2"/>
        <v>31</v>
      </c>
      <c r="C717" s="35">
        <v>194.20500000000001</v>
      </c>
      <c r="D717" s="35">
        <v>267.46600000000001</v>
      </c>
      <c r="E717" s="41">
        <v>812.32899999999995</v>
      </c>
      <c r="F717" s="35">
        <v>1274</v>
      </c>
      <c r="G717" s="35">
        <v>75</v>
      </c>
      <c r="H717" s="43">
        <v>600</v>
      </c>
      <c r="I717" s="35">
        <v>695</v>
      </c>
      <c r="J717" s="35">
        <v>50</v>
      </c>
      <c r="K717" s="36"/>
      <c r="L717" s="36"/>
      <c r="M717" s="36"/>
      <c r="N717" s="36"/>
      <c r="O717" s="36"/>
      <c r="P717" s="36"/>
      <c r="Q717" s="36"/>
      <c r="R717" s="36"/>
      <c r="S717" s="36"/>
      <c r="T717" s="36"/>
    </row>
    <row r="718" spans="1:20" ht="15.75">
      <c r="A718" s="13">
        <v>63370</v>
      </c>
      <c r="B718" s="44">
        <f t="shared" si="2"/>
        <v>30</v>
      </c>
      <c r="C718" s="35">
        <v>194.20500000000001</v>
      </c>
      <c r="D718" s="35">
        <v>267.46600000000001</v>
      </c>
      <c r="E718" s="41">
        <v>812.32899999999995</v>
      </c>
      <c r="F718" s="35">
        <v>1274</v>
      </c>
      <c r="G718" s="35">
        <v>50</v>
      </c>
      <c r="H718" s="43">
        <v>600</v>
      </c>
      <c r="I718" s="35">
        <v>695</v>
      </c>
      <c r="J718" s="35">
        <v>50</v>
      </c>
      <c r="K718" s="36"/>
      <c r="L718" s="36"/>
      <c r="M718" s="36"/>
      <c r="N718" s="36"/>
      <c r="O718" s="36"/>
      <c r="P718" s="36"/>
      <c r="Q718" s="36"/>
      <c r="R718" s="36"/>
      <c r="S718" s="36"/>
      <c r="T718" s="36"/>
    </row>
    <row r="719" spans="1:20" ht="15.75">
      <c r="A719" s="13">
        <v>63401</v>
      </c>
      <c r="B719" s="44">
        <f t="shared" si="2"/>
        <v>31</v>
      </c>
      <c r="C719" s="35">
        <v>194.20500000000001</v>
      </c>
      <c r="D719" s="35">
        <v>267.46600000000001</v>
      </c>
      <c r="E719" s="41">
        <v>812.32899999999995</v>
      </c>
      <c r="F719" s="35">
        <v>1274</v>
      </c>
      <c r="G719" s="35">
        <v>50</v>
      </c>
      <c r="H719" s="43">
        <v>600</v>
      </c>
      <c r="I719" s="35">
        <v>695</v>
      </c>
      <c r="J719" s="35">
        <v>0</v>
      </c>
      <c r="K719" s="36"/>
      <c r="L719" s="36"/>
      <c r="M719" s="36"/>
      <c r="N719" s="36"/>
      <c r="O719" s="36"/>
      <c r="P719" s="36"/>
      <c r="Q719" s="36"/>
      <c r="R719" s="36"/>
      <c r="S719" s="36"/>
      <c r="T719" s="36"/>
    </row>
    <row r="720" spans="1:20" ht="15.75">
      <c r="A720" s="13">
        <v>63432</v>
      </c>
      <c r="B720" s="44">
        <f t="shared" si="2"/>
        <v>31</v>
      </c>
      <c r="C720" s="35">
        <v>194.20500000000001</v>
      </c>
      <c r="D720" s="35">
        <v>267.46600000000001</v>
      </c>
      <c r="E720" s="41">
        <v>812.32899999999995</v>
      </c>
      <c r="F720" s="35">
        <v>1274</v>
      </c>
      <c r="G720" s="35">
        <v>50</v>
      </c>
      <c r="H720" s="43">
        <v>600</v>
      </c>
      <c r="I720" s="35">
        <v>695</v>
      </c>
      <c r="J720" s="35">
        <v>0</v>
      </c>
      <c r="K720" s="36"/>
      <c r="L720" s="36"/>
      <c r="M720" s="36"/>
      <c r="N720" s="36"/>
      <c r="O720" s="36"/>
      <c r="P720" s="36"/>
      <c r="Q720" s="36"/>
      <c r="R720" s="36"/>
      <c r="S720" s="36"/>
      <c r="T720" s="36"/>
    </row>
    <row r="721" spans="1:20" ht="15.75">
      <c r="A721" s="13">
        <v>63462</v>
      </c>
      <c r="B721" s="44">
        <f t="shared" si="2"/>
        <v>30</v>
      </c>
      <c r="C721" s="35">
        <v>194.20500000000001</v>
      </c>
      <c r="D721" s="35">
        <v>267.46600000000001</v>
      </c>
      <c r="E721" s="41">
        <v>812.32899999999995</v>
      </c>
      <c r="F721" s="35">
        <v>1274</v>
      </c>
      <c r="G721" s="35">
        <v>50</v>
      </c>
      <c r="H721" s="43">
        <v>600</v>
      </c>
      <c r="I721" s="35">
        <v>695</v>
      </c>
      <c r="J721" s="35">
        <v>0</v>
      </c>
      <c r="K721" s="36"/>
      <c r="L721" s="36"/>
      <c r="M721" s="36"/>
      <c r="N721" s="36"/>
      <c r="O721" s="36"/>
      <c r="P721" s="36"/>
      <c r="Q721" s="36"/>
      <c r="R721" s="36"/>
      <c r="S721" s="36"/>
      <c r="T721" s="36"/>
    </row>
    <row r="722" spans="1:20" ht="15.75">
      <c r="A722" s="13">
        <v>63493</v>
      </c>
      <c r="B722" s="44">
        <f t="shared" si="2"/>
        <v>31</v>
      </c>
      <c r="C722" s="35">
        <v>131.881</v>
      </c>
      <c r="D722" s="35">
        <v>277.16699999999997</v>
      </c>
      <c r="E722" s="41">
        <v>829.952</v>
      </c>
      <c r="F722" s="35">
        <v>1239</v>
      </c>
      <c r="G722" s="35">
        <v>75</v>
      </c>
      <c r="H722" s="43">
        <v>600</v>
      </c>
      <c r="I722" s="35">
        <v>695</v>
      </c>
      <c r="J722" s="35">
        <v>0</v>
      </c>
      <c r="K722" s="36"/>
      <c r="L722" s="36"/>
      <c r="M722" s="36"/>
      <c r="N722" s="36"/>
      <c r="O722" s="36"/>
      <c r="P722" s="36"/>
      <c r="Q722" s="36"/>
      <c r="R722" s="36"/>
      <c r="S722" s="36"/>
      <c r="T722" s="36"/>
    </row>
    <row r="723" spans="1:20" ht="15.75">
      <c r="A723" s="13">
        <v>63523</v>
      </c>
      <c r="B723" s="44">
        <f t="shared" si="2"/>
        <v>30</v>
      </c>
      <c r="C723" s="35">
        <v>122.58</v>
      </c>
      <c r="D723" s="35">
        <v>297.94099999999997</v>
      </c>
      <c r="E723" s="41">
        <v>729.47900000000004</v>
      </c>
      <c r="F723" s="35">
        <v>1150</v>
      </c>
      <c r="G723" s="35">
        <v>100</v>
      </c>
      <c r="H723" s="43">
        <v>600</v>
      </c>
      <c r="I723" s="35">
        <v>695</v>
      </c>
      <c r="J723" s="35">
        <v>50</v>
      </c>
      <c r="K723" s="36"/>
      <c r="L723" s="36"/>
      <c r="M723" s="36"/>
      <c r="N723" s="36"/>
      <c r="O723" s="36"/>
      <c r="P723" s="36"/>
      <c r="Q723" s="36"/>
      <c r="R723" s="36"/>
      <c r="S723" s="36"/>
      <c r="T723" s="36"/>
    </row>
    <row r="724" spans="1:20" ht="15.75">
      <c r="A724" s="13">
        <v>63554</v>
      </c>
      <c r="B724" s="44">
        <f t="shared" si="2"/>
        <v>31</v>
      </c>
      <c r="C724" s="35">
        <v>122.58</v>
      </c>
      <c r="D724" s="35">
        <v>297.94099999999997</v>
      </c>
      <c r="E724" s="41">
        <v>729.47900000000004</v>
      </c>
      <c r="F724" s="35">
        <v>1150</v>
      </c>
      <c r="G724" s="35">
        <v>100</v>
      </c>
      <c r="H724" s="43">
        <v>600</v>
      </c>
      <c r="I724" s="35">
        <v>695</v>
      </c>
      <c r="J724" s="35">
        <v>50</v>
      </c>
      <c r="K724" s="36"/>
      <c r="L724" s="36"/>
      <c r="M724" s="36"/>
      <c r="N724" s="36"/>
      <c r="O724" s="36"/>
      <c r="P724" s="36"/>
      <c r="Q724" s="36"/>
      <c r="R724" s="36"/>
      <c r="S724" s="36"/>
      <c r="T724" s="36"/>
    </row>
    <row r="725" spans="1:20" ht="15.75">
      <c r="A725" s="13">
        <v>63585</v>
      </c>
      <c r="B725" s="44">
        <f t="shared" si="2"/>
        <v>31</v>
      </c>
      <c r="C725" s="35">
        <v>122.58</v>
      </c>
      <c r="D725" s="35">
        <v>297.94099999999997</v>
      </c>
      <c r="E725" s="41">
        <v>729.47900000000004</v>
      </c>
      <c r="F725" s="35">
        <v>1150</v>
      </c>
      <c r="G725" s="35">
        <v>100</v>
      </c>
      <c r="H725" s="43">
        <v>600</v>
      </c>
      <c r="I725" s="35">
        <v>695</v>
      </c>
      <c r="J725" s="35">
        <v>50</v>
      </c>
      <c r="K725" s="36"/>
      <c r="L725" s="36"/>
      <c r="M725" s="36"/>
      <c r="N725" s="36"/>
      <c r="O725" s="36"/>
      <c r="P725" s="36"/>
      <c r="Q725" s="36"/>
      <c r="R725" s="36"/>
      <c r="S725" s="36"/>
      <c r="T725" s="36"/>
    </row>
    <row r="726" spans="1:20" ht="15.75">
      <c r="A726" s="13">
        <v>63613</v>
      </c>
      <c r="B726" s="44">
        <f t="shared" si="2"/>
        <v>28</v>
      </c>
      <c r="C726" s="35">
        <v>122.58</v>
      </c>
      <c r="D726" s="35">
        <v>297.94099999999997</v>
      </c>
      <c r="E726" s="41">
        <v>729.47900000000004</v>
      </c>
      <c r="F726" s="35">
        <v>1150</v>
      </c>
      <c r="G726" s="35">
        <v>100</v>
      </c>
      <c r="H726" s="43">
        <v>600</v>
      </c>
      <c r="I726" s="35">
        <v>695</v>
      </c>
      <c r="J726" s="35">
        <v>50</v>
      </c>
      <c r="K726" s="36"/>
      <c r="L726" s="36"/>
      <c r="M726" s="36"/>
      <c r="N726" s="36"/>
      <c r="O726" s="36"/>
      <c r="P726" s="36"/>
      <c r="Q726" s="36"/>
      <c r="R726" s="36"/>
      <c r="S726" s="36"/>
      <c r="T726" s="36"/>
    </row>
    <row r="727" spans="1:20" ht="15.75">
      <c r="A727" s="13">
        <v>63644</v>
      </c>
      <c r="B727" s="44">
        <f t="shared" si="2"/>
        <v>31</v>
      </c>
      <c r="C727" s="35">
        <v>122.58</v>
      </c>
      <c r="D727" s="35">
        <v>297.94099999999997</v>
      </c>
      <c r="E727" s="41">
        <v>729.47900000000004</v>
      </c>
      <c r="F727" s="35">
        <v>1150</v>
      </c>
      <c r="G727" s="35">
        <v>100</v>
      </c>
      <c r="H727" s="43">
        <v>600</v>
      </c>
      <c r="I727" s="35">
        <v>695</v>
      </c>
      <c r="J727" s="35">
        <v>50</v>
      </c>
      <c r="K727" s="36"/>
      <c r="L727" s="36"/>
      <c r="M727" s="36"/>
      <c r="N727" s="36"/>
      <c r="O727" s="36"/>
      <c r="P727" s="36"/>
      <c r="Q727" s="36"/>
      <c r="R727" s="36"/>
      <c r="S727" s="36"/>
      <c r="T727" s="36"/>
    </row>
    <row r="728" spans="1:20" ht="15.75">
      <c r="A728" s="13">
        <v>63674</v>
      </c>
      <c r="B728" s="44">
        <f t="shared" si="2"/>
        <v>30</v>
      </c>
      <c r="C728" s="35">
        <v>141.29300000000001</v>
      </c>
      <c r="D728" s="35">
        <v>267.99299999999999</v>
      </c>
      <c r="E728" s="41">
        <v>829.71400000000006</v>
      </c>
      <c r="F728" s="35">
        <v>1239</v>
      </c>
      <c r="G728" s="35">
        <v>100</v>
      </c>
      <c r="H728" s="43">
        <v>600</v>
      </c>
      <c r="I728" s="35">
        <v>695</v>
      </c>
      <c r="J728" s="35">
        <v>50</v>
      </c>
      <c r="K728" s="36"/>
      <c r="L728" s="36"/>
      <c r="M728" s="36"/>
      <c r="N728" s="36"/>
      <c r="O728" s="36"/>
      <c r="P728" s="36"/>
      <c r="Q728" s="36"/>
      <c r="R728" s="36"/>
      <c r="S728" s="36"/>
      <c r="T728" s="36"/>
    </row>
    <row r="729" spans="1:20" ht="15.75">
      <c r="A729" s="13">
        <v>63705</v>
      </c>
      <c r="B729" s="44">
        <f t="shared" si="2"/>
        <v>31</v>
      </c>
      <c r="C729" s="35">
        <v>194.20500000000001</v>
      </c>
      <c r="D729" s="35">
        <v>267.46600000000001</v>
      </c>
      <c r="E729" s="41">
        <v>812.32899999999995</v>
      </c>
      <c r="F729" s="35">
        <v>1274</v>
      </c>
      <c r="G729" s="35">
        <v>75</v>
      </c>
      <c r="H729" s="43">
        <v>600</v>
      </c>
      <c r="I729" s="35">
        <v>695</v>
      </c>
      <c r="J729" s="35">
        <v>50</v>
      </c>
      <c r="K729" s="36"/>
      <c r="L729" s="36"/>
      <c r="M729" s="36"/>
      <c r="N729" s="36"/>
      <c r="O729" s="36"/>
      <c r="P729" s="36"/>
      <c r="Q729" s="36"/>
      <c r="R729" s="36"/>
      <c r="S729" s="36"/>
      <c r="T729" s="36"/>
    </row>
    <row r="730" spans="1:20" ht="15.75">
      <c r="A730" s="13">
        <v>63735</v>
      </c>
      <c r="B730" s="44">
        <f t="shared" si="2"/>
        <v>30</v>
      </c>
      <c r="C730" s="35">
        <v>194.20500000000001</v>
      </c>
      <c r="D730" s="35">
        <v>267.46600000000001</v>
      </c>
      <c r="E730" s="41">
        <v>812.32899999999995</v>
      </c>
      <c r="F730" s="35">
        <v>1274</v>
      </c>
      <c r="G730" s="35">
        <v>50</v>
      </c>
      <c r="H730" s="43">
        <v>600</v>
      </c>
      <c r="I730" s="35">
        <v>695</v>
      </c>
      <c r="J730" s="35">
        <v>50</v>
      </c>
      <c r="K730" s="36"/>
      <c r="L730" s="36"/>
      <c r="M730" s="36"/>
      <c r="N730" s="36"/>
      <c r="O730" s="36"/>
      <c r="P730" s="36"/>
      <c r="Q730" s="36"/>
      <c r="R730" s="36"/>
      <c r="S730" s="36"/>
      <c r="T730" s="36"/>
    </row>
    <row r="731" spans="1:20" ht="15.75">
      <c r="A731" s="13">
        <v>63766</v>
      </c>
      <c r="B731" s="44">
        <f t="shared" si="2"/>
        <v>31</v>
      </c>
      <c r="C731" s="35">
        <v>194.20500000000001</v>
      </c>
      <c r="D731" s="35">
        <v>267.46600000000001</v>
      </c>
      <c r="E731" s="41">
        <v>812.32899999999995</v>
      </c>
      <c r="F731" s="35">
        <v>1274</v>
      </c>
      <c r="G731" s="35">
        <v>50</v>
      </c>
      <c r="H731" s="43">
        <v>600</v>
      </c>
      <c r="I731" s="35">
        <v>695</v>
      </c>
      <c r="J731" s="35">
        <v>0</v>
      </c>
      <c r="K731" s="36"/>
      <c r="L731" s="36"/>
      <c r="M731" s="36"/>
      <c r="N731" s="36"/>
      <c r="O731" s="36"/>
      <c r="P731" s="36"/>
      <c r="Q731" s="36"/>
      <c r="R731" s="36"/>
      <c r="S731" s="36"/>
      <c r="T731" s="36"/>
    </row>
    <row r="732" spans="1:20" ht="15.75">
      <c r="A732" s="13">
        <v>63797</v>
      </c>
      <c r="B732" s="44">
        <f t="shared" si="2"/>
        <v>31</v>
      </c>
      <c r="C732" s="35">
        <v>194.20500000000001</v>
      </c>
      <c r="D732" s="35">
        <v>267.46600000000001</v>
      </c>
      <c r="E732" s="41">
        <v>812.32899999999995</v>
      </c>
      <c r="F732" s="35">
        <v>1274</v>
      </c>
      <c r="G732" s="35">
        <v>50</v>
      </c>
      <c r="H732" s="43">
        <v>600</v>
      </c>
      <c r="I732" s="35">
        <v>695</v>
      </c>
      <c r="J732" s="35">
        <v>0</v>
      </c>
      <c r="K732" s="36"/>
      <c r="L732" s="36"/>
      <c r="M732" s="36"/>
      <c r="N732" s="36"/>
      <c r="O732" s="36"/>
      <c r="P732" s="36"/>
      <c r="Q732" s="36"/>
      <c r="R732" s="36"/>
      <c r="S732" s="36"/>
      <c r="T732" s="36"/>
    </row>
    <row r="733" spans="1:20" ht="15.75">
      <c r="A733" s="13">
        <v>63827</v>
      </c>
      <c r="B733" s="44">
        <f t="shared" si="2"/>
        <v>30</v>
      </c>
      <c r="C733" s="35">
        <v>194.20500000000001</v>
      </c>
      <c r="D733" s="35">
        <v>267.46600000000001</v>
      </c>
      <c r="E733" s="41">
        <v>812.32899999999995</v>
      </c>
      <c r="F733" s="35">
        <v>1274</v>
      </c>
      <c r="G733" s="35">
        <v>50</v>
      </c>
      <c r="H733" s="43">
        <v>600</v>
      </c>
      <c r="I733" s="35">
        <v>695</v>
      </c>
      <c r="J733" s="35">
        <v>0</v>
      </c>
      <c r="K733" s="36"/>
      <c r="L733" s="36"/>
      <c r="M733" s="36"/>
      <c r="N733" s="36"/>
      <c r="O733" s="36"/>
      <c r="P733" s="36"/>
      <c r="Q733" s="36"/>
      <c r="R733" s="36"/>
      <c r="S733" s="36"/>
      <c r="T733" s="36"/>
    </row>
    <row r="734" spans="1:20" ht="15.75">
      <c r="A734" s="13">
        <v>63858</v>
      </c>
      <c r="B734" s="44">
        <f t="shared" si="2"/>
        <v>31</v>
      </c>
      <c r="C734" s="35">
        <v>131.881</v>
      </c>
      <c r="D734" s="35">
        <v>277.16699999999997</v>
      </c>
      <c r="E734" s="41">
        <v>829.952</v>
      </c>
      <c r="F734" s="35">
        <v>1239</v>
      </c>
      <c r="G734" s="35">
        <v>75</v>
      </c>
      <c r="H734" s="43">
        <v>600</v>
      </c>
      <c r="I734" s="35">
        <v>695</v>
      </c>
      <c r="J734" s="35">
        <v>0</v>
      </c>
      <c r="K734" s="36"/>
      <c r="L734" s="36"/>
      <c r="M734" s="36"/>
      <c r="N734" s="36"/>
      <c r="O734" s="36"/>
      <c r="P734" s="36"/>
      <c r="Q734" s="36"/>
      <c r="R734" s="36"/>
      <c r="S734" s="36"/>
      <c r="T734" s="36"/>
    </row>
    <row r="735" spans="1:20" ht="15.75">
      <c r="A735" s="13">
        <v>63888</v>
      </c>
      <c r="B735" s="44">
        <f t="shared" si="2"/>
        <v>30</v>
      </c>
      <c r="C735" s="35">
        <v>122.58</v>
      </c>
      <c r="D735" s="35">
        <v>297.94099999999997</v>
      </c>
      <c r="E735" s="41">
        <v>729.47900000000004</v>
      </c>
      <c r="F735" s="35">
        <v>1150</v>
      </c>
      <c r="G735" s="35">
        <v>100</v>
      </c>
      <c r="H735" s="43">
        <v>600</v>
      </c>
      <c r="I735" s="35">
        <v>695</v>
      </c>
      <c r="J735" s="35">
        <v>50</v>
      </c>
      <c r="K735" s="36"/>
      <c r="L735" s="36"/>
      <c r="M735" s="36"/>
      <c r="N735" s="36"/>
      <c r="O735" s="36"/>
      <c r="P735" s="36"/>
      <c r="Q735" s="36"/>
      <c r="R735" s="36"/>
      <c r="S735" s="36"/>
      <c r="T735" s="36"/>
    </row>
    <row r="736" spans="1:20" ht="15.75">
      <c r="A736" s="13">
        <v>63919</v>
      </c>
      <c r="B736" s="44">
        <f t="shared" si="2"/>
        <v>31</v>
      </c>
      <c r="C736" s="35">
        <v>122.58</v>
      </c>
      <c r="D736" s="35">
        <v>297.94099999999997</v>
      </c>
      <c r="E736" s="41">
        <v>729.47900000000004</v>
      </c>
      <c r="F736" s="35">
        <v>1150</v>
      </c>
      <c r="G736" s="35">
        <v>100</v>
      </c>
      <c r="H736" s="43">
        <v>600</v>
      </c>
      <c r="I736" s="35">
        <v>695</v>
      </c>
      <c r="J736" s="35">
        <v>50</v>
      </c>
      <c r="K736" s="36"/>
      <c r="L736" s="36"/>
      <c r="M736" s="36"/>
      <c r="N736" s="36"/>
      <c r="O736" s="36"/>
      <c r="P736" s="36"/>
      <c r="Q736" s="36"/>
      <c r="R736" s="36"/>
      <c r="S736" s="36"/>
      <c r="T736" s="36"/>
    </row>
    <row r="737" spans="1:20" ht="15.75">
      <c r="A737" s="13">
        <v>63950</v>
      </c>
      <c r="B737" s="44">
        <f t="shared" si="2"/>
        <v>31</v>
      </c>
      <c r="C737" s="35">
        <v>122.58</v>
      </c>
      <c r="D737" s="35">
        <v>297.94099999999997</v>
      </c>
      <c r="E737" s="41">
        <v>729.47900000000004</v>
      </c>
      <c r="F737" s="35">
        <v>1150</v>
      </c>
      <c r="G737" s="35">
        <v>100</v>
      </c>
      <c r="H737" s="43">
        <v>600</v>
      </c>
      <c r="I737" s="35">
        <v>695</v>
      </c>
      <c r="J737" s="35">
        <v>50</v>
      </c>
      <c r="K737" s="36"/>
      <c r="L737" s="36"/>
      <c r="M737" s="36"/>
      <c r="N737" s="36"/>
      <c r="O737" s="36"/>
      <c r="P737" s="36"/>
      <c r="Q737" s="36"/>
      <c r="R737" s="36"/>
      <c r="S737" s="36"/>
      <c r="T737" s="36"/>
    </row>
    <row r="738" spans="1:20" ht="15.75">
      <c r="A738" s="13">
        <v>63978</v>
      </c>
      <c r="B738" s="44">
        <f t="shared" si="2"/>
        <v>28</v>
      </c>
      <c r="C738" s="35">
        <v>122.58</v>
      </c>
      <c r="D738" s="35">
        <v>297.94099999999997</v>
      </c>
      <c r="E738" s="41">
        <v>729.47900000000004</v>
      </c>
      <c r="F738" s="35">
        <v>1150</v>
      </c>
      <c r="G738" s="35">
        <v>100</v>
      </c>
      <c r="H738" s="43">
        <v>600</v>
      </c>
      <c r="I738" s="35">
        <v>695</v>
      </c>
      <c r="J738" s="35">
        <v>50</v>
      </c>
      <c r="K738" s="36"/>
      <c r="L738" s="36"/>
      <c r="M738" s="36"/>
      <c r="N738" s="36"/>
      <c r="O738" s="36"/>
      <c r="P738" s="36"/>
      <c r="Q738" s="36"/>
      <c r="R738" s="36"/>
      <c r="S738" s="36"/>
      <c r="T738" s="36"/>
    </row>
    <row r="739" spans="1:20" ht="15.75">
      <c r="A739" s="13">
        <v>64009</v>
      </c>
      <c r="B739" s="44">
        <f t="shared" si="2"/>
        <v>31</v>
      </c>
      <c r="C739" s="35">
        <v>122.58</v>
      </c>
      <c r="D739" s="35">
        <v>297.94099999999997</v>
      </c>
      <c r="E739" s="41">
        <v>729.47900000000004</v>
      </c>
      <c r="F739" s="35">
        <v>1150</v>
      </c>
      <c r="G739" s="35">
        <v>100</v>
      </c>
      <c r="H739" s="43">
        <v>600</v>
      </c>
      <c r="I739" s="35">
        <v>695</v>
      </c>
      <c r="J739" s="35">
        <v>50</v>
      </c>
      <c r="K739" s="36"/>
      <c r="L739" s="36"/>
      <c r="M739" s="36"/>
      <c r="N739" s="36"/>
      <c r="O739" s="36"/>
      <c r="P739" s="36"/>
      <c r="Q739" s="36"/>
      <c r="R739" s="36"/>
      <c r="S739" s="36"/>
      <c r="T739" s="36"/>
    </row>
    <row r="740" spans="1:20" ht="15.75">
      <c r="A740" s="13">
        <v>64039</v>
      </c>
      <c r="B740" s="44">
        <f t="shared" si="2"/>
        <v>30</v>
      </c>
      <c r="C740" s="35">
        <v>141.29300000000001</v>
      </c>
      <c r="D740" s="35">
        <v>267.99299999999999</v>
      </c>
      <c r="E740" s="41">
        <v>829.71400000000006</v>
      </c>
      <c r="F740" s="35">
        <v>1239</v>
      </c>
      <c r="G740" s="35">
        <v>100</v>
      </c>
      <c r="H740" s="43">
        <v>600</v>
      </c>
      <c r="I740" s="35">
        <v>695</v>
      </c>
      <c r="J740" s="35">
        <v>50</v>
      </c>
      <c r="K740" s="36"/>
      <c r="L740" s="36"/>
      <c r="M740" s="36"/>
      <c r="N740" s="36"/>
      <c r="O740" s="36"/>
      <c r="P740" s="36"/>
      <c r="Q740" s="36"/>
      <c r="R740" s="36"/>
      <c r="S740" s="36"/>
      <c r="T740" s="36"/>
    </row>
    <row r="741" spans="1:20" ht="15.75">
      <c r="A741" s="13">
        <v>64070</v>
      </c>
      <c r="B741" s="44">
        <f t="shared" si="2"/>
        <v>31</v>
      </c>
      <c r="C741" s="35">
        <v>194.20500000000001</v>
      </c>
      <c r="D741" s="35">
        <v>267.46600000000001</v>
      </c>
      <c r="E741" s="41">
        <v>812.32899999999995</v>
      </c>
      <c r="F741" s="35">
        <v>1274</v>
      </c>
      <c r="G741" s="35">
        <v>75</v>
      </c>
      <c r="H741" s="43">
        <v>600</v>
      </c>
      <c r="I741" s="35">
        <v>695</v>
      </c>
      <c r="J741" s="35">
        <v>50</v>
      </c>
      <c r="K741" s="36"/>
      <c r="L741" s="36"/>
      <c r="M741" s="36"/>
      <c r="N741" s="36"/>
      <c r="O741" s="36"/>
      <c r="P741" s="36"/>
      <c r="Q741" s="36"/>
      <c r="R741" s="36"/>
      <c r="S741" s="36"/>
      <c r="T741" s="36"/>
    </row>
    <row r="742" spans="1:20" ht="15.75">
      <c r="A742" s="13">
        <v>64100</v>
      </c>
      <c r="B742" s="44">
        <f t="shared" si="2"/>
        <v>30</v>
      </c>
      <c r="C742" s="35">
        <v>194.20500000000001</v>
      </c>
      <c r="D742" s="35">
        <v>267.46600000000001</v>
      </c>
      <c r="E742" s="41">
        <v>812.32899999999995</v>
      </c>
      <c r="F742" s="35">
        <v>1274</v>
      </c>
      <c r="G742" s="35">
        <v>50</v>
      </c>
      <c r="H742" s="43">
        <v>600</v>
      </c>
      <c r="I742" s="35">
        <v>695</v>
      </c>
      <c r="J742" s="35">
        <v>50</v>
      </c>
      <c r="K742" s="36"/>
      <c r="L742" s="36"/>
      <c r="M742" s="36"/>
      <c r="N742" s="36"/>
      <c r="O742" s="36"/>
      <c r="P742" s="36"/>
      <c r="Q742" s="36"/>
      <c r="R742" s="36"/>
      <c r="S742" s="36"/>
      <c r="T742" s="36"/>
    </row>
    <row r="743" spans="1:20" ht="15.75">
      <c r="A743" s="13">
        <v>64131</v>
      </c>
      <c r="B743" s="44">
        <f t="shared" si="2"/>
        <v>31</v>
      </c>
      <c r="C743" s="35">
        <v>194.20500000000001</v>
      </c>
      <c r="D743" s="35">
        <v>267.46600000000001</v>
      </c>
      <c r="E743" s="41">
        <v>812.32899999999995</v>
      </c>
      <c r="F743" s="35">
        <v>1274</v>
      </c>
      <c r="G743" s="35">
        <v>50</v>
      </c>
      <c r="H743" s="43">
        <v>600</v>
      </c>
      <c r="I743" s="35">
        <v>695</v>
      </c>
      <c r="J743" s="35">
        <v>0</v>
      </c>
      <c r="K743" s="36"/>
      <c r="L743" s="36"/>
      <c r="M743" s="36"/>
      <c r="N743" s="36"/>
      <c r="O743" s="36"/>
      <c r="P743" s="36"/>
      <c r="Q743" s="36"/>
      <c r="R743" s="36"/>
      <c r="S743" s="36"/>
      <c r="T743" s="36"/>
    </row>
    <row r="744" spans="1:20" ht="15.75">
      <c r="A744" s="13">
        <v>64162</v>
      </c>
      <c r="B744" s="44">
        <f t="shared" si="2"/>
        <v>31</v>
      </c>
      <c r="C744" s="35">
        <v>194.20500000000001</v>
      </c>
      <c r="D744" s="35">
        <v>267.46600000000001</v>
      </c>
      <c r="E744" s="41">
        <v>812.32899999999995</v>
      </c>
      <c r="F744" s="35">
        <v>1274</v>
      </c>
      <c r="G744" s="35">
        <v>50</v>
      </c>
      <c r="H744" s="43">
        <v>600</v>
      </c>
      <c r="I744" s="35">
        <v>695</v>
      </c>
      <c r="J744" s="35">
        <v>0</v>
      </c>
      <c r="K744" s="36"/>
      <c r="L744" s="36"/>
      <c r="M744" s="36"/>
      <c r="N744" s="36"/>
      <c r="O744" s="36"/>
      <c r="P744" s="36"/>
      <c r="Q744" s="36"/>
      <c r="R744" s="36"/>
      <c r="S744" s="36"/>
      <c r="T744" s="36"/>
    </row>
    <row r="745" spans="1:20" ht="15.75">
      <c r="A745" s="13">
        <v>64192</v>
      </c>
      <c r="B745" s="44">
        <f t="shared" si="2"/>
        <v>30</v>
      </c>
      <c r="C745" s="35">
        <v>194.20500000000001</v>
      </c>
      <c r="D745" s="35">
        <v>267.46600000000001</v>
      </c>
      <c r="E745" s="41">
        <v>812.32899999999995</v>
      </c>
      <c r="F745" s="35">
        <v>1274</v>
      </c>
      <c r="G745" s="35">
        <v>50</v>
      </c>
      <c r="H745" s="43">
        <v>600</v>
      </c>
      <c r="I745" s="35">
        <v>695</v>
      </c>
      <c r="J745" s="35">
        <v>0</v>
      </c>
      <c r="K745" s="36"/>
      <c r="L745" s="36"/>
      <c r="M745" s="36"/>
      <c r="N745" s="36"/>
      <c r="O745" s="36"/>
      <c r="P745" s="36"/>
      <c r="Q745" s="36"/>
      <c r="R745" s="36"/>
      <c r="S745" s="36"/>
      <c r="T745" s="36"/>
    </row>
    <row r="746" spans="1:20" ht="15.75">
      <c r="A746" s="13">
        <v>64223</v>
      </c>
      <c r="B746" s="44">
        <f t="shared" si="2"/>
        <v>31</v>
      </c>
      <c r="C746" s="35">
        <v>131.881</v>
      </c>
      <c r="D746" s="35">
        <v>277.16699999999997</v>
      </c>
      <c r="E746" s="41">
        <v>829.952</v>
      </c>
      <c r="F746" s="35">
        <v>1239</v>
      </c>
      <c r="G746" s="35">
        <v>75</v>
      </c>
      <c r="H746" s="43">
        <v>600</v>
      </c>
      <c r="I746" s="35">
        <v>695</v>
      </c>
      <c r="J746" s="35">
        <v>0</v>
      </c>
      <c r="K746" s="36"/>
      <c r="L746" s="36"/>
      <c r="M746" s="36"/>
      <c r="N746" s="36"/>
      <c r="O746" s="36"/>
      <c r="P746" s="36"/>
      <c r="Q746" s="36"/>
      <c r="R746" s="36"/>
      <c r="S746" s="36"/>
      <c r="T746" s="36"/>
    </row>
    <row r="747" spans="1:20" ht="15.75">
      <c r="A747" s="13">
        <v>64253</v>
      </c>
      <c r="B747" s="44">
        <f t="shared" si="2"/>
        <v>30</v>
      </c>
      <c r="C747" s="35">
        <v>122.58</v>
      </c>
      <c r="D747" s="35">
        <v>297.94099999999997</v>
      </c>
      <c r="E747" s="41">
        <v>729.47900000000004</v>
      </c>
      <c r="F747" s="35">
        <v>1150</v>
      </c>
      <c r="G747" s="35">
        <v>100</v>
      </c>
      <c r="H747" s="43">
        <v>600</v>
      </c>
      <c r="I747" s="35">
        <v>695</v>
      </c>
      <c r="J747" s="35">
        <v>50</v>
      </c>
      <c r="K747" s="36"/>
      <c r="L747" s="36"/>
      <c r="M747" s="36"/>
      <c r="N747" s="36"/>
      <c r="O747" s="36"/>
      <c r="P747" s="36"/>
      <c r="Q747" s="36"/>
      <c r="R747" s="36"/>
      <c r="S747" s="36"/>
      <c r="T747" s="36"/>
    </row>
    <row r="748" spans="1:20" ht="15.75">
      <c r="A748" s="13">
        <v>64284</v>
      </c>
      <c r="B748" s="44">
        <f t="shared" si="2"/>
        <v>31</v>
      </c>
      <c r="C748" s="35">
        <v>122.58</v>
      </c>
      <c r="D748" s="35">
        <v>297.94099999999997</v>
      </c>
      <c r="E748" s="41">
        <v>729.47900000000004</v>
      </c>
      <c r="F748" s="35">
        <v>1150</v>
      </c>
      <c r="G748" s="35">
        <v>100</v>
      </c>
      <c r="H748" s="43">
        <v>600</v>
      </c>
      <c r="I748" s="35">
        <v>695</v>
      </c>
      <c r="J748" s="35">
        <v>50</v>
      </c>
      <c r="K748" s="36"/>
      <c r="L748" s="36"/>
      <c r="M748" s="36"/>
      <c r="N748" s="36"/>
      <c r="O748" s="36"/>
      <c r="P748" s="36"/>
      <c r="Q748" s="36"/>
      <c r="R748" s="36"/>
      <c r="S748" s="36"/>
      <c r="T748" s="36"/>
    </row>
    <row r="749" spans="1:20" ht="15.75">
      <c r="A749" s="13">
        <v>64315</v>
      </c>
      <c r="B749" s="44">
        <f t="shared" si="2"/>
        <v>31</v>
      </c>
      <c r="C749" s="35">
        <v>122.58</v>
      </c>
      <c r="D749" s="35">
        <v>297.94099999999997</v>
      </c>
      <c r="E749" s="41">
        <v>729.47900000000004</v>
      </c>
      <c r="F749" s="35">
        <v>1150</v>
      </c>
      <c r="G749" s="35">
        <v>100</v>
      </c>
      <c r="H749" s="43">
        <v>600</v>
      </c>
      <c r="I749" s="35">
        <v>695</v>
      </c>
      <c r="J749" s="35">
        <v>50</v>
      </c>
      <c r="K749" s="36"/>
      <c r="L749" s="36"/>
      <c r="M749" s="36"/>
      <c r="N749" s="36"/>
      <c r="O749" s="36"/>
      <c r="P749" s="36"/>
      <c r="Q749" s="36"/>
      <c r="R749" s="36"/>
      <c r="S749" s="36"/>
      <c r="T749" s="36"/>
    </row>
    <row r="750" spans="1:20" ht="15.75">
      <c r="A750" s="13">
        <v>64344</v>
      </c>
      <c r="B750" s="44">
        <f t="shared" si="2"/>
        <v>29</v>
      </c>
      <c r="C750" s="35">
        <v>122.58</v>
      </c>
      <c r="D750" s="35">
        <v>297.94099999999997</v>
      </c>
      <c r="E750" s="41">
        <v>729.47900000000004</v>
      </c>
      <c r="F750" s="35">
        <v>1150</v>
      </c>
      <c r="G750" s="35">
        <v>100</v>
      </c>
      <c r="H750" s="43">
        <v>600</v>
      </c>
      <c r="I750" s="35">
        <v>695</v>
      </c>
      <c r="J750" s="35">
        <v>50</v>
      </c>
      <c r="K750" s="36"/>
      <c r="L750" s="36"/>
      <c r="M750" s="36"/>
      <c r="N750" s="36"/>
      <c r="O750" s="36"/>
      <c r="P750" s="36"/>
      <c r="Q750" s="36"/>
      <c r="R750" s="36"/>
      <c r="S750" s="36"/>
      <c r="T750" s="36"/>
    </row>
    <row r="751" spans="1:20" ht="15.75">
      <c r="A751" s="13">
        <v>64375</v>
      </c>
      <c r="B751" s="44">
        <f t="shared" si="2"/>
        <v>31</v>
      </c>
      <c r="C751" s="35">
        <v>122.58</v>
      </c>
      <c r="D751" s="35">
        <v>297.94099999999997</v>
      </c>
      <c r="E751" s="41">
        <v>729.47900000000004</v>
      </c>
      <c r="F751" s="35">
        <v>1150</v>
      </c>
      <c r="G751" s="35">
        <v>100</v>
      </c>
      <c r="H751" s="43">
        <v>600</v>
      </c>
      <c r="I751" s="35">
        <v>695</v>
      </c>
      <c r="J751" s="35">
        <v>50</v>
      </c>
      <c r="K751" s="36"/>
      <c r="L751" s="36"/>
      <c r="M751" s="36"/>
      <c r="N751" s="36"/>
      <c r="O751" s="36"/>
      <c r="P751" s="36"/>
      <c r="Q751" s="36"/>
      <c r="R751" s="36"/>
      <c r="S751" s="36"/>
      <c r="T751" s="36"/>
    </row>
    <row r="752" spans="1:20" ht="15.75">
      <c r="A752" s="13">
        <v>64405</v>
      </c>
      <c r="B752" s="44">
        <f t="shared" si="2"/>
        <v>30</v>
      </c>
      <c r="C752" s="35">
        <v>141.29300000000001</v>
      </c>
      <c r="D752" s="35">
        <v>267.99299999999999</v>
      </c>
      <c r="E752" s="41">
        <v>829.71400000000006</v>
      </c>
      <c r="F752" s="35">
        <v>1239</v>
      </c>
      <c r="G752" s="35">
        <v>100</v>
      </c>
      <c r="H752" s="43">
        <v>600</v>
      </c>
      <c r="I752" s="35">
        <v>695</v>
      </c>
      <c r="J752" s="35">
        <v>50</v>
      </c>
      <c r="K752" s="36"/>
      <c r="L752" s="36"/>
      <c r="M752" s="36"/>
      <c r="N752" s="36"/>
      <c r="O752" s="36"/>
      <c r="P752" s="36"/>
      <c r="Q752" s="36"/>
      <c r="R752" s="36"/>
      <c r="S752" s="36"/>
      <c r="T752" s="36"/>
    </row>
    <row r="753" spans="1:20" ht="15.75">
      <c r="A753" s="13">
        <v>64436</v>
      </c>
      <c r="B753" s="44">
        <f t="shared" si="2"/>
        <v>31</v>
      </c>
      <c r="C753" s="35">
        <v>194.20500000000001</v>
      </c>
      <c r="D753" s="35">
        <v>267.46600000000001</v>
      </c>
      <c r="E753" s="41">
        <v>812.32899999999995</v>
      </c>
      <c r="F753" s="35">
        <v>1274</v>
      </c>
      <c r="G753" s="35">
        <v>75</v>
      </c>
      <c r="H753" s="43">
        <v>600</v>
      </c>
      <c r="I753" s="35">
        <v>695</v>
      </c>
      <c r="J753" s="35">
        <v>50</v>
      </c>
      <c r="K753" s="36"/>
      <c r="L753" s="36"/>
      <c r="M753" s="36"/>
      <c r="N753" s="36"/>
      <c r="O753" s="36"/>
      <c r="P753" s="36"/>
      <c r="Q753" s="36"/>
      <c r="R753" s="36"/>
      <c r="S753" s="36"/>
      <c r="T753" s="36"/>
    </row>
    <row r="754" spans="1:20" ht="15.75">
      <c r="A754" s="13">
        <v>64466</v>
      </c>
      <c r="B754" s="44">
        <f t="shared" si="2"/>
        <v>30</v>
      </c>
      <c r="C754" s="35">
        <v>194.20500000000001</v>
      </c>
      <c r="D754" s="35">
        <v>267.46600000000001</v>
      </c>
      <c r="E754" s="41">
        <v>812.32899999999995</v>
      </c>
      <c r="F754" s="35">
        <v>1274</v>
      </c>
      <c r="G754" s="35">
        <v>50</v>
      </c>
      <c r="H754" s="43">
        <v>600</v>
      </c>
      <c r="I754" s="35">
        <v>695</v>
      </c>
      <c r="J754" s="35">
        <v>50</v>
      </c>
      <c r="K754" s="36"/>
      <c r="L754" s="36"/>
      <c r="M754" s="36"/>
      <c r="N754" s="36"/>
      <c r="O754" s="36"/>
      <c r="P754" s="36"/>
      <c r="Q754" s="36"/>
      <c r="R754" s="36"/>
      <c r="S754" s="36"/>
      <c r="T754" s="36"/>
    </row>
    <row r="755" spans="1:20" ht="15.75">
      <c r="A755" s="13">
        <v>64497</v>
      </c>
      <c r="B755" s="44">
        <f t="shared" si="2"/>
        <v>31</v>
      </c>
      <c r="C755" s="35">
        <v>194.20500000000001</v>
      </c>
      <c r="D755" s="35">
        <v>267.46600000000001</v>
      </c>
      <c r="E755" s="41">
        <v>812.32899999999995</v>
      </c>
      <c r="F755" s="35">
        <v>1274</v>
      </c>
      <c r="G755" s="35">
        <v>50</v>
      </c>
      <c r="H755" s="43">
        <v>600</v>
      </c>
      <c r="I755" s="35">
        <v>695</v>
      </c>
      <c r="J755" s="35">
        <v>0</v>
      </c>
      <c r="K755" s="36"/>
      <c r="L755" s="36"/>
      <c r="M755" s="36"/>
      <c r="N755" s="36"/>
      <c r="O755" s="36"/>
      <c r="P755" s="36"/>
      <c r="Q755" s="36"/>
      <c r="R755" s="36"/>
      <c r="S755" s="36"/>
      <c r="T755" s="36"/>
    </row>
    <row r="756" spans="1:20" ht="15.75">
      <c r="A756" s="13">
        <v>64528</v>
      </c>
      <c r="B756" s="44">
        <f t="shared" si="2"/>
        <v>31</v>
      </c>
      <c r="C756" s="35">
        <v>194.20500000000001</v>
      </c>
      <c r="D756" s="35">
        <v>267.46600000000001</v>
      </c>
      <c r="E756" s="41">
        <v>812.32899999999995</v>
      </c>
      <c r="F756" s="35">
        <v>1274</v>
      </c>
      <c r="G756" s="35">
        <v>50</v>
      </c>
      <c r="H756" s="43">
        <v>600</v>
      </c>
      <c r="I756" s="35">
        <v>695</v>
      </c>
      <c r="J756" s="35">
        <v>0</v>
      </c>
      <c r="K756" s="36"/>
      <c r="L756" s="36"/>
      <c r="M756" s="36"/>
      <c r="N756" s="36"/>
      <c r="O756" s="36"/>
      <c r="P756" s="36"/>
      <c r="Q756" s="36"/>
      <c r="R756" s="36"/>
      <c r="S756" s="36"/>
      <c r="T756" s="36"/>
    </row>
    <row r="757" spans="1:20" ht="15.75">
      <c r="A757" s="13">
        <v>64558</v>
      </c>
      <c r="B757" s="44">
        <f t="shared" si="2"/>
        <v>30</v>
      </c>
      <c r="C757" s="35">
        <v>194.20500000000001</v>
      </c>
      <c r="D757" s="35">
        <v>267.46600000000001</v>
      </c>
      <c r="E757" s="41">
        <v>812.32899999999995</v>
      </c>
      <c r="F757" s="35">
        <v>1274</v>
      </c>
      <c r="G757" s="35">
        <v>50</v>
      </c>
      <c r="H757" s="43">
        <v>600</v>
      </c>
      <c r="I757" s="35">
        <v>695</v>
      </c>
      <c r="J757" s="35">
        <v>0</v>
      </c>
      <c r="K757" s="36"/>
      <c r="L757" s="36"/>
      <c r="M757" s="36"/>
      <c r="N757" s="36"/>
      <c r="O757" s="36"/>
      <c r="P757" s="36"/>
      <c r="Q757" s="36"/>
      <c r="R757" s="36"/>
      <c r="S757" s="36"/>
      <c r="T757" s="36"/>
    </row>
    <row r="758" spans="1:20" ht="15.75">
      <c r="A758" s="13">
        <v>64589</v>
      </c>
      <c r="B758" s="44">
        <f t="shared" si="2"/>
        <v>31</v>
      </c>
      <c r="C758" s="35">
        <v>131.881</v>
      </c>
      <c r="D758" s="35">
        <v>277.16699999999997</v>
      </c>
      <c r="E758" s="41">
        <v>829.952</v>
      </c>
      <c r="F758" s="35">
        <v>1239</v>
      </c>
      <c r="G758" s="35">
        <v>75</v>
      </c>
      <c r="H758" s="43">
        <v>600</v>
      </c>
      <c r="I758" s="35">
        <v>695</v>
      </c>
      <c r="J758" s="35">
        <v>0</v>
      </c>
      <c r="K758" s="36"/>
      <c r="L758" s="36"/>
      <c r="M758" s="36"/>
      <c r="N758" s="36"/>
      <c r="O758" s="36"/>
      <c r="P758" s="36"/>
      <c r="Q758" s="36"/>
      <c r="R758" s="36"/>
      <c r="S758" s="36"/>
      <c r="T758" s="36"/>
    </row>
    <row r="759" spans="1:20" ht="15.75">
      <c r="A759" s="13">
        <v>64619</v>
      </c>
      <c r="B759" s="44">
        <f t="shared" si="2"/>
        <v>30</v>
      </c>
      <c r="C759" s="35">
        <v>122.58</v>
      </c>
      <c r="D759" s="35">
        <v>297.94099999999997</v>
      </c>
      <c r="E759" s="41">
        <v>729.47900000000004</v>
      </c>
      <c r="F759" s="35">
        <v>1150</v>
      </c>
      <c r="G759" s="35">
        <v>100</v>
      </c>
      <c r="H759" s="43">
        <v>600</v>
      </c>
      <c r="I759" s="35">
        <v>695</v>
      </c>
      <c r="J759" s="35">
        <v>50</v>
      </c>
      <c r="K759" s="36"/>
      <c r="L759" s="36"/>
      <c r="M759" s="36"/>
      <c r="N759" s="36"/>
      <c r="O759" s="36"/>
      <c r="P759" s="36"/>
      <c r="Q759" s="36"/>
      <c r="R759" s="36"/>
      <c r="S759" s="36"/>
      <c r="T759" s="36"/>
    </row>
    <row r="760" spans="1:20" ht="15.75">
      <c r="A760" s="13">
        <v>64650</v>
      </c>
      <c r="B760" s="44">
        <f t="shared" si="2"/>
        <v>31</v>
      </c>
      <c r="C760" s="35">
        <v>122.58</v>
      </c>
      <c r="D760" s="35">
        <v>297.94099999999997</v>
      </c>
      <c r="E760" s="41">
        <v>729.47900000000004</v>
      </c>
      <c r="F760" s="35">
        <v>1150</v>
      </c>
      <c r="G760" s="35">
        <v>100</v>
      </c>
      <c r="H760" s="43">
        <v>600</v>
      </c>
      <c r="I760" s="35">
        <v>695</v>
      </c>
      <c r="J760" s="35">
        <v>50</v>
      </c>
      <c r="K760" s="36"/>
      <c r="L760" s="36"/>
      <c r="M760" s="36"/>
      <c r="N760" s="36"/>
      <c r="O760" s="36"/>
      <c r="P760" s="36"/>
      <c r="Q760" s="36"/>
      <c r="R760" s="36"/>
      <c r="S760" s="36"/>
      <c r="T760" s="36"/>
    </row>
    <row r="761" spans="1:20" ht="15.75">
      <c r="A761" s="13">
        <v>64681</v>
      </c>
      <c r="B761" s="44">
        <f t="shared" si="2"/>
        <v>31</v>
      </c>
      <c r="C761" s="35">
        <v>122.58</v>
      </c>
      <c r="D761" s="35">
        <v>297.94099999999997</v>
      </c>
      <c r="E761" s="41">
        <v>729.47900000000004</v>
      </c>
      <c r="F761" s="35">
        <v>1150</v>
      </c>
      <c r="G761" s="35">
        <v>100</v>
      </c>
      <c r="H761" s="43">
        <v>600</v>
      </c>
      <c r="I761" s="35">
        <v>695</v>
      </c>
      <c r="J761" s="35">
        <v>50</v>
      </c>
      <c r="K761" s="36"/>
      <c r="L761" s="36"/>
      <c r="M761" s="36"/>
      <c r="N761" s="36"/>
      <c r="O761" s="36"/>
      <c r="P761" s="36"/>
      <c r="Q761" s="36"/>
      <c r="R761" s="36"/>
      <c r="S761" s="36"/>
      <c r="T761" s="36"/>
    </row>
    <row r="762" spans="1:20" ht="15.75">
      <c r="A762" s="13">
        <v>64709</v>
      </c>
      <c r="B762" s="44">
        <f t="shared" si="2"/>
        <v>28</v>
      </c>
      <c r="C762" s="35">
        <v>122.58</v>
      </c>
      <c r="D762" s="35">
        <v>297.94099999999997</v>
      </c>
      <c r="E762" s="41">
        <v>729.47900000000004</v>
      </c>
      <c r="F762" s="35">
        <v>1150</v>
      </c>
      <c r="G762" s="35">
        <v>100</v>
      </c>
      <c r="H762" s="43">
        <v>600</v>
      </c>
      <c r="I762" s="35">
        <v>695</v>
      </c>
      <c r="J762" s="35">
        <v>50</v>
      </c>
      <c r="K762" s="36"/>
      <c r="L762" s="36"/>
      <c r="M762" s="36"/>
      <c r="N762" s="36"/>
      <c r="O762" s="36"/>
      <c r="P762" s="36"/>
      <c r="Q762" s="36"/>
      <c r="R762" s="36"/>
      <c r="S762" s="36"/>
      <c r="T762" s="36"/>
    </row>
    <row r="763" spans="1:20" ht="15.75">
      <c r="A763" s="13">
        <v>64740</v>
      </c>
      <c r="B763" s="44">
        <f t="shared" si="2"/>
        <v>31</v>
      </c>
      <c r="C763" s="35">
        <v>122.58</v>
      </c>
      <c r="D763" s="35">
        <v>297.94099999999997</v>
      </c>
      <c r="E763" s="41">
        <v>729.47900000000004</v>
      </c>
      <c r="F763" s="35">
        <v>1150</v>
      </c>
      <c r="G763" s="35">
        <v>100</v>
      </c>
      <c r="H763" s="43">
        <v>600</v>
      </c>
      <c r="I763" s="35">
        <v>695</v>
      </c>
      <c r="J763" s="35">
        <v>50</v>
      </c>
      <c r="K763" s="36"/>
      <c r="L763" s="36"/>
      <c r="M763" s="36"/>
      <c r="N763" s="36"/>
      <c r="O763" s="36"/>
      <c r="P763" s="36"/>
      <c r="Q763" s="36"/>
      <c r="R763" s="36"/>
      <c r="S763" s="36"/>
      <c r="T763" s="36"/>
    </row>
    <row r="764" spans="1:20" ht="15.75">
      <c r="A764" s="13">
        <v>64770</v>
      </c>
      <c r="B764" s="44">
        <f t="shared" si="2"/>
        <v>30</v>
      </c>
      <c r="C764" s="35">
        <v>141.29300000000001</v>
      </c>
      <c r="D764" s="35">
        <v>267.99299999999999</v>
      </c>
      <c r="E764" s="41">
        <v>829.71400000000006</v>
      </c>
      <c r="F764" s="35">
        <v>1239</v>
      </c>
      <c r="G764" s="35">
        <v>100</v>
      </c>
      <c r="H764" s="43">
        <v>600</v>
      </c>
      <c r="I764" s="35">
        <v>695</v>
      </c>
      <c r="J764" s="35">
        <v>50</v>
      </c>
      <c r="K764" s="36"/>
      <c r="L764" s="36"/>
      <c r="M764" s="36"/>
      <c r="N764" s="36"/>
      <c r="O764" s="36"/>
      <c r="P764" s="36"/>
      <c r="Q764" s="36"/>
      <c r="R764" s="36"/>
      <c r="S764" s="36"/>
      <c r="T764" s="36"/>
    </row>
    <row r="765" spans="1:20" ht="15.75">
      <c r="A765" s="13">
        <v>64801</v>
      </c>
      <c r="B765" s="44">
        <f t="shared" si="2"/>
        <v>31</v>
      </c>
      <c r="C765" s="35">
        <v>194.20500000000001</v>
      </c>
      <c r="D765" s="35">
        <v>267.46600000000001</v>
      </c>
      <c r="E765" s="41">
        <v>812.32899999999995</v>
      </c>
      <c r="F765" s="35">
        <v>1274</v>
      </c>
      <c r="G765" s="35">
        <v>75</v>
      </c>
      <c r="H765" s="43">
        <v>600</v>
      </c>
      <c r="I765" s="35">
        <v>695</v>
      </c>
      <c r="J765" s="35">
        <v>50</v>
      </c>
      <c r="K765" s="36"/>
      <c r="L765" s="36"/>
      <c r="M765" s="36"/>
      <c r="N765" s="36"/>
      <c r="O765" s="36"/>
      <c r="P765" s="36"/>
      <c r="Q765" s="36"/>
      <c r="R765" s="36"/>
      <c r="S765" s="36"/>
      <c r="T765" s="36"/>
    </row>
    <row r="766" spans="1:20" ht="15.75">
      <c r="A766" s="13">
        <v>64831</v>
      </c>
      <c r="B766" s="44">
        <f t="shared" si="2"/>
        <v>30</v>
      </c>
      <c r="C766" s="35">
        <v>194.20500000000001</v>
      </c>
      <c r="D766" s="35">
        <v>267.46600000000001</v>
      </c>
      <c r="E766" s="41">
        <v>812.32899999999995</v>
      </c>
      <c r="F766" s="35">
        <v>1274</v>
      </c>
      <c r="G766" s="35">
        <v>50</v>
      </c>
      <c r="H766" s="43">
        <v>600</v>
      </c>
      <c r="I766" s="35">
        <v>695</v>
      </c>
      <c r="J766" s="35">
        <v>50</v>
      </c>
      <c r="K766" s="36"/>
      <c r="L766" s="36"/>
      <c r="M766" s="36"/>
      <c r="N766" s="36"/>
      <c r="O766" s="36"/>
      <c r="P766" s="36"/>
      <c r="Q766" s="36"/>
      <c r="R766" s="36"/>
      <c r="S766" s="36"/>
      <c r="T766" s="36"/>
    </row>
    <row r="767" spans="1:20" ht="15.75">
      <c r="A767" s="13">
        <v>64862</v>
      </c>
      <c r="B767" s="44">
        <f t="shared" si="2"/>
        <v>31</v>
      </c>
      <c r="C767" s="35">
        <v>194.20500000000001</v>
      </c>
      <c r="D767" s="35">
        <v>267.46600000000001</v>
      </c>
      <c r="E767" s="41">
        <v>812.32899999999995</v>
      </c>
      <c r="F767" s="35">
        <v>1274</v>
      </c>
      <c r="G767" s="35">
        <v>50</v>
      </c>
      <c r="H767" s="43">
        <v>600</v>
      </c>
      <c r="I767" s="35">
        <v>695</v>
      </c>
      <c r="J767" s="35">
        <v>0</v>
      </c>
      <c r="K767" s="36"/>
      <c r="L767" s="36"/>
      <c r="M767" s="36"/>
      <c r="N767" s="36"/>
      <c r="O767" s="36"/>
      <c r="P767" s="36"/>
      <c r="Q767" s="36"/>
      <c r="R767" s="36"/>
      <c r="S767" s="36"/>
      <c r="T767" s="36"/>
    </row>
    <row r="768" spans="1:20" ht="15.75">
      <c r="A768" s="13">
        <v>64893</v>
      </c>
      <c r="B768" s="44">
        <f t="shared" si="2"/>
        <v>31</v>
      </c>
      <c r="C768" s="35">
        <v>194.20500000000001</v>
      </c>
      <c r="D768" s="35">
        <v>267.46600000000001</v>
      </c>
      <c r="E768" s="41">
        <v>812.32899999999995</v>
      </c>
      <c r="F768" s="35">
        <v>1274</v>
      </c>
      <c r="G768" s="35">
        <v>50</v>
      </c>
      <c r="H768" s="43">
        <v>600</v>
      </c>
      <c r="I768" s="35">
        <v>695</v>
      </c>
      <c r="J768" s="35">
        <v>0</v>
      </c>
      <c r="K768" s="36"/>
      <c r="L768" s="36"/>
      <c r="M768" s="36"/>
      <c r="N768" s="36"/>
      <c r="O768" s="36"/>
      <c r="P768" s="36"/>
      <c r="Q768" s="36"/>
      <c r="R768" s="36"/>
      <c r="S768" s="36"/>
      <c r="T768" s="36"/>
    </row>
    <row r="769" spans="1:20" ht="15.75">
      <c r="A769" s="13">
        <v>64923</v>
      </c>
      <c r="B769" s="44">
        <f t="shared" si="2"/>
        <v>30</v>
      </c>
      <c r="C769" s="35">
        <v>194.20500000000001</v>
      </c>
      <c r="D769" s="35">
        <v>267.46600000000001</v>
      </c>
      <c r="E769" s="41">
        <v>812.32899999999995</v>
      </c>
      <c r="F769" s="35">
        <v>1274</v>
      </c>
      <c r="G769" s="35">
        <v>50</v>
      </c>
      <c r="H769" s="43">
        <v>600</v>
      </c>
      <c r="I769" s="35">
        <v>695</v>
      </c>
      <c r="J769" s="35">
        <v>0</v>
      </c>
      <c r="K769" s="36"/>
      <c r="L769" s="36"/>
      <c r="M769" s="36"/>
      <c r="N769" s="36"/>
      <c r="O769" s="36"/>
      <c r="P769" s="36"/>
      <c r="Q769" s="36"/>
      <c r="R769" s="36"/>
      <c r="S769" s="36"/>
      <c r="T769" s="36"/>
    </row>
    <row r="770" spans="1:20" ht="15.75">
      <c r="A770" s="13">
        <v>64954</v>
      </c>
      <c r="B770" s="44">
        <f t="shared" si="2"/>
        <v>31</v>
      </c>
      <c r="C770" s="35">
        <v>131.881</v>
      </c>
      <c r="D770" s="35">
        <v>277.16699999999997</v>
      </c>
      <c r="E770" s="41">
        <v>829.952</v>
      </c>
      <c r="F770" s="35">
        <v>1239</v>
      </c>
      <c r="G770" s="35">
        <v>75</v>
      </c>
      <c r="H770" s="43">
        <v>600</v>
      </c>
      <c r="I770" s="35">
        <v>695</v>
      </c>
      <c r="J770" s="35">
        <v>0</v>
      </c>
      <c r="K770" s="36"/>
      <c r="L770" s="36"/>
      <c r="M770" s="36"/>
      <c r="N770" s="36"/>
      <c r="O770" s="36"/>
      <c r="P770" s="36"/>
      <c r="Q770" s="36"/>
      <c r="R770" s="36"/>
      <c r="S770" s="36"/>
      <c r="T770" s="36"/>
    </row>
    <row r="771" spans="1:20" ht="15.75">
      <c r="A771" s="13">
        <v>64984</v>
      </c>
      <c r="B771" s="44">
        <f t="shared" si="2"/>
        <v>30</v>
      </c>
      <c r="C771" s="35">
        <v>122.58</v>
      </c>
      <c r="D771" s="35">
        <v>297.94099999999997</v>
      </c>
      <c r="E771" s="41">
        <v>729.47900000000004</v>
      </c>
      <c r="F771" s="35">
        <v>1150</v>
      </c>
      <c r="G771" s="35">
        <v>100</v>
      </c>
      <c r="H771" s="43">
        <v>600</v>
      </c>
      <c r="I771" s="35">
        <v>695</v>
      </c>
      <c r="J771" s="35">
        <v>50</v>
      </c>
      <c r="K771" s="36"/>
      <c r="L771" s="36"/>
      <c r="M771" s="36"/>
      <c r="N771" s="36"/>
      <c r="O771" s="36"/>
      <c r="P771" s="36"/>
      <c r="Q771" s="36"/>
      <c r="R771" s="36"/>
      <c r="S771" s="36"/>
      <c r="T771" s="36"/>
    </row>
    <row r="772" spans="1:20" ht="15.75">
      <c r="A772" s="13">
        <v>65015</v>
      </c>
      <c r="B772" s="44">
        <f t="shared" si="2"/>
        <v>31</v>
      </c>
      <c r="C772" s="35">
        <v>122.58</v>
      </c>
      <c r="D772" s="35">
        <v>297.94099999999997</v>
      </c>
      <c r="E772" s="41">
        <v>729.47900000000004</v>
      </c>
      <c r="F772" s="35">
        <v>1150</v>
      </c>
      <c r="G772" s="35">
        <v>100</v>
      </c>
      <c r="H772" s="43">
        <v>600</v>
      </c>
      <c r="I772" s="35">
        <v>695</v>
      </c>
      <c r="J772" s="35">
        <v>50</v>
      </c>
      <c r="K772" s="36"/>
      <c r="L772" s="36"/>
      <c r="M772" s="36"/>
      <c r="N772" s="36"/>
      <c r="O772" s="36"/>
      <c r="P772" s="36"/>
      <c r="Q772" s="36"/>
      <c r="R772" s="36"/>
      <c r="S772" s="36"/>
      <c r="T772" s="36"/>
    </row>
    <row r="773" spans="1:20" ht="15.75">
      <c r="A773" s="13">
        <v>65046</v>
      </c>
      <c r="B773" s="44">
        <f t="shared" ref="B773:B836" si="3">EOMONTH(A773,0)-EOMONTH(A773,-1)</f>
        <v>31</v>
      </c>
      <c r="C773" s="35">
        <v>122.58</v>
      </c>
      <c r="D773" s="35">
        <v>297.94099999999997</v>
      </c>
      <c r="E773" s="41">
        <v>729.47900000000004</v>
      </c>
      <c r="F773" s="35">
        <v>1150</v>
      </c>
      <c r="G773" s="35">
        <v>100</v>
      </c>
      <c r="H773" s="43">
        <v>600</v>
      </c>
      <c r="I773" s="35">
        <v>695</v>
      </c>
      <c r="J773" s="35">
        <v>50</v>
      </c>
      <c r="K773" s="36"/>
      <c r="L773" s="36"/>
      <c r="M773" s="36"/>
      <c r="N773" s="36"/>
      <c r="O773" s="36"/>
      <c r="P773" s="36"/>
      <c r="Q773" s="36"/>
      <c r="R773" s="36"/>
      <c r="S773" s="36"/>
      <c r="T773" s="36"/>
    </row>
    <row r="774" spans="1:20" ht="15.75">
      <c r="A774" s="13">
        <v>65074</v>
      </c>
      <c r="B774" s="44">
        <f t="shared" si="3"/>
        <v>28</v>
      </c>
      <c r="C774" s="35">
        <v>122.58</v>
      </c>
      <c r="D774" s="35">
        <v>297.94099999999997</v>
      </c>
      <c r="E774" s="41">
        <v>729.47900000000004</v>
      </c>
      <c r="F774" s="35">
        <v>1150</v>
      </c>
      <c r="G774" s="35">
        <v>100</v>
      </c>
      <c r="H774" s="43">
        <v>600</v>
      </c>
      <c r="I774" s="35">
        <v>695</v>
      </c>
      <c r="J774" s="35">
        <v>50</v>
      </c>
      <c r="K774" s="36"/>
      <c r="L774" s="36"/>
      <c r="M774" s="36"/>
      <c r="N774" s="36"/>
      <c r="O774" s="36"/>
      <c r="P774" s="36"/>
      <c r="Q774" s="36"/>
      <c r="R774" s="36"/>
      <c r="S774" s="36"/>
      <c r="T774" s="36"/>
    </row>
    <row r="775" spans="1:20" ht="15.75">
      <c r="A775" s="13">
        <v>65105</v>
      </c>
      <c r="B775" s="44">
        <f t="shared" si="3"/>
        <v>31</v>
      </c>
      <c r="C775" s="35">
        <v>122.58</v>
      </c>
      <c r="D775" s="35">
        <v>297.94099999999997</v>
      </c>
      <c r="E775" s="41">
        <v>729.47900000000004</v>
      </c>
      <c r="F775" s="35">
        <v>1150</v>
      </c>
      <c r="G775" s="35">
        <v>100</v>
      </c>
      <c r="H775" s="43">
        <v>600</v>
      </c>
      <c r="I775" s="35">
        <v>695</v>
      </c>
      <c r="J775" s="35">
        <v>50</v>
      </c>
      <c r="K775" s="36"/>
      <c r="L775" s="36"/>
      <c r="M775" s="36"/>
      <c r="N775" s="36"/>
      <c r="O775" s="36"/>
      <c r="P775" s="36"/>
      <c r="Q775" s="36"/>
      <c r="R775" s="36"/>
      <c r="S775" s="36"/>
      <c r="T775" s="36"/>
    </row>
    <row r="776" spans="1:20" ht="15.75">
      <c r="A776" s="13">
        <v>65135</v>
      </c>
      <c r="B776" s="44">
        <f t="shared" si="3"/>
        <v>30</v>
      </c>
      <c r="C776" s="35">
        <v>141.29300000000001</v>
      </c>
      <c r="D776" s="35">
        <v>267.99299999999999</v>
      </c>
      <c r="E776" s="41">
        <v>829.71400000000006</v>
      </c>
      <c r="F776" s="35">
        <v>1239</v>
      </c>
      <c r="G776" s="35">
        <v>100</v>
      </c>
      <c r="H776" s="43">
        <v>600</v>
      </c>
      <c r="I776" s="35">
        <v>695</v>
      </c>
      <c r="J776" s="35">
        <v>50</v>
      </c>
      <c r="K776" s="36"/>
      <c r="L776" s="36"/>
      <c r="M776" s="36"/>
      <c r="N776" s="36"/>
      <c r="O776" s="36"/>
      <c r="P776" s="36"/>
      <c r="Q776" s="36"/>
      <c r="R776" s="36"/>
      <c r="S776" s="36"/>
      <c r="T776" s="36"/>
    </row>
    <row r="777" spans="1:20" ht="15.75">
      <c r="A777" s="13">
        <v>65166</v>
      </c>
      <c r="B777" s="44">
        <f t="shared" si="3"/>
        <v>31</v>
      </c>
      <c r="C777" s="35">
        <v>194.20500000000001</v>
      </c>
      <c r="D777" s="35">
        <v>267.46600000000001</v>
      </c>
      <c r="E777" s="41">
        <v>812.32899999999995</v>
      </c>
      <c r="F777" s="35">
        <v>1274</v>
      </c>
      <c r="G777" s="35">
        <v>75</v>
      </c>
      <c r="H777" s="43">
        <v>600</v>
      </c>
      <c r="I777" s="35">
        <v>695</v>
      </c>
      <c r="J777" s="35">
        <v>50</v>
      </c>
      <c r="K777" s="36"/>
      <c r="L777" s="36"/>
      <c r="M777" s="36"/>
      <c r="N777" s="36"/>
      <c r="O777" s="36"/>
      <c r="P777" s="36"/>
      <c r="Q777" s="36"/>
      <c r="R777" s="36"/>
      <c r="S777" s="36"/>
      <c r="T777" s="36"/>
    </row>
    <row r="778" spans="1:20" ht="15.75">
      <c r="A778" s="13">
        <v>65196</v>
      </c>
      <c r="B778" s="44">
        <f t="shared" si="3"/>
        <v>30</v>
      </c>
      <c r="C778" s="35">
        <v>194.20500000000001</v>
      </c>
      <c r="D778" s="35">
        <v>267.46600000000001</v>
      </c>
      <c r="E778" s="41">
        <v>812.32899999999995</v>
      </c>
      <c r="F778" s="35">
        <v>1274</v>
      </c>
      <c r="G778" s="35">
        <v>50</v>
      </c>
      <c r="H778" s="43">
        <v>600</v>
      </c>
      <c r="I778" s="35">
        <v>695</v>
      </c>
      <c r="J778" s="35">
        <v>50</v>
      </c>
      <c r="K778" s="36"/>
      <c r="L778" s="36"/>
      <c r="M778" s="36"/>
      <c r="N778" s="36"/>
      <c r="O778" s="36"/>
      <c r="P778" s="36"/>
      <c r="Q778" s="36"/>
      <c r="R778" s="36"/>
      <c r="S778" s="36"/>
      <c r="T778" s="36"/>
    </row>
    <row r="779" spans="1:20" ht="15.75">
      <c r="A779" s="13">
        <v>65227</v>
      </c>
      <c r="B779" s="44">
        <f t="shared" si="3"/>
        <v>31</v>
      </c>
      <c r="C779" s="35">
        <v>194.20500000000001</v>
      </c>
      <c r="D779" s="35">
        <v>267.46600000000001</v>
      </c>
      <c r="E779" s="41">
        <v>812.32899999999995</v>
      </c>
      <c r="F779" s="35">
        <v>1274</v>
      </c>
      <c r="G779" s="35">
        <v>50</v>
      </c>
      <c r="H779" s="43">
        <v>600</v>
      </c>
      <c r="I779" s="35">
        <v>695</v>
      </c>
      <c r="J779" s="35">
        <v>0</v>
      </c>
      <c r="K779" s="36"/>
      <c r="L779" s="36"/>
      <c r="M779" s="36"/>
      <c r="N779" s="36"/>
      <c r="O779" s="36"/>
      <c r="P779" s="36"/>
      <c r="Q779" s="36"/>
      <c r="R779" s="36"/>
      <c r="S779" s="36"/>
      <c r="T779" s="36"/>
    </row>
    <row r="780" spans="1:20" ht="15.75">
      <c r="A780" s="13">
        <v>65258</v>
      </c>
      <c r="B780" s="44">
        <f t="shared" si="3"/>
        <v>31</v>
      </c>
      <c r="C780" s="35">
        <v>194.20500000000001</v>
      </c>
      <c r="D780" s="35">
        <v>267.46600000000001</v>
      </c>
      <c r="E780" s="41">
        <v>812.32899999999995</v>
      </c>
      <c r="F780" s="35">
        <v>1274</v>
      </c>
      <c r="G780" s="35">
        <v>50</v>
      </c>
      <c r="H780" s="43">
        <v>600</v>
      </c>
      <c r="I780" s="35">
        <v>695</v>
      </c>
      <c r="J780" s="35">
        <v>0</v>
      </c>
      <c r="K780" s="36"/>
      <c r="L780" s="36"/>
      <c r="M780" s="36"/>
      <c r="N780" s="36"/>
      <c r="O780" s="36"/>
      <c r="P780" s="36"/>
      <c r="Q780" s="36"/>
      <c r="R780" s="36"/>
      <c r="S780" s="36"/>
      <c r="T780" s="36"/>
    </row>
    <row r="781" spans="1:20" ht="15.75">
      <c r="A781" s="13">
        <v>65288</v>
      </c>
      <c r="B781" s="44">
        <f t="shared" si="3"/>
        <v>30</v>
      </c>
      <c r="C781" s="35">
        <v>194.20500000000001</v>
      </c>
      <c r="D781" s="35">
        <v>267.46600000000001</v>
      </c>
      <c r="E781" s="41">
        <v>812.32899999999995</v>
      </c>
      <c r="F781" s="35">
        <v>1274</v>
      </c>
      <c r="G781" s="35">
        <v>50</v>
      </c>
      <c r="H781" s="43">
        <v>600</v>
      </c>
      <c r="I781" s="35">
        <v>695</v>
      </c>
      <c r="J781" s="35">
        <v>0</v>
      </c>
      <c r="K781" s="36"/>
      <c r="L781" s="36"/>
      <c r="M781" s="36"/>
      <c r="N781" s="36"/>
      <c r="O781" s="36"/>
      <c r="P781" s="36"/>
      <c r="Q781" s="36"/>
      <c r="R781" s="36"/>
      <c r="S781" s="36"/>
      <c r="T781" s="36"/>
    </row>
    <row r="782" spans="1:20" ht="15.75">
      <c r="A782" s="13">
        <v>65319</v>
      </c>
      <c r="B782" s="44">
        <f t="shared" si="3"/>
        <v>31</v>
      </c>
      <c r="C782" s="35">
        <v>131.881</v>
      </c>
      <c r="D782" s="35">
        <v>277.16699999999997</v>
      </c>
      <c r="E782" s="41">
        <v>829.952</v>
      </c>
      <c r="F782" s="35">
        <v>1239</v>
      </c>
      <c r="G782" s="35">
        <v>75</v>
      </c>
      <c r="H782" s="43">
        <v>600</v>
      </c>
      <c r="I782" s="35">
        <v>695</v>
      </c>
      <c r="J782" s="35">
        <v>0</v>
      </c>
      <c r="K782" s="36"/>
      <c r="L782" s="36"/>
      <c r="M782" s="36"/>
      <c r="N782" s="36"/>
      <c r="O782" s="36"/>
      <c r="P782" s="36"/>
      <c r="Q782" s="36"/>
      <c r="R782" s="36"/>
      <c r="S782" s="36"/>
      <c r="T782" s="36"/>
    </row>
    <row r="783" spans="1:20" ht="15.75">
      <c r="A783" s="13">
        <v>65349</v>
      </c>
      <c r="B783" s="44">
        <f t="shared" si="3"/>
        <v>30</v>
      </c>
      <c r="C783" s="35">
        <v>122.58</v>
      </c>
      <c r="D783" s="35">
        <v>297.94099999999997</v>
      </c>
      <c r="E783" s="41">
        <v>729.47900000000004</v>
      </c>
      <c r="F783" s="35">
        <v>1150</v>
      </c>
      <c r="G783" s="35">
        <v>100</v>
      </c>
      <c r="H783" s="43">
        <v>600</v>
      </c>
      <c r="I783" s="35">
        <v>695</v>
      </c>
      <c r="J783" s="35">
        <v>50</v>
      </c>
      <c r="K783" s="36"/>
      <c r="L783" s="36"/>
      <c r="M783" s="36"/>
      <c r="N783" s="36"/>
      <c r="O783" s="36"/>
      <c r="P783" s="36"/>
      <c r="Q783" s="36"/>
      <c r="R783" s="36"/>
      <c r="S783" s="36"/>
      <c r="T783" s="36"/>
    </row>
    <row r="784" spans="1:20" ht="15.75">
      <c r="A784" s="13">
        <v>65380</v>
      </c>
      <c r="B784" s="44">
        <f t="shared" si="3"/>
        <v>31</v>
      </c>
      <c r="C784" s="35">
        <v>122.58</v>
      </c>
      <c r="D784" s="35">
        <v>297.94099999999997</v>
      </c>
      <c r="E784" s="41">
        <v>729.47900000000004</v>
      </c>
      <c r="F784" s="35">
        <v>1150</v>
      </c>
      <c r="G784" s="35">
        <v>100</v>
      </c>
      <c r="H784" s="43">
        <v>600</v>
      </c>
      <c r="I784" s="35">
        <v>695</v>
      </c>
      <c r="J784" s="35">
        <v>50</v>
      </c>
      <c r="K784" s="36"/>
      <c r="L784" s="36"/>
      <c r="M784" s="36"/>
      <c r="N784" s="36"/>
      <c r="O784" s="36"/>
      <c r="P784" s="36"/>
      <c r="Q784" s="36"/>
      <c r="R784" s="36"/>
      <c r="S784" s="36"/>
      <c r="T784" s="36"/>
    </row>
    <row r="785" spans="1:20" ht="15.75">
      <c r="A785" s="13">
        <v>65411</v>
      </c>
      <c r="B785" s="44">
        <f t="shared" si="3"/>
        <v>31</v>
      </c>
      <c r="C785" s="35">
        <v>122.58</v>
      </c>
      <c r="D785" s="35">
        <v>297.94099999999997</v>
      </c>
      <c r="E785" s="41">
        <v>729.47900000000004</v>
      </c>
      <c r="F785" s="35">
        <v>1150</v>
      </c>
      <c r="G785" s="35">
        <v>100</v>
      </c>
      <c r="H785" s="43">
        <v>600</v>
      </c>
      <c r="I785" s="35">
        <v>695</v>
      </c>
      <c r="J785" s="35">
        <v>50</v>
      </c>
      <c r="K785" s="36"/>
      <c r="L785" s="36"/>
      <c r="M785" s="36"/>
      <c r="N785" s="36"/>
      <c r="O785" s="36"/>
      <c r="P785" s="36"/>
      <c r="Q785" s="36"/>
      <c r="R785" s="36"/>
      <c r="S785" s="36"/>
      <c r="T785" s="36"/>
    </row>
    <row r="786" spans="1:20" ht="15.75">
      <c r="A786" s="13">
        <v>65439</v>
      </c>
      <c r="B786" s="44">
        <f t="shared" si="3"/>
        <v>28</v>
      </c>
      <c r="C786" s="35">
        <v>122.58</v>
      </c>
      <c r="D786" s="35">
        <v>297.94099999999997</v>
      </c>
      <c r="E786" s="41">
        <v>729.47900000000004</v>
      </c>
      <c r="F786" s="35">
        <v>1150</v>
      </c>
      <c r="G786" s="35">
        <v>100</v>
      </c>
      <c r="H786" s="43">
        <v>600</v>
      </c>
      <c r="I786" s="35">
        <v>695</v>
      </c>
      <c r="J786" s="35">
        <v>50</v>
      </c>
      <c r="K786" s="36"/>
      <c r="L786" s="36"/>
      <c r="M786" s="36"/>
      <c r="N786" s="36"/>
      <c r="O786" s="36"/>
      <c r="P786" s="36"/>
      <c r="Q786" s="36"/>
      <c r="R786" s="36"/>
      <c r="S786" s="36"/>
      <c r="T786" s="36"/>
    </row>
    <row r="787" spans="1:20" ht="15.75">
      <c r="A787" s="13">
        <v>65470</v>
      </c>
      <c r="B787" s="44">
        <f t="shared" si="3"/>
        <v>31</v>
      </c>
      <c r="C787" s="35">
        <v>122.58</v>
      </c>
      <c r="D787" s="35">
        <v>297.94099999999997</v>
      </c>
      <c r="E787" s="41">
        <v>729.47900000000004</v>
      </c>
      <c r="F787" s="35">
        <v>1150</v>
      </c>
      <c r="G787" s="35">
        <v>100</v>
      </c>
      <c r="H787" s="43">
        <v>600</v>
      </c>
      <c r="I787" s="35">
        <v>695</v>
      </c>
      <c r="J787" s="35">
        <v>50</v>
      </c>
      <c r="K787" s="36"/>
      <c r="L787" s="36"/>
      <c r="M787" s="36"/>
      <c r="N787" s="36"/>
      <c r="O787" s="36"/>
      <c r="P787" s="36"/>
      <c r="Q787" s="36"/>
      <c r="R787" s="36"/>
      <c r="S787" s="36"/>
      <c r="T787" s="36"/>
    </row>
    <row r="788" spans="1:20" ht="15.75">
      <c r="A788" s="13">
        <v>65500</v>
      </c>
      <c r="B788" s="44">
        <f t="shared" si="3"/>
        <v>30</v>
      </c>
      <c r="C788" s="35">
        <v>141.29300000000001</v>
      </c>
      <c r="D788" s="35">
        <v>267.99299999999999</v>
      </c>
      <c r="E788" s="41">
        <v>829.71400000000006</v>
      </c>
      <c r="F788" s="35">
        <v>1239</v>
      </c>
      <c r="G788" s="35">
        <v>100</v>
      </c>
      <c r="H788" s="43">
        <v>600</v>
      </c>
      <c r="I788" s="35">
        <v>695</v>
      </c>
      <c r="J788" s="35">
        <v>50</v>
      </c>
      <c r="K788" s="36"/>
      <c r="L788" s="36"/>
      <c r="M788" s="36"/>
      <c r="N788" s="36"/>
      <c r="O788" s="36"/>
      <c r="P788" s="36"/>
      <c r="Q788" s="36"/>
      <c r="R788" s="36"/>
      <c r="S788" s="36"/>
      <c r="T788" s="36"/>
    </row>
    <row r="789" spans="1:20" ht="15.75">
      <c r="A789" s="13">
        <v>65531</v>
      </c>
      <c r="B789" s="44">
        <f t="shared" si="3"/>
        <v>31</v>
      </c>
      <c r="C789" s="35">
        <v>194.20500000000001</v>
      </c>
      <c r="D789" s="35">
        <v>267.46600000000001</v>
      </c>
      <c r="E789" s="41">
        <v>812.32899999999995</v>
      </c>
      <c r="F789" s="35">
        <v>1274</v>
      </c>
      <c r="G789" s="35">
        <v>75</v>
      </c>
      <c r="H789" s="43">
        <v>600</v>
      </c>
      <c r="I789" s="35">
        <v>695</v>
      </c>
      <c r="J789" s="35">
        <v>50</v>
      </c>
      <c r="K789" s="36"/>
      <c r="L789" s="36"/>
      <c r="M789" s="36"/>
      <c r="N789" s="36"/>
      <c r="O789" s="36"/>
      <c r="P789" s="36"/>
      <c r="Q789" s="36"/>
      <c r="R789" s="36"/>
      <c r="S789" s="36"/>
      <c r="T789" s="36"/>
    </row>
    <row r="790" spans="1:20" ht="15.75">
      <c r="A790" s="13">
        <v>65561</v>
      </c>
      <c r="B790" s="44">
        <f t="shared" si="3"/>
        <v>30</v>
      </c>
      <c r="C790" s="35">
        <v>194.20500000000001</v>
      </c>
      <c r="D790" s="35">
        <v>267.46600000000001</v>
      </c>
      <c r="E790" s="41">
        <v>812.32899999999995</v>
      </c>
      <c r="F790" s="35">
        <v>1274</v>
      </c>
      <c r="G790" s="35">
        <v>50</v>
      </c>
      <c r="H790" s="43">
        <v>600</v>
      </c>
      <c r="I790" s="35">
        <v>695</v>
      </c>
      <c r="J790" s="35">
        <v>50</v>
      </c>
      <c r="K790" s="36"/>
      <c r="L790" s="36"/>
      <c r="M790" s="36"/>
      <c r="N790" s="36"/>
      <c r="O790" s="36"/>
      <c r="P790" s="36"/>
      <c r="Q790" s="36"/>
      <c r="R790" s="36"/>
      <c r="S790" s="36"/>
      <c r="T790" s="36"/>
    </row>
    <row r="791" spans="1:20" ht="15.75">
      <c r="A791" s="13">
        <v>65592</v>
      </c>
      <c r="B791" s="44">
        <f t="shared" si="3"/>
        <v>31</v>
      </c>
      <c r="C791" s="35">
        <v>194.20500000000001</v>
      </c>
      <c r="D791" s="35">
        <v>267.46600000000001</v>
      </c>
      <c r="E791" s="41">
        <v>812.32899999999995</v>
      </c>
      <c r="F791" s="35">
        <v>1274</v>
      </c>
      <c r="G791" s="35">
        <v>50</v>
      </c>
      <c r="H791" s="43">
        <v>600</v>
      </c>
      <c r="I791" s="35">
        <v>695</v>
      </c>
      <c r="J791" s="35">
        <v>0</v>
      </c>
      <c r="K791" s="36"/>
      <c r="L791" s="36"/>
      <c r="M791" s="36"/>
      <c r="N791" s="36"/>
      <c r="O791" s="36"/>
      <c r="P791" s="36"/>
      <c r="Q791" s="36"/>
      <c r="R791" s="36"/>
      <c r="S791" s="36"/>
      <c r="T791" s="36"/>
    </row>
    <row r="792" spans="1:20" ht="15.75">
      <c r="A792" s="13">
        <v>65623</v>
      </c>
      <c r="B792" s="44">
        <f t="shared" si="3"/>
        <v>31</v>
      </c>
      <c r="C792" s="35">
        <v>194.20500000000001</v>
      </c>
      <c r="D792" s="35">
        <v>267.46600000000001</v>
      </c>
      <c r="E792" s="41">
        <v>812.32899999999995</v>
      </c>
      <c r="F792" s="35">
        <v>1274</v>
      </c>
      <c r="G792" s="35">
        <v>50</v>
      </c>
      <c r="H792" s="43">
        <v>600</v>
      </c>
      <c r="I792" s="35">
        <v>695</v>
      </c>
      <c r="J792" s="35">
        <v>0</v>
      </c>
      <c r="K792" s="36"/>
      <c r="L792" s="36"/>
      <c r="M792" s="36"/>
      <c r="N792" s="36"/>
      <c r="O792" s="36"/>
      <c r="P792" s="36"/>
      <c r="Q792" s="36"/>
      <c r="R792" s="36"/>
      <c r="S792" s="36"/>
      <c r="T792" s="36"/>
    </row>
    <row r="793" spans="1:20" ht="15.75">
      <c r="A793" s="13">
        <v>65653</v>
      </c>
      <c r="B793" s="44">
        <f t="shared" si="3"/>
        <v>30</v>
      </c>
      <c r="C793" s="35">
        <v>194.20500000000001</v>
      </c>
      <c r="D793" s="35">
        <v>267.46600000000001</v>
      </c>
      <c r="E793" s="41">
        <v>812.32899999999995</v>
      </c>
      <c r="F793" s="35">
        <v>1274</v>
      </c>
      <c r="G793" s="35">
        <v>50</v>
      </c>
      <c r="H793" s="43">
        <v>600</v>
      </c>
      <c r="I793" s="35">
        <v>695</v>
      </c>
      <c r="J793" s="35">
        <v>0</v>
      </c>
      <c r="K793" s="36"/>
      <c r="L793" s="36"/>
      <c r="M793" s="36"/>
      <c r="N793" s="36"/>
      <c r="O793" s="36"/>
      <c r="P793" s="36"/>
      <c r="Q793" s="36"/>
      <c r="R793" s="36"/>
      <c r="S793" s="36"/>
      <c r="T793" s="36"/>
    </row>
    <row r="794" spans="1:20" ht="15.75">
      <c r="A794" s="13">
        <v>65684</v>
      </c>
      <c r="B794" s="44">
        <f t="shared" si="3"/>
        <v>31</v>
      </c>
      <c r="C794" s="35">
        <v>131.881</v>
      </c>
      <c r="D794" s="35">
        <v>277.16699999999997</v>
      </c>
      <c r="E794" s="41">
        <v>829.952</v>
      </c>
      <c r="F794" s="35">
        <v>1239</v>
      </c>
      <c r="G794" s="35">
        <v>75</v>
      </c>
      <c r="H794" s="43">
        <v>600</v>
      </c>
      <c r="I794" s="35">
        <v>695</v>
      </c>
      <c r="J794" s="35">
        <v>0</v>
      </c>
      <c r="K794" s="36"/>
      <c r="L794" s="36"/>
      <c r="M794" s="36"/>
      <c r="N794" s="36"/>
      <c r="O794" s="36"/>
      <c r="P794" s="36"/>
      <c r="Q794" s="36"/>
      <c r="R794" s="36"/>
      <c r="S794" s="36"/>
      <c r="T794" s="36"/>
    </row>
    <row r="795" spans="1:20" ht="15.75">
      <c r="A795" s="13">
        <v>65714</v>
      </c>
      <c r="B795" s="44">
        <f t="shared" si="3"/>
        <v>30</v>
      </c>
      <c r="C795" s="35">
        <v>122.58</v>
      </c>
      <c r="D795" s="35">
        <v>297.94099999999997</v>
      </c>
      <c r="E795" s="41">
        <v>729.47900000000004</v>
      </c>
      <c r="F795" s="35">
        <v>1150</v>
      </c>
      <c r="G795" s="35">
        <v>100</v>
      </c>
      <c r="H795" s="43">
        <v>600</v>
      </c>
      <c r="I795" s="35">
        <v>695</v>
      </c>
      <c r="J795" s="35">
        <v>50</v>
      </c>
      <c r="K795" s="36"/>
      <c r="L795" s="36"/>
      <c r="M795" s="36"/>
      <c r="N795" s="36"/>
      <c r="O795" s="36"/>
      <c r="P795" s="36"/>
      <c r="Q795" s="36"/>
      <c r="R795" s="36"/>
      <c r="S795" s="36"/>
      <c r="T795" s="36"/>
    </row>
    <row r="796" spans="1:20" ht="15.75">
      <c r="A796" s="13">
        <v>65745</v>
      </c>
      <c r="B796" s="44">
        <f t="shared" si="3"/>
        <v>31</v>
      </c>
      <c r="C796" s="35">
        <v>122.58</v>
      </c>
      <c r="D796" s="35">
        <v>297.94099999999997</v>
      </c>
      <c r="E796" s="41">
        <v>729.47900000000004</v>
      </c>
      <c r="F796" s="35">
        <v>1150</v>
      </c>
      <c r="G796" s="35">
        <v>100</v>
      </c>
      <c r="H796" s="43">
        <v>600</v>
      </c>
      <c r="I796" s="35">
        <v>695</v>
      </c>
      <c r="J796" s="35">
        <v>50</v>
      </c>
      <c r="K796" s="36"/>
      <c r="L796" s="36"/>
      <c r="M796" s="36"/>
      <c r="N796" s="36"/>
      <c r="O796" s="36"/>
      <c r="P796" s="36"/>
      <c r="Q796" s="36"/>
      <c r="R796" s="36"/>
      <c r="S796" s="36"/>
      <c r="T796" s="36"/>
    </row>
    <row r="797" spans="1:20" ht="15.75">
      <c r="A797" s="13">
        <v>65776</v>
      </c>
      <c r="B797" s="44">
        <f t="shared" si="3"/>
        <v>31</v>
      </c>
      <c r="C797" s="35">
        <v>122.58</v>
      </c>
      <c r="D797" s="35">
        <v>297.94099999999997</v>
      </c>
      <c r="E797" s="41">
        <v>729.47900000000004</v>
      </c>
      <c r="F797" s="35">
        <v>1150</v>
      </c>
      <c r="G797" s="35">
        <v>100</v>
      </c>
      <c r="H797" s="43">
        <v>600</v>
      </c>
      <c r="I797" s="35">
        <v>695</v>
      </c>
      <c r="J797" s="35">
        <v>50</v>
      </c>
      <c r="K797" s="36"/>
      <c r="L797" s="36"/>
      <c r="M797" s="36"/>
      <c r="N797" s="36"/>
      <c r="O797" s="36"/>
      <c r="P797" s="36"/>
      <c r="Q797" s="36"/>
      <c r="R797" s="36"/>
      <c r="S797" s="36"/>
      <c r="T797" s="36"/>
    </row>
    <row r="798" spans="1:20" ht="15.75">
      <c r="A798" s="13">
        <v>65805</v>
      </c>
      <c r="B798" s="44">
        <f t="shared" si="3"/>
        <v>29</v>
      </c>
      <c r="C798" s="35">
        <v>122.58</v>
      </c>
      <c r="D798" s="35">
        <v>297.94099999999997</v>
      </c>
      <c r="E798" s="41">
        <v>729.47900000000004</v>
      </c>
      <c r="F798" s="35">
        <v>1150</v>
      </c>
      <c r="G798" s="35">
        <v>100</v>
      </c>
      <c r="H798" s="43">
        <v>600</v>
      </c>
      <c r="I798" s="35">
        <v>695</v>
      </c>
      <c r="J798" s="35">
        <v>50</v>
      </c>
      <c r="K798" s="36"/>
      <c r="L798" s="36"/>
      <c r="M798" s="36"/>
      <c r="N798" s="36"/>
      <c r="O798" s="36"/>
      <c r="P798" s="36"/>
      <c r="Q798" s="36"/>
      <c r="R798" s="36"/>
      <c r="S798" s="36"/>
      <c r="T798" s="36"/>
    </row>
    <row r="799" spans="1:20" ht="15.75">
      <c r="A799" s="13">
        <v>65836</v>
      </c>
      <c r="B799" s="44">
        <f t="shared" si="3"/>
        <v>31</v>
      </c>
      <c r="C799" s="35">
        <v>122.58</v>
      </c>
      <c r="D799" s="35">
        <v>297.94099999999997</v>
      </c>
      <c r="E799" s="41">
        <v>729.47900000000004</v>
      </c>
      <c r="F799" s="35">
        <v>1150</v>
      </c>
      <c r="G799" s="35">
        <v>100</v>
      </c>
      <c r="H799" s="43">
        <v>600</v>
      </c>
      <c r="I799" s="35">
        <v>695</v>
      </c>
      <c r="J799" s="35">
        <v>50</v>
      </c>
      <c r="K799" s="36"/>
      <c r="L799" s="36"/>
      <c r="M799" s="36"/>
      <c r="N799" s="36"/>
      <c r="O799" s="36"/>
      <c r="P799" s="36"/>
      <c r="Q799" s="36"/>
      <c r="R799" s="36"/>
      <c r="S799" s="36"/>
      <c r="T799" s="36"/>
    </row>
    <row r="800" spans="1:20" ht="15.75">
      <c r="A800" s="13">
        <v>65866</v>
      </c>
      <c r="B800" s="44">
        <f t="shared" si="3"/>
        <v>30</v>
      </c>
      <c r="C800" s="35">
        <v>141.29300000000001</v>
      </c>
      <c r="D800" s="35">
        <v>267.99299999999999</v>
      </c>
      <c r="E800" s="41">
        <v>829.71400000000006</v>
      </c>
      <c r="F800" s="35">
        <v>1239</v>
      </c>
      <c r="G800" s="35">
        <v>100</v>
      </c>
      <c r="H800" s="43">
        <v>600</v>
      </c>
      <c r="I800" s="35">
        <v>695</v>
      </c>
      <c r="J800" s="35">
        <v>50</v>
      </c>
      <c r="K800" s="36"/>
      <c r="L800" s="36"/>
      <c r="M800" s="36"/>
      <c r="N800" s="36"/>
      <c r="O800" s="36"/>
      <c r="P800" s="36"/>
      <c r="Q800" s="36"/>
      <c r="R800" s="36"/>
      <c r="S800" s="36"/>
      <c r="T800" s="36"/>
    </row>
    <row r="801" spans="1:20" ht="15.75">
      <c r="A801" s="13">
        <v>65897</v>
      </c>
      <c r="B801" s="44">
        <f t="shared" si="3"/>
        <v>31</v>
      </c>
      <c r="C801" s="35">
        <v>194.20500000000001</v>
      </c>
      <c r="D801" s="35">
        <v>267.46600000000001</v>
      </c>
      <c r="E801" s="41">
        <v>812.32899999999995</v>
      </c>
      <c r="F801" s="35">
        <v>1274</v>
      </c>
      <c r="G801" s="35">
        <v>75</v>
      </c>
      <c r="H801" s="43">
        <v>600</v>
      </c>
      <c r="I801" s="35">
        <v>695</v>
      </c>
      <c r="J801" s="35">
        <v>50</v>
      </c>
      <c r="K801" s="36"/>
      <c r="L801" s="36"/>
      <c r="M801" s="36"/>
      <c r="N801" s="36"/>
      <c r="O801" s="36"/>
      <c r="P801" s="36"/>
      <c r="Q801" s="36"/>
      <c r="R801" s="36"/>
      <c r="S801" s="36"/>
      <c r="T801" s="36"/>
    </row>
    <row r="802" spans="1:20" ht="15.75">
      <c r="A802" s="13">
        <v>65927</v>
      </c>
      <c r="B802" s="44">
        <f t="shared" si="3"/>
        <v>30</v>
      </c>
      <c r="C802" s="35">
        <v>194.20500000000001</v>
      </c>
      <c r="D802" s="35">
        <v>267.46600000000001</v>
      </c>
      <c r="E802" s="41">
        <v>812.32899999999995</v>
      </c>
      <c r="F802" s="35">
        <v>1274</v>
      </c>
      <c r="G802" s="35">
        <v>50</v>
      </c>
      <c r="H802" s="43">
        <v>600</v>
      </c>
      <c r="I802" s="35">
        <v>695</v>
      </c>
      <c r="J802" s="35">
        <v>50</v>
      </c>
      <c r="K802" s="36"/>
      <c r="L802" s="36"/>
      <c r="M802" s="36"/>
      <c r="N802" s="36"/>
      <c r="O802" s="36"/>
      <c r="P802" s="36"/>
      <c r="Q802" s="36"/>
      <c r="R802" s="36"/>
      <c r="S802" s="36"/>
      <c r="T802" s="36"/>
    </row>
    <row r="803" spans="1:20" ht="15.75">
      <c r="A803" s="13">
        <v>65958</v>
      </c>
      <c r="B803" s="44">
        <f t="shared" si="3"/>
        <v>31</v>
      </c>
      <c r="C803" s="35">
        <v>194.20500000000001</v>
      </c>
      <c r="D803" s="35">
        <v>267.46600000000001</v>
      </c>
      <c r="E803" s="41">
        <v>812.32899999999995</v>
      </c>
      <c r="F803" s="35">
        <v>1274</v>
      </c>
      <c r="G803" s="35">
        <v>50</v>
      </c>
      <c r="H803" s="43">
        <v>600</v>
      </c>
      <c r="I803" s="35">
        <v>695</v>
      </c>
      <c r="J803" s="35">
        <v>0</v>
      </c>
      <c r="K803" s="36"/>
      <c r="L803" s="36"/>
      <c r="M803" s="36"/>
      <c r="N803" s="36"/>
      <c r="O803" s="36"/>
      <c r="P803" s="36"/>
      <c r="Q803" s="36"/>
      <c r="R803" s="36"/>
      <c r="S803" s="36"/>
      <c r="T803" s="36"/>
    </row>
    <row r="804" spans="1:20" ht="15.75">
      <c r="A804" s="13">
        <v>65989</v>
      </c>
      <c r="B804" s="44">
        <f t="shared" si="3"/>
        <v>31</v>
      </c>
      <c r="C804" s="35">
        <v>194.20500000000001</v>
      </c>
      <c r="D804" s="35">
        <v>267.46600000000001</v>
      </c>
      <c r="E804" s="41">
        <v>812.32899999999995</v>
      </c>
      <c r="F804" s="35">
        <v>1274</v>
      </c>
      <c r="G804" s="35">
        <v>50</v>
      </c>
      <c r="H804" s="43">
        <v>600</v>
      </c>
      <c r="I804" s="35">
        <v>695</v>
      </c>
      <c r="J804" s="35">
        <v>0</v>
      </c>
      <c r="K804" s="36"/>
      <c r="L804" s="36"/>
      <c r="M804" s="36"/>
      <c r="N804" s="36"/>
      <c r="O804" s="36"/>
      <c r="P804" s="36"/>
      <c r="Q804" s="36"/>
      <c r="R804" s="36"/>
      <c r="S804" s="36"/>
      <c r="T804" s="36"/>
    </row>
    <row r="805" spans="1:20" ht="15.75">
      <c r="A805" s="13">
        <v>66019</v>
      </c>
      <c r="B805" s="44">
        <f t="shared" si="3"/>
        <v>30</v>
      </c>
      <c r="C805" s="35">
        <v>194.20500000000001</v>
      </c>
      <c r="D805" s="35">
        <v>267.46600000000001</v>
      </c>
      <c r="E805" s="41">
        <v>812.32899999999995</v>
      </c>
      <c r="F805" s="35">
        <v>1274</v>
      </c>
      <c r="G805" s="35">
        <v>50</v>
      </c>
      <c r="H805" s="43">
        <v>600</v>
      </c>
      <c r="I805" s="35">
        <v>695</v>
      </c>
      <c r="J805" s="35">
        <v>0</v>
      </c>
      <c r="K805" s="36"/>
      <c r="L805" s="36"/>
      <c r="M805" s="36"/>
      <c r="N805" s="36"/>
      <c r="O805" s="36"/>
      <c r="P805" s="36"/>
      <c r="Q805" s="36"/>
      <c r="R805" s="36"/>
      <c r="S805" s="36"/>
      <c r="T805" s="36"/>
    </row>
    <row r="806" spans="1:20" ht="15.75">
      <c r="A806" s="13">
        <v>66050</v>
      </c>
      <c r="B806" s="44">
        <f t="shared" si="3"/>
        <v>31</v>
      </c>
      <c r="C806" s="35">
        <v>131.881</v>
      </c>
      <c r="D806" s="35">
        <v>277.16699999999997</v>
      </c>
      <c r="E806" s="41">
        <v>829.952</v>
      </c>
      <c r="F806" s="35">
        <v>1239</v>
      </c>
      <c r="G806" s="35">
        <v>75</v>
      </c>
      <c r="H806" s="43">
        <v>600</v>
      </c>
      <c r="I806" s="35">
        <v>695</v>
      </c>
      <c r="J806" s="35">
        <v>0</v>
      </c>
      <c r="K806" s="36"/>
      <c r="L806" s="36"/>
      <c r="M806" s="36"/>
      <c r="N806" s="36"/>
      <c r="O806" s="36"/>
      <c r="P806" s="36"/>
      <c r="Q806" s="36"/>
      <c r="R806" s="36"/>
      <c r="S806" s="36"/>
      <c r="T806" s="36"/>
    </row>
    <row r="807" spans="1:20" ht="15.75">
      <c r="A807" s="13">
        <v>66080</v>
      </c>
      <c r="B807" s="44">
        <f t="shared" si="3"/>
        <v>30</v>
      </c>
      <c r="C807" s="35">
        <v>122.58</v>
      </c>
      <c r="D807" s="35">
        <v>297.94099999999997</v>
      </c>
      <c r="E807" s="41">
        <v>729.47900000000004</v>
      </c>
      <c r="F807" s="35">
        <v>1150</v>
      </c>
      <c r="G807" s="35">
        <v>100</v>
      </c>
      <c r="H807" s="43">
        <v>600</v>
      </c>
      <c r="I807" s="35">
        <v>695</v>
      </c>
      <c r="J807" s="35">
        <v>50</v>
      </c>
      <c r="K807" s="36"/>
      <c r="L807" s="36"/>
      <c r="M807" s="36"/>
      <c r="N807" s="36"/>
      <c r="O807" s="36"/>
      <c r="P807" s="36"/>
      <c r="Q807" s="36"/>
      <c r="R807" s="36"/>
      <c r="S807" s="36"/>
      <c r="T807" s="36"/>
    </row>
    <row r="808" spans="1:20" ht="15.75">
      <c r="A808" s="13">
        <v>66111</v>
      </c>
      <c r="B808" s="44">
        <f t="shared" si="3"/>
        <v>31</v>
      </c>
      <c r="C808" s="35">
        <v>122.58</v>
      </c>
      <c r="D808" s="35">
        <v>297.94099999999997</v>
      </c>
      <c r="E808" s="41">
        <v>729.47900000000004</v>
      </c>
      <c r="F808" s="35">
        <v>1150</v>
      </c>
      <c r="G808" s="35">
        <v>100</v>
      </c>
      <c r="H808" s="43">
        <v>600</v>
      </c>
      <c r="I808" s="35">
        <v>695</v>
      </c>
      <c r="J808" s="35">
        <v>50</v>
      </c>
      <c r="K808" s="36"/>
      <c r="L808" s="36"/>
      <c r="M808" s="36"/>
      <c r="N808" s="36"/>
      <c r="O808" s="36"/>
      <c r="P808" s="36"/>
      <c r="Q808" s="36"/>
      <c r="R808" s="36"/>
      <c r="S808" s="36"/>
      <c r="T808" s="36"/>
    </row>
    <row r="809" spans="1:20" ht="15.75">
      <c r="A809" s="13">
        <v>66142</v>
      </c>
      <c r="B809" s="44">
        <f t="shared" si="3"/>
        <v>31</v>
      </c>
      <c r="C809" s="35">
        <v>122.58</v>
      </c>
      <c r="D809" s="35">
        <v>297.94099999999997</v>
      </c>
      <c r="E809" s="41">
        <v>729.47900000000004</v>
      </c>
      <c r="F809" s="35">
        <v>1150</v>
      </c>
      <c r="G809" s="35">
        <v>100</v>
      </c>
      <c r="H809" s="43">
        <v>600</v>
      </c>
      <c r="I809" s="35">
        <v>695</v>
      </c>
      <c r="J809" s="35">
        <v>50</v>
      </c>
      <c r="K809" s="36"/>
      <c r="L809" s="36"/>
      <c r="M809" s="36"/>
      <c r="N809" s="36"/>
      <c r="O809" s="36"/>
      <c r="P809" s="36"/>
      <c r="Q809" s="36"/>
      <c r="R809" s="36"/>
      <c r="S809" s="36"/>
      <c r="T809" s="36"/>
    </row>
    <row r="810" spans="1:20" ht="15.75">
      <c r="A810" s="13">
        <v>66170</v>
      </c>
      <c r="B810" s="44">
        <f t="shared" si="3"/>
        <v>28</v>
      </c>
      <c r="C810" s="35">
        <v>122.58</v>
      </c>
      <c r="D810" s="35">
        <v>297.94099999999997</v>
      </c>
      <c r="E810" s="41">
        <v>729.47900000000004</v>
      </c>
      <c r="F810" s="35">
        <v>1150</v>
      </c>
      <c r="G810" s="35">
        <v>100</v>
      </c>
      <c r="H810" s="43">
        <v>600</v>
      </c>
      <c r="I810" s="35">
        <v>695</v>
      </c>
      <c r="J810" s="35">
        <v>50</v>
      </c>
      <c r="K810" s="36"/>
      <c r="L810" s="36"/>
      <c r="M810" s="36"/>
      <c r="N810" s="36"/>
      <c r="O810" s="36"/>
      <c r="P810" s="36"/>
      <c r="Q810" s="36"/>
      <c r="R810" s="36"/>
      <c r="S810" s="36"/>
      <c r="T810" s="36"/>
    </row>
    <row r="811" spans="1:20" ht="15.75">
      <c r="A811" s="13">
        <v>66201</v>
      </c>
      <c r="B811" s="44">
        <f t="shared" si="3"/>
        <v>31</v>
      </c>
      <c r="C811" s="35">
        <v>122.58</v>
      </c>
      <c r="D811" s="35">
        <v>297.94099999999997</v>
      </c>
      <c r="E811" s="41">
        <v>729.47900000000004</v>
      </c>
      <c r="F811" s="35">
        <v>1150</v>
      </c>
      <c r="G811" s="35">
        <v>100</v>
      </c>
      <c r="H811" s="43">
        <v>600</v>
      </c>
      <c r="I811" s="35">
        <v>695</v>
      </c>
      <c r="J811" s="35">
        <v>50</v>
      </c>
      <c r="K811" s="36"/>
      <c r="L811" s="36"/>
      <c r="M811" s="36"/>
      <c r="N811" s="36"/>
      <c r="O811" s="36"/>
      <c r="P811" s="36"/>
      <c r="Q811" s="36"/>
      <c r="R811" s="36"/>
      <c r="S811" s="36"/>
      <c r="T811" s="36"/>
    </row>
    <row r="812" spans="1:20" ht="15.75">
      <c r="A812" s="13">
        <v>66231</v>
      </c>
      <c r="B812" s="44">
        <f t="shared" si="3"/>
        <v>30</v>
      </c>
      <c r="C812" s="35">
        <v>141.29300000000001</v>
      </c>
      <c r="D812" s="35">
        <v>267.99299999999999</v>
      </c>
      <c r="E812" s="41">
        <v>829.71400000000006</v>
      </c>
      <c r="F812" s="35">
        <v>1239</v>
      </c>
      <c r="G812" s="35">
        <v>100</v>
      </c>
      <c r="H812" s="43">
        <v>600</v>
      </c>
      <c r="I812" s="35">
        <v>695</v>
      </c>
      <c r="J812" s="35">
        <v>50</v>
      </c>
      <c r="K812" s="36"/>
      <c r="L812" s="36"/>
      <c r="M812" s="36"/>
      <c r="N812" s="36"/>
      <c r="O812" s="36"/>
      <c r="P812" s="36"/>
      <c r="Q812" s="36"/>
      <c r="R812" s="36"/>
      <c r="S812" s="36"/>
      <c r="T812" s="36"/>
    </row>
    <row r="813" spans="1:20" ht="15.75">
      <c r="A813" s="13">
        <v>66262</v>
      </c>
      <c r="B813" s="44">
        <f t="shared" si="3"/>
        <v>31</v>
      </c>
      <c r="C813" s="35">
        <v>194.20500000000001</v>
      </c>
      <c r="D813" s="35">
        <v>267.46600000000001</v>
      </c>
      <c r="E813" s="41">
        <v>812.32899999999995</v>
      </c>
      <c r="F813" s="35">
        <v>1274</v>
      </c>
      <c r="G813" s="35">
        <v>75</v>
      </c>
      <c r="H813" s="43">
        <v>600</v>
      </c>
      <c r="I813" s="35">
        <v>695</v>
      </c>
      <c r="J813" s="35">
        <v>50</v>
      </c>
      <c r="K813" s="36"/>
      <c r="L813" s="36"/>
      <c r="M813" s="36"/>
      <c r="N813" s="36"/>
      <c r="O813" s="36"/>
      <c r="P813" s="36"/>
      <c r="Q813" s="36"/>
      <c r="R813" s="36"/>
      <c r="S813" s="36"/>
      <c r="T813" s="36"/>
    </row>
    <row r="814" spans="1:20" ht="15.75">
      <c r="A814" s="13">
        <v>66292</v>
      </c>
      <c r="B814" s="44">
        <f t="shared" si="3"/>
        <v>30</v>
      </c>
      <c r="C814" s="35">
        <v>194.20500000000001</v>
      </c>
      <c r="D814" s="35">
        <v>267.46600000000001</v>
      </c>
      <c r="E814" s="41">
        <v>812.32899999999995</v>
      </c>
      <c r="F814" s="35">
        <v>1274</v>
      </c>
      <c r="G814" s="35">
        <v>50</v>
      </c>
      <c r="H814" s="43">
        <v>600</v>
      </c>
      <c r="I814" s="35">
        <v>695</v>
      </c>
      <c r="J814" s="35">
        <v>50</v>
      </c>
      <c r="K814" s="36"/>
      <c r="L814" s="36"/>
      <c r="M814" s="36"/>
      <c r="N814" s="36"/>
      <c r="O814" s="36"/>
      <c r="P814" s="36"/>
      <c r="Q814" s="36"/>
      <c r="R814" s="36"/>
      <c r="S814" s="36"/>
      <c r="T814" s="36"/>
    </row>
    <row r="815" spans="1:20" ht="15.75">
      <c r="A815" s="13">
        <v>66323</v>
      </c>
      <c r="B815" s="44">
        <f t="shared" si="3"/>
        <v>31</v>
      </c>
      <c r="C815" s="35">
        <v>194.20500000000001</v>
      </c>
      <c r="D815" s="35">
        <v>267.46600000000001</v>
      </c>
      <c r="E815" s="41">
        <v>812.32899999999995</v>
      </c>
      <c r="F815" s="35">
        <v>1274</v>
      </c>
      <c r="G815" s="35">
        <v>50</v>
      </c>
      <c r="H815" s="43">
        <v>600</v>
      </c>
      <c r="I815" s="35">
        <v>695</v>
      </c>
      <c r="J815" s="35">
        <v>0</v>
      </c>
      <c r="K815" s="36"/>
      <c r="L815" s="36"/>
      <c r="M815" s="36"/>
      <c r="N815" s="36"/>
      <c r="O815" s="36"/>
      <c r="P815" s="36"/>
      <c r="Q815" s="36"/>
      <c r="R815" s="36"/>
      <c r="S815" s="36"/>
      <c r="T815" s="36"/>
    </row>
    <row r="816" spans="1:20" ht="15.75">
      <c r="A816" s="13">
        <v>66354</v>
      </c>
      <c r="B816" s="44">
        <f t="shared" si="3"/>
        <v>31</v>
      </c>
      <c r="C816" s="35">
        <v>194.20500000000001</v>
      </c>
      <c r="D816" s="35">
        <v>267.46600000000001</v>
      </c>
      <c r="E816" s="41">
        <v>812.32899999999995</v>
      </c>
      <c r="F816" s="35">
        <v>1274</v>
      </c>
      <c r="G816" s="35">
        <v>50</v>
      </c>
      <c r="H816" s="43">
        <v>600</v>
      </c>
      <c r="I816" s="35">
        <v>695</v>
      </c>
      <c r="J816" s="35">
        <v>0</v>
      </c>
      <c r="K816" s="36"/>
      <c r="L816" s="36"/>
      <c r="M816" s="36"/>
      <c r="N816" s="36"/>
      <c r="O816" s="36"/>
      <c r="P816" s="36"/>
      <c r="Q816" s="36"/>
      <c r="R816" s="36"/>
      <c r="S816" s="36"/>
      <c r="T816" s="36"/>
    </row>
    <row r="817" spans="1:20" ht="15.75">
      <c r="A817" s="13">
        <v>66384</v>
      </c>
      <c r="B817" s="44">
        <f t="shared" si="3"/>
        <v>30</v>
      </c>
      <c r="C817" s="35">
        <v>194.20500000000001</v>
      </c>
      <c r="D817" s="35">
        <v>267.46600000000001</v>
      </c>
      <c r="E817" s="41">
        <v>812.32899999999995</v>
      </c>
      <c r="F817" s="35">
        <v>1274</v>
      </c>
      <c r="G817" s="35">
        <v>50</v>
      </c>
      <c r="H817" s="43">
        <v>600</v>
      </c>
      <c r="I817" s="35">
        <v>695</v>
      </c>
      <c r="J817" s="35">
        <v>0</v>
      </c>
      <c r="K817" s="36"/>
      <c r="L817" s="36"/>
      <c r="M817" s="36"/>
      <c r="N817" s="36"/>
      <c r="O817" s="36"/>
      <c r="P817" s="36"/>
      <c r="Q817" s="36"/>
      <c r="R817" s="36"/>
      <c r="S817" s="36"/>
      <c r="T817" s="36"/>
    </row>
    <row r="818" spans="1:20" ht="15.75">
      <c r="A818" s="13">
        <v>66415</v>
      </c>
      <c r="B818" s="44">
        <f t="shared" si="3"/>
        <v>31</v>
      </c>
      <c r="C818" s="35">
        <v>131.881</v>
      </c>
      <c r="D818" s="35">
        <v>277.16699999999997</v>
      </c>
      <c r="E818" s="41">
        <v>829.952</v>
      </c>
      <c r="F818" s="35">
        <v>1239</v>
      </c>
      <c r="G818" s="35">
        <v>75</v>
      </c>
      <c r="H818" s="43">
        <v>600</v>
      </c>
      <c r="I818" s="35">
        <v>695</v>
      </c>
      <c r="J818" s="35">
        <v>0</v>
      </c>
      <c r="K818" s="36"/>
      <c r="L818" s="36"/>
      <c r="M818" s="36"/>
      <c r="N818" s="36"/>
      <c r="O818" s="36"/>
      <c r="P818" s="36"/>
      <c r="Q818" s="36"/>
      <c r="R818" s="36"/>
      <c r="S818" s="36"/>
      <c r="T818" s="36"/>
    </row>
    <row r="819" spans="1:20" ht="15.75">
      <c r="A819" s="13">
        <v>66445</v>
      </c>
      <c r="B819" s="44">
        <f t="shared" si="3"/>
        <v>30</v>
      </c>
      <c r="C819" s="35">
        <v>122.58</v>
      </c>
      <c r="D819" s="35">
        <v>297.94099999999997</v>
      </c>
      <c r="E819" s="41">
        <v>729.47900000000004</v>
      </c>
      <c r="F819" s="35">
        <v>1150</v>
      </c>
      <c r="G819" s="35">
        <v>100</v>
      </c>
      <c r="H819" s="43">
        <v>600</v>
      </c>
      <c r="I819" s="35">
        <v>695</v>
      </c>
      <c r="J819" s="35">
        <v>50</v>
      </c>
      <c r="K819" s="36"/>
      <c r="L819" s="36"/>
      <c r="M819" s="36"/>
      <c r="N819" s="36"/>
      <c r="O819" s="36"/>
      <c r="P819" s="36"/>
      <c r="Q819" s="36"/>
      <c r="R819" s="36"/>
      <c r="S819" s="36"/>
      <c r="T819" s="36"/>
    </row>
    <row r="820" spans="1:20" ht="15.75">
      <c r="A820" s="13">
        <v>66476</v>
      </c>
      <c r="B820" s="44">
        <f t="shared" si="3"/>
        <v>31</v>
      </c>
      <c r="C820" s="35">
        <v>122.58</v>
      </c>
      <c r="D820" s="35">
        <v>297.94099999999997</v>
      </c>
      <c r="E820" s="41">
        <v>729.47900000000004</v>
      </c>
      <c r="F820" s="35">
        <v>1150</v>
      </c>
      <c r="G820" s="35">
        <v>100</v>
      </c>
      <c r="H820" s="43">
        <v>600</v>
      </c>
      <c r="I820" s="35">
        <v>695</v>
      </c>
      <c r="J820" s="35">
        <v>50</v>
      </c>
      <c r="K820" s="36"/>
      <c r="L820" s="36"/>
      <c r="M820" s="36"/>
      <c r="N820" s="36"/>
      <c r="O820" s="36"/>
      <c r="P820" s="36"/>
      <c r="Q820" s="36"/>
      <c r="R820" s="36"/>
      <c r="S820" s="36"/>
      <c r="T820" s="36"/>
    </row>
    <row r="821" spans="1:20" ht="15.75">
      <c r="A821" s="13">
        <v>66507</v>
      </c>
      <c r="B821" s="44">
        <f t="shared" si="3"/>
        <v>31</v>
      </c>
      <c r="C821" s="35">
        <v>122.58</v>
      </c>
      <c r="D821" s="35">
        <v>297.94099999999997</v>
      </c>
      <c r="E821" s="41">
        <v>729.47900000000004</v>
      </c>
      <c r="F821" s="35">
        <v>1150</v>
      </c>
      <c r="G821" s="35">
        <v>100</v>
      </c>
      <c r="H821" s="43">
        <v>600</v>
      </c>
      <c r="I821" s="35">
        <v>695</v>
      </c>
      <c r="J821" s="35">
        <v>50</v>
      </c>
      <c r="K821" s="36"/>
      <c r="L821" s="36"/>
      <c r="M821" s="36"/>
      <c r="N821" s="36"/>
      <c r="O821" s="36"/>
      <c r="P821" s="36"/>
      <c r="Q821" s="36"/>
      <c r="R821" s="36"/>
      <c r="S821" s="36"/>
      <c r="T821" s="36"/>
    </row>
    <row r="822" spans="1:20" ht="15.75">
      <c r="A822" s="13">
        <v>66535</v>
      </c>
      <c r="B822" s="44">
        <f t="shared" si="3"/>
        <v>28</v>
      </c>
      <c r="C822" s="35">
        <v>122.58</v>
      </c>
      <c r="D822" s="35">
        <v>297.94099999999997</v>
      </c>
      <c r="E822" s="41">
        <v>729.47900000000004</v>
      </c>
      <c r="F822" s="35">
        <v>1150</v>
      </c>
      <c r="G822" s="35">
        <v>100</v>
      </c>
      <c r="H822" s="43">
        <v>600</v>
      </c>
      <c r="I822" s="35">
        <v>695</v>
      </c>
      <c r="J822" s="35">
        <v>50</v>
      </c>
      <c r="K822" s="36"/>
      <c r="L822" s="36"/>
      <c r="M822" s="36"/>
      <c r="N822" s="36"/>
      <c r="O822" s="36"/>
      <c r="P822" s="36"/>
      <c r="Q822" s="36"/>
      <c r="R822" s="36"/>
      <c r="S822" s="36"/>
      <c r="T822" s="36"/>
    </row>
    <row r="823" spans="1:20" ht="15.75">
      <c r="A823" s="13">
        <v>66566</v>
      </c>
      <c r="B823" s="44">
        <f t="shared" si="3"/>
        <v>31</v>
      </c>
      <c r="C823" s="35">
        <v>122.58</v>
      </c>
      <c r="D823" s="35">
        <v>297.94099999999997</v>
      </c>
      <c r="E823" s="41">
        <v>729.47900000000004</v>
      </c>
      <c r="F823" s="35">
        <v>1150</v>
      </c>
      <c r="G823" s="35">
        <v>100</v>
      </c>
      <c r="H823" s="43">
        <v>600</v>
      </c>
      <c r="I823" s="35">
        <v>695</v>
      </c>
      <c r="J823" s="35">
        <v>50</v>
      </c>
      <c r="K823" s="36"/>
      <c r="L823" s="36"/>
      <c r="M823" s="36"/>
      <c r="N823" s="36"/>
      <c r="O823" s="36"/>
      <c r="P823" s="36"/>
      <c r="Q823" s="36"/>
      <c r="R823" s="36"/>
      <c r="S823" s="36"/>
      <c r="T823" s="36"/>
    </row>
    <row r="824" spans="1:20" ht="15.75">
      <c r="A824" s="13">
        <v>66596</v>
      </c>
      <c r="B824" s="44">
        <f t="shared" si="3"/>
        <v>30</v>
      </c>
      <c r="C824" s="35">
        <v>141.29300000000001</v>
      </c>
      <c r="D824" s="35">
        <v>267.99299999999999</v>
      </c>
      <c r="E824" s="41">
        <v>829.71400000000006</v>
      </c>
      <c r="F824" s="35">
        <v>1239</v>
      </c>
      <c r="G824" s="35">
        <v>100</v>
      </c>
      <c r="H824" s="43">
        <v>600</v>
      </c>
      <c r="I824" s="35">
        <v>695</v>
      </c>
      <c r="J824" s="35">
        <v>50</v>
      </c>
      <c r="K824" s="36"/>
      <c r="L824" s="36"/>
      <c r="M824" s="36"/>
      <c r="N824" s="36"/>
      <c r="O824" s="36"/>
      <c r="P824" s="36"/>
      <c r="Q824" s="36"/>
      <c r="R824" s="36"/>
      <c r="S824" s="36"/>
      <c r="T824" s="36"/>
    </row>
    <row r="825" spans="1:20" ht="15.75">
      <c r="A825" s="13">
        <v>66627</v>
      </c>
      <c r="B825" s="44">
        <f t="shared" si="3"/>
        <v>31</v>
      </c>
      <c r="C825" s="35">
        <v>194.20500000000001</v>
      </c>
      <c r="D825" s="35">
        <v>267.46600000000001</v>
      </c>
      <c r="E825" s="41">
        <v>812.32899999999995</v>
      </c>
      <c r="F825" s="35">
        <v>1274</v>
      </c>
      <c r="G825" s="35">
        <v>75</v>
      </c>
      <c r="H825" s="43">
        <v>600</v>
      </c>
      <c r="I825" s="35">
        <v>695</v>
      </c>
      <c r="J825" s="35">
        <v>50</v>
      </c>
      <c r="K825" s="36"/>
      <c r="L825" s="36"/>
      <c r="M825" s="36"/>
      <c r="N825" s="36"/>
      <c r="O825" s="36"/>
      <c r="P825" s="36"/>
      <c r="Q825" s="36"/>
      <c r="R825" s="36"/>
      <c r="S825" s="36"/>
      <c r="T825" s="36"/>
    </row>
    <row r="826" spans="1:20" ht="15.75">
      <c r="A826" s="13">
        <v>66657</v>
      </c>
      <c r="B826" s="44">
        <f t="shared" si="3"/>
        <v>30</v>
      </c>
      <c r="C826" s="35">
        <v>194.20500000000001</v>
      </c>
      <c r="D826" s="35">
        <v>267.46600000000001</v>
      </c>
      <c r="E826" s="41">
        <v>812.32899999999995</v>
      </c>
      <c r="F826" s="35">
        <v>1274</v>
      </c>
      <c r="G826" s="35">
        <v>50</v>
      </c>
      <c r="H826" s="43">
        <v>600</v>
      </c>
      <c r="I826" s="35">
        <v>695</v>
      </c>
      <c r="J826" s="35">
        <v>50</v>
      </c>
      <c r="K826" s="36"/>
      <c r="L826" s="36"/>
      <c r="M826" s="36"/>
      <c r="N826" s="36"/>
      <c r="O826" s="36"/>
      <c r="P826" s="36"/>
      <c r="Q826" s="36"/>
      <c r="R826" s="36"/>
      <c r="S826" s="36"/>
      <c r="T826" s="36"/>
    </row>
    <row r="827" spans="1:20" ht="15.75">
      <c r="A827" s="13">
        <v>66688</v>
      </c>
      <c r="B827" s="44">
        <f t="shared" si="3"/>
        <v>31</v>
      </c>
      <c r="C827" s="35">
        <v>194.20500000000001</v>
      </c>
      <c r="D827" s="35">
        <v>267.46600000000001</v>
      </c>
      <c r="E827" s="41">
        <v>812.32899999999995</v>
      </c>
      <c r="F827" s="35">
        <v>1274</v>
      </c>
      <c r="G827" s="35">
        <v>50</v>
      </c>
      <c r="H827" s="43">
        <v>600</v>
      </c>
      <c r="I827" s="35">
        <v>695</v>
      </c>
      <c r="J827" s="35">
        <v>0</v>
      </c>
      <c r="K827" s="36"/>
      <c r="L827" s="36"/>
      <c r="M827" s="36"/>
      <c r="N827" s="36"/>
      <c r="O827" s="36"/>
      <c r="P827" s="36"/>
      <c r="Q827" s="36"/>
      <c r="R827" s="36"/>
      <c r="S827" s="36"/>
      <c r="T827" s="36"/>
    </row>
    <row r="828" spans="1:20" ht="15.75">
      <c r="A828" s="13">
        <v>66719</v>
      </c>
      <c r="B828" s="44">
        <f t="shared" si="3"/>
        <v>31</v>
      </c>
      <c r="C828" s="35">
        <v>194.20500000000001</v>
      </c>
      <c r="D828" s="35">
        <v>267.46600000000001</v>
      </c>
      <c r="E828" s="41">
        <v>812.32899999999995</v>
      </c>
      <c r="F828" s="35">
        <v>1274</v>
      </c>
      <c r="G828" s="35">
        <v>50</v>
      </c>
      <c r="H828" s="43">
        <v>600</v>
      </c>
      <c r="I828" s="35">
        <v>695</v>
      </c>
      <c r="J828" s="35">
        <v>0</v>
      </c>
      <c r="K828" s="36"/>
      <c r="L828" s="36"/>
      <c r="M828" s="36"/>
      <c r="N828" s="36"/>
      <c r="O828" s="36"/>
      <c r="P828" s="36"/>
      <c r="Q828" s="36"/>
      <c r="R828" s="36"/>
      <c r="S828" s="36"/>
      <c r="T828" s="36"/>
    </row>
    <row r="829" spans="1:20" ht="15.75">
      <c r="A829" s="13">
        <v>66749</v>
      </c>
      <c r="B829" s="44">
        <f t="shared" si="3"/>
        <v>30</v>
      </c>
      <c r="C829" s="35">
        <v>194.20500000000001</v>
      </c>
      <c r="D829" s="35">
        <v>267.46600000000001</v>
      </c>
      <c r="E829" s="41">
        <v>812.32899999999995</v>
      </c>
      <c r="F829" s="35">
        <v>1274</v>
      </c>
      <c r="G829" s="35">
        <v>50</v>
      </c>
      <c r="H829" s="43">
        <v>600</v>
      </c>
      <c r="I829" s="35">
        <v>695</v>
      </c>
      <c r="J829" s="35">
        <v>0</v>
      </c>
      <c r="K829" s="36"/>
      <c r="L829" s="36"/>
      <c r="M829" s="36"/>
      <c r="N829" s="36"/>
      <c r="O829" s="36"/>
      <c r="P829" s="36"/>
      <c r="Q829" s="36"/>
      <c r="R829" s="36"/>
      <c r="S829" s="36"/>
      <c r="T829" s="36"/>
    </row>
    <row r="830" spans="1:20" ht="15.75">
      <c r="A830" s="13">
        <v>66780</v>
      </c>
      <c r="B830" s="44">
        <f t="shared" si="3"/>
        <v>31</v>
      </c>
      <c r="C830" s="35">
        <v>131.881</v>
      </c>
      <c r="D830" s="35">
        <v>277.16699999999997</v>
      </c>
      <c r="E830" s="41">
        <v>829.952</v>
      </c>
      <c r="F830" s="35">
        <v>1239</v>
      </c>
      <c r="G830" s="35">
        <v>75</v>
      </c>
      <c r="H830" s="43">
        <v>600</v>
      </c>
      <c r="I830" s="35">
        <v>695</v>
      </c>
      <c r="J830" s="35">
        <v>0</v>
      </c>
      <c r="K830" s="36"/>
      <c r="L830" s="36"/>
      <c r="M830" s="36"/>
      <c r="N830" s="36"/>
      <c r="O830" s="36"/>
      <c r="P830" s="36"/>
      <c r="Q830" s="36"/>
      <c r="R830" s="36"/>
      <c r="S830" s="36"/>
      <c r="T830" s="36"/>
    </row>
    <row r="831" spans="1:20" ht="15.75">
      <c r="A831" s="13">
        <v>66810</v>
      </c>
      <c r="B831" s="44">
        <f t="shared" si="3"/>
        <v>30</v>
      </c>
      <c r="C831" s="35">
        <v>122.58</v>
      </c>
      <c r="D831" s="35">
        <v>297.94099999999997</v>
      </c>
      <c r="E831" s="41">
        <v>729.47900000000004</v>
      </c>
      <c r="F831" s="35">
        <v>1150</v>
      </c>
      <c r="G831" s="35">
        <v>100</v>
      </c>
      <c r="H831" s="43">
        <v>600</v>
      </c>
      <c r="I831" s="35">
        <v>695</v>
      </c>
      <c r="J831" s="35">
        <v>50</v>
      </c>
      <c r="K831" s="36"/>
      <c r="L831" s="36"/>
      <c r="M831" s="36"/>
      <c r="N831" s="36"/>
      <c r="O831" s="36"/>
      <c r="P831" s="36"/>
      <c r="Q831" s="36"/>
      <c r="R831" s="36"/>
      <c r="S831" s="36"/>
      <c r="T831" s="36"/>
    </row>
    <row r="832" spans="1:20" ht="15.75">
      <c r="A832" s="13">
        <v>66841</v>
      </c>
      <c r="B832" s="44">
        <f t="shared" si="3"/>
        <v>31</v>
      </c>
      <c r="C832" s="35">
        <v>122.58</v>
      </c>
      <c r="D832" s="35">
        <v>297.94099999999997</v>
      </c>
      <c r="E832" s="41">
        <v>729.47900000000004</v>
      </c>
      <c r="F832" s="35">
        <v>1150</v>
      </c>
      <c r="G832" s="35">
        <v>100</v>
      </c>
      <c r="H832" s="43">
        <v>600</v>
      </c>
      <c r="I832" s="35">
        <v>695</v>
      </c>
      <c r="J832" s="35">
        <v>50</v>
      </c>
      <c r="K832" s="36"/>
      <c r="L832" s="36"/>
      <c r="M832" s="36"/>
      <c r="N832" s="36"/>
      <c r="O832" s="36"/>
      <c r="P832" s="36"/>
      <c r="Q832" s="36"/>
      <c r="R832" s="36"/>
      <c r="S832" s="36"/>
      <c r="T832" s="36"/>
    </row>
    <row r="833" spans="1:20" ht="15.75">
      <c r="A833" s="13">
        <v>66872</v>
      </c>
      <c r="B833" s="44">
        <f t="shared" si="3"/>
        <v>31</v>
      </c>
      <c r="C833" s="35">
        <v>122.58</v>
      </c>
      <c r="D833" s="35">
        <v>297.94099999999997</v>
      </c>
      <c r="E833" s="41">
        <v>729.47900000000004</v>
      </c>
      <c r="F833" s="35">
        <v>1150</v>
      </c>
      <c r="G833" s="35">
        <v>100</v>
      </c>
      <c r="H833" s="43">
        <v>600</v>
      </c>
      <c r="I833" s="35">
        <v>695</v>
      </c>
      <c r="J833" s="35">
        <v>50</v>
      </c>
      <c r="K833" s="36"/>
      <c r="L833" s="36"/>
      <c r="M833" s="36"/>
      <c r="N833" s="36"/>
      <c r="O833" s="36"/>
      <c r="P833" s="36"/>
      <c r="Q833" s="36"/>
      <c r="R833" s="36"/>
      <c r="S833" s="36"/>
      <c r="T833" s="36"/>
    </row>
    <row r="834" spans="1:20" ht="15.75">
      <c r="A834" s="13">
        <v>66900</v>
      </c>
      <c r="B834" s="44">
        <f t="shared" si="3"/>
        <v>28</v>
      </c>
      <c r="C834" s="35">
        <v>122.58</v>
      </c>
      <c r="D834" s="35">
        <v>297.94099999999997</v>
      </c>
      <c r="E834" s="41">
        <v>729.47900000000004</v>
      </c>
      <c r="F834" s="35">
        <v>1150</v>
      </c>
      <c r="G834" s="35">
        <v>100</v>
      </c>
      <c r="H834" s="43">
        <v>600</v>
      </c>
      <c r="I834" s="35">
        <v>695</v>
      </c>
      <c r="J834" s="35">
        <v>50</v>
      </c>
      <c r="K834" s="36"/>
      <c r="L834" s="36"/>
      <c r="M834" s="36"/>
      <c r="N834" s="36"/>
      <c r="O834" s="36"/>
      <c r="P834" s="36"/>
      <c r="Q834" s="36"/>
      <c r="R834" s="36"/>
      <c r="S834" s="36"/>
      <c r="T834" s="36"/>
    </row>
    <row r="835" spans="1:20" ht="15.75">
      <c r="A835" s="13">
        <v>66931</v>
      </c>
      <c r="B835" s="44">
        <f t="shared" si="3"/>
        <v>31</v>
      </c>
      <c r="C835" s="35">
        <v>122.58</v>
      </c>
      <c r="D835" s="35">
        <v>297.94099999999997</v>
      </c>
      <c r="E835" s="41">
        <v>729.47900000000004</v>
      </c>
      <c r="F835" s="35">
        <v>1150</v>
      </c>
      <c r="G835" s="35">
        <v>100</v>
      </c>
      <c r="H835" s="43">
        <v>600</v>
      </c>
      <c r="I835" s="35">
        <v>695</v>
      </c>
      <c r="J835" s="35">
        <v>50</v>
      </c>
      <c r="K835" s="36"/>
      <c r="L835" s="36"/>
      <c r="M835" s="36"/>
      <c r="N835" s="36"/>
      <c r="O835" s="36"/>
      <c r="P835" s="36"/>
      <c r="Q835" s="36"/>
      <c r="R835" s="36"/>
      <c r="S835" s="36"/>
      <c r="T835" s="36"/>
    </row>
    <row r="836" spans="1:20" ht="15.75">
      <c r="A836" s="13">
        <v>66961</v>
      </c>
      <c r="B836" s="44">
        <f t="shared" si="3"/>
        <v>30</v>
      </c>
      <c r="C836" s="35">
        <v>141.29300000000001</v>
      </c>
      <c r="D836" s="35">
        <v>267.99299999999999</v>
      </c>
      <c r="E836" s="41">
        <v>829.71400000000006</v>
      </c>
      <c r="F836" s="35">
        <v>1239</v>
      </c>
      <c r="G836" s="35">
        <v>100</v>
      </c>
      <c r="H836" s="43">
        <v>600</v>
      </c>
      <c r="I836" s="35">
        <v>695</v>
      </c>
      <c r="J836" s="35">
        <v>50</v>
      </c>
      <c r="K836" s="36"/>
      <c r="L836" s="36"/>
      <c r="M836" s="36"/>
      <c r="N836" s="36"/>
      <c r="O836" s="36"/>
      <c r="P836" s="36"/>
      <c r="Q836" s="36"/>
      <c r="R836" s="36"/>
      <c r="S836" s="36"/>
      <c r="T836" s="36"/>
    </row>
    <row r="837" spans="1:20" ht="15.75">
      <c r="A837" s="13">
        <v>66992</v>
      </c>
      <c r="B837" s="44">
        <f t="shared" ref="B837:B900" si="4">EOMONTH(A837,0)-EOMONTH(A837,-1)</f>
        <v>31</v>
      </c>
      <c r="C837" s="35">
        <v>194.20500000000001</v>
      </c>
      <c r="D837" s="35">
        <v>267.46600000000001</v>
      </c>
      <c r="E837" s="41">
        <v>812.32899999999995</v>
      </c>
      <c r="F837" s="35">
        <v>1274</v>
      </c>
      <c r="G837" s="35">
        <v>75</v>
      </c>
      <c r="H837" s="43">
        <v>600</v>
      </c>
      <c r="I837" s="35">
        <v>695</v>
      </c>
      <c r="J837" s="35">
        <v>50</v>
      </c>
      <c r="K837" s="36"/>
      <c r="L837" s="36"/>
      <c r="M837" s="36"/>
      <c r="N837" s="36"/>
      <c r="O837" s="36"/>
      <c r="P837" s="36"/>
      <c r="Q837" s="36"/>
      <c r="R837" s="36"/>
      <c r="S837" s="36"/>
      <c r="T837" s="36"/>
    </row>
    <row r="838" spans="1:20" ht="15.75">
      <c r="A838" s="13">
        <v>67022</v>
      </c>
      <c r="B838" s="44">
        <f t="shared" si="4"/>
        <v>30</v>
      </c>
      <c r="C838" s="35">
        <v>194.20500000000001</v>
      </c>
      <c r="D838" s="35">
        <v>267.46600000000001</v>
      </c>
      <c r="E838" s="41">
        <v>812.32899999999995</v>
      </c>
      <c r="F838" s="35">
        <v>1274</v>
      </c>
      <c r="G838" s="35">
        <v>50</v>
      </c>
      <c r="H838" s="43">
        <v>600</v>
      </c>
      <c r="I838" s="35">
        <v>695</v>
      </c>
      <c r="J838" s="35">
        <v>50</v>
      </c>
      <c r="K838" s="36"/>
      <c r="L838" s="36"/>
      <c r="M838" s="36"/>
      <c r="N838" s="36"/>
      <c r="O838" s="36"/>
      <c r="P838" s="36"/>
      <c r="Q838" s="36"/>
      <c r="R838" s="36"/>
      <c r="S838" s="36"/>
      <c r="T838" s="36"/>
    </row>
    <row r="839" spans="1:20" ht="15.75">
      <c r="A839" s="13">
        <v>67053</v>
      </c>
      <c r="B839" s="44">
        <f t="shared" si="4"/>
        <v>31</v>
      </c>
      <c r="C839" s="35">
        <v>194.20500000000001</v>
      </c>
      <c r="D839" s="35">
        <v>267.46600000000001</v>
      </c>
      <c r="E839" s="41">
        <v>812.32899999999995</v>
      </c>
      <c r="F839" s="35">
        <v>1274</v>
      </c>
      <c r="G839" s="35">
        <v>50</v>
      </c>
      <c r="H839" s="43">
        <v>600</v>
      </c>
      <c r="I839" s="35">
        <v>695</v>
      </c>
      <c r="J839" s="35">
        <v>0</v>
      </c>
      <c r="K839" s="36"/>
      <c r="L839" s="36"/>
      <c r="M839" s="36"/>
      <c r="N839" s="36"/>
      <c r="O839" s="36"/>
      <c r="P839" s="36"/>
      <c r="Q839" s="36"/>
      <c r="R839" s="36"/>
      <c r="S839" s="36"/>
      <c r="T839" s="36"/>
    </row>
    <row r="840" spans="1:20" ht="15.75">
      <c r="A840" s="13">
        <v>67084</v>
      </c>
      <c r="B840" s="44">
        <f t="shared" si="4"/>
        <v>31</v>
      </c>
      <c r="C840" s="35">
        <v>194.20500000000001</v>
      </c>
      <c r="D840" s="35">
        <v>267.46600000000001</v>
      </c>
      <c r="E840" s="41">
        <v>812.32899999999995</v>
      </c>
      <c r="F840" s="35">
        <v>1274</v>
      </c>
      <c r="G840" s="35">
        <v>50</v>
      </c>
      <c r="H840" s="43">
        <v>600</v>
      </c>
      <c r="I840" s="35">
        <v>695</v>
      </c>
      <c r="J840" s="35">
        <v>0</v>
      </c>
      <c r="K840" s="36"/>
      <c r="L840" s="36"/>
      <c r="M840" s="36"/>
      <c r="N840" s="36"/>
      <c r="O840" s="36"/>
      <c r="P840" s="36"/>
      <c r="Q840" s="36"/>
      <c r="R840" s="36"/>
      <c r="S840" s="36"/>
      <c r="T840" s="36"/>
    </row>
    <row r="841" spans="1:20" ht="15.75">
      <c r="A841" s="13">
        <v>67114</v>
      </c>
      <c r="B841" s="44">
        <f t="shared" si="4"/>
        <v>30</v>
      </c>
      <c r="C841" s="35">
        <v>194.20500000000001</v>
      </c>
      <c r="D841" s="35">
        <v>267.46600000000001</v>
      </c>
      <c r="E841" s="41">
        <v>812.32899999999995</v>
      </c>
      <c r="F841" s="35">
        <v>1274</v>
      </c>
      <c r="G841" s="35">
        <v>50</v>
      </c>
      <c r="H841" s="43">
        <v>600</v>
      </c>
      <c r="I841" s="35">
        <v>695</v>
      </c>
      <c r="J841" s="35">
        <v>0</v>
      </c>
      <c r="K841" s="36"/>
      <c r="L841" s="36"/>
      <c r="M841" s="36"/>
      <c r="N841" s="36"/>
      <c r="O841" s="36"/>
      <c r="P841" s="36"/>
      <c r="Q841" s="36"/>
      <c r="R841" s="36"/>
      <c r="S841" s="36"/>
      <c r="T841" s="36"/>
    </row>
    <row r="842" spans="1:20" ht="15.75">
      <c r="A842" s="13">
        <v>67145</v>
      </c>
      <c r="B842" s="44">
        <f t="shared" si="4"/>
        <v>31</v>
      </c>
      <c r="C842" s="35">
        <v>131.881</v>
      </c>
      <c r="D842" s="35">
        <v>277.16699999999997</v>
      </c>
      <c r="E842" s="41">
        <v>829.952</v>
      </c>
      <c r="F842" s="35">
        <v>1239</v>
      </c>
      <c r="G842" s="35">
        <v>75</v>
      </c>
      <c r="H842" s="43">
        <v>600</v>
      </c>
      <c r="I842" s="35">
        <v>695</v>
      </c>
      <c r="J842" s="35">
        <v>0</v>
      </c>
      <c r="K842" s="36"/>
      <c r="L842" s="36"/>
      <c r="M842" s="36"/>
      <c r="N842" s="36"/>
      <c r="O842" s="36"/>
      <c r="P842" s="36"/>
      <c r="Q842" s="36"/>
      <c r="R842" s="36"/>
      <c r="S842" s="36"/>
      <c r="T842" s="36"/>
    </row>
    <row r="843" spans="1:20" ht="15.75">
      <c r="A843" s="13">
        <v>67175</v>
      </c>
      <c r="B843" s="44">
        <f t="shared" si="4"/>
        <v>30</v>
      </c>
      <c r="C843" s="35">
        <v>122.58</v>
      </c>
      <c r="D843" s="35">
        <v>297.94099999999997</v>
      </c>
      <c r="E843" s="41">
        <v>729.47900000000004</v>
      </c>
      <c r="F843" s="35">
        <v>1150</v>
      </c>
      <c r="G843" s="35">
        <v>100</v>
      </c>
      <c r="H843" s="43">
        <v>600</v>
      </c>
      <c r="I843" s="35">
        <v>695</v>
      </c>
      <c r="J843" s="35">
        <v>50</v>
      </c>
      <c r="K843" s="36"/>
      <c r="L843" s="36"/>
      <c r="M843" s="36"/>
      <c r="N843" s="36"/>
      <c r="O843" s="36"/>
      <c r="P843" s="36"/>
      <c r="Q843" s="36"/>
      <c r="R843" s="36"/>
      <c r="S843" s="36"/>
      <c r="T843" s="36"/>
    </row>
    <row r="844" spans="1:20" ht="15.75">
      <c r="A844" s="13">
        <v>67206</v>
      </c>
      <c r="B844" s="44">
        <f t="shared" si="4"/>
        <v>31</v>
      </c>
      <c r="C844" s="35">
        <v>122.58</v>
      </c>
      <c r="D844" s="35">
        <v>297.94099999999997</v>
      </c>
      <c r="E844" s="41">
        <v>729.47900000000004</v>
      </c>
      <c r="F844" s="35">
        <v>1150</v>
      </c>
      <c r="G844" s="35">
        <v>100</v>
      </c>
      <c r="H844" s="43">
        <v>600</v>
      </c>
      <c r="I844" s="35">
        <v>695</v>
      </c>
      <c r="J844" s="35">
        <v>50</v>
      </c>
      <c r="K844" s="36"/>
      <c r="L844" s="36"/>
      <c r="M844" s="36"/>
      <c r="N844" s="36"/>
      <c r="O844" s="36"/>
      <c r="P844" s="36"/>
      <c r="Q844" s="36"/>
      <c r="R844" s="36"/>
      <c r="S844" s="36"/>
      <c r="T844" s="36"/>
    </row>
    <row r="845" spans="1:20" ht="15.75">
      <c r="A845" s="13">
        <v>67237</v>
      </c>
      <c r="B845" s="44">
        <f t="shared" si="4"/>
        <v>31</v>
      </c>
      <c r="C845" s="35">
        <v>122.58</v>
      </c>
      <c r="D845" s="35">
        <v>297.94099999999997</v>
      </c>
      <c r="E845" s="41">
        <v>729.47900000000004</v>
      </c>
      <c r="F845" s="35">
        <v>1150</v>
      </c>
      <c r="G845" s="35">
        <v>100</v>
      </c>
      <c r="H845" s="43">
        <v>600</v>
      </c>
      <c r="I845" s="35">
        <v>695</v>
      </c>
      <c r="J845" s="35">
        <v>50</v>
      </c>
      <c r="K845" s="36"/>
      <c r="L845" s="36"/>
      <c r="M845" s="36"/>
      <c r="N845" s="36"/>
      <c r="O845" s="36"/>
      <c r="P845" s="36"/>
      <c r="Q845" s="36"/>
      <c r="R845" s="36"/>
      <c r="S845" s="36"/>
      <c r="T845" s="36"/>
    </row>
    <row r="846" spans="1:20" ht="15.75">
      <c r="A846" s="13">
        <v>67266</v>
      </c>
      <c r="B846" s="44">
        <f t="shared" si="4"/>
        <v>29</v>
      </c>
      <c r="C846" s="35">
        <v>122.58</v>
      </c>
      <c r="D846" s="35">
        <v>297.94099999999997</v>
      </c>
      <c r="E846" s="41">
        <v>729.47900000000004</v>
      </c>
      <c r="F846" s="35">
        <v>1150</v>
      </c>
      <c r="G846" s="35">
        <v>100</v>
      </c>
      <c r="H846" s="43">
        <v>600</v>
      </c>
      <c r="I846" s="35">
        <v>695</v>
      </c>
      <c r="J846" s="35">
        <v>50</v>
      </c>
      <c r="K846" s="36"/>
      <c r="L846" s="36"/>
      <c r="M846" s="36"/>
      <c r="N846" s="36"/>
      <c r="O846" s="36"/>
      <c r="P846" s="36"/>
      <c r="Q846" s="36"/>
      <c r="R846" s="36"/>
      <c r="S846" s="36"/>
      <c r="T846" s="36"/>
    </row>
    <row r="847" spans="1:20" ht="15.75">
      <c r="A847" s="13">
        <v>67297</v>
      </c>
      <c r="B847" s="44">
        <f t="shared" si="4"/>
        <v>31</v>
      </c>
      <c r="C847" s="35">
        <v>122.58</v>
      </c>
      <c r="D847" s="35">
        <v>297.94099999999997</v>
      </c>
      <c r="E847" s="41">
        <v>729.47900000000004</v>
      </c>
      <c r="F847" s="35">
        <v>1150</v>
      </c>
      <c r="G847" s="35">
        <v>100</v>
      </c>
      <c r="H847" s="43">
        <v>600</v>
      </c>
      <c r="I847" s="35">
        <v>695</v>
      </c>
      <c r="J847" s="35">
        <v>50</v>
      </c>
      <c r="K847" s="36"/>
      <c r="L847" s="36"/>
      <c r="M847" s="36"/>
      <c r="N847" s="36"/>
      <c r="O847" s="36"/>
      <c r="P847" s="36"/>
      <c r="Q847" s="36"/>
      <c r="R847" s="36"/>
      <c r="S847" s="36"/>
      <c r="T847" s="36"/>
    </row>
    <row r="848" spans="1:20" ht="15.75">
      <c r="A848" s="13">
        <v>67327</v>
      </c>
      <c r="B848" s="44">
        <f t="shared" si="4"/>
        <v>30</v>
      </c>
      <c r="C848" s="35">
        <v>141.29300000000001</v>
      </c>
      <c r="D848" s="35">
        <v>267.99299999999999</v>
      </c>
      <c r="E848" s="41">
        <v>829.71400000000006</v>
      </c>
      <c r="F848" s="35">
        <v>1239</v>
      </c>
      <c r="G848" s="35">
        <v>100</v>
      </c>
      <c r="H848" s="43">
        <v>600</v>
      </c>
      <c r="I848" s="35">
        <v>695</v>
      </c>
      <c r="J848" s="35">
        <v>50</v>
      </c>
      <c r="K848" s="36"/>
      <c r="L848" s="36"/>
      <c r="M848" s="36"/>
      <c r="N848" s="36"/>
      <c r="O848" s="36"/>
      <c r="P848" s="36"/>
      <c r="Q848" s="36"/>
      <c r="R848" s="36"/>
      <c r="S848" s="36"/>
      <c r="T848" s="36"/>
    </row>
    <row r="849" spans="1:20" ht="15.75">
      <c r="A849" s="13">
        <v>67358</v>
      </c>
      <c r="B849" s="44">
        <f t="shared" si="4"/>
        <v>31</v>
      </c>
      <c r="C849" s="35">
        <v>194.20500000000001</v>
      </c>
      <c r="D849" s="35">
        <v>267.46600000000001</v>
      </c>
      <c r="E849" s="41">
        <v>812.32899999999995</v>
      </c>
      <c r="F849" s="35">
        <v>1274</v>
      </c>
      <c r="G849" s="35">
        <v>75</v>
      </c>
      <c r="H849" s="43">
        <v>600</v>
      </c>
      <c r="I849" s="35">
        <v>695</v>
      </c>
      <c r="J849" s="35">
        <v>50</v>
      </c>
      <c r="K849" s="36"/>
      <c r="L849" s="36"/>
      <c r="M849" s="36"/>
      <c r="N849" s="36"/>
      <c r="O849" s="36"/>
      <c r="P849" s="36"/>
      <c r="Q849" s="36"/>
      <c r="R849" s="36"/>
      <c r="S849" s="36"/>
      <c r="T849" s="36"/>
    </row>
    <row r="850" spans="1:20" ht="15.75">
      <c r="A850" s="13">
        <v>67388</v>
      </c>
      <c r="B850" s="44">
        <f t="shared" si="4"/>
        <v>30</v>
      </c>
      <c r="C850" s="35">
        <v>194.20500000000001</v>
      </c>
      <c r="D850" s="35">
        <v>267.46600000000001</v>
      </c>
      <c r="E850" s="41">
        <v>812.32899999999995</v>
      </c>
      <c r="F850" s="35">
        <v>1274</v>
      </c>
      <c r="G850" s="35">
        <v>50</v>
      </c>
      <c r="H850" s="43">
        <v>600</v>
      </c>
      <c r="I850" s="35">
        <v>695</v>
      </c>
      <c r="J850" s="35">
        <v>50</v>
      </c>
      <c r="K850" s="36"/>
      <c r="L850" s="36"/>
      <c r="M850" s="36"/>
      <c r="N850" s="36"/>
      <c r="O850" s="36"/>
      <c r="P850" s="36"/>
      <c r="Q850" s="36"/>
      <c r="R850" s="36"/>
      <c r="S850" s="36"/>
      <c r="T850" s="36"/>
    </row>
    <row r="851" spans="1:20" ht="15.75">
      <c r="A851" s="13">
        <v>67419</v>
      </c>
      <c r="B851" s="44">
        <f t="shared" si="4"/>
        <v>31</v>
      </c>
      <c r="C851" s="35">
        <v>194.20500000000001</v>
      </c>
      <c r="D851" s="35">
        <v>267.46600000000001</v>
      </c>
      <c r="E851" s="41">
        <v>812.32899999999995</v>
      </c>
      <c r="F851" s="35">
        <v>1274</v>
      </c>
      <c r="G851" s="35">
        <v>50</v>
      </c>
      <c r="H851" s="43">
        <v>600</v>
      </c>
      <c r="I851" s="35">
        <v>695</v>
      </c>
      <c r="J851" s="35">
        <v>0</v>
      </c>
      <c r="K851" s="36"/>
      <c r="L851" s="36"/>
      <c r="M851" s="36"/>
      <c r="N851" s="36"/>
      <c r="O851" s="36"/>
      <c r="P851" s="36"/>
      <c r="Q851" s="36"/>
      <c r="R851" s="36"/>
      <c r="S851" s="36"/>
      <c r="T851" s="36"/>
    </row>
    <row r="852" spans="1:20" ht="15.75">
      <c r="A852" s="13">
        <v>67450</v>
      </c>
      <c r="B852" s="44">
        <f t="shared" si="4"/>
        <v>31</v>
      </c>
      <c r="C852" s="35">
        <v>194.20500000000001</v>
      </c>
      <c r="D852" s="35">
        <v>267.46600000000001</v>
      </c>
      <c r="E852" s="41">
        <v>812.32899999999995</v>
      </c>
      <c r="F852" s="35">
        <v>1274</v>
      </c>
      <c r="G852" s="35">
        <v>50</v>
      </c>
      <c r="H852" s="43">
        <v>600</v>
      </c>
      <c r="I852" s="35">
        <v>695</v>
      </c>
      <c r="J852" s="35">
        <v>0</v>
      </c>
      <c r="K852" s="36"/>
      <c r="L852" s="36"/>
      <c r="M852" s="36"/>
      <c r="N852" s="36"/>
      <c r="O852" s="36"/>
      <c r="P852" s="36"/>
      <c r="Q852" s="36"/>
      <c r="R852" s="36"/>
      <c r="S852" s="36"/>
      <c r="T852" s="36"/>
    </row>
    <row r="853" spans="1:20" ht="15.75">
      <c r="A853" s="13">
        <v>67480</v>
      </c>
      <c r="B853" s="44">
        <f t="shared" si="4"/>
        <v>30</v>
      </c>
      <c r="C853" s="35">
        <v>194.20500000000001</v>
      </c>
      <c r="D853" s="35">
        <v>267.46600000000001</v>
      </c>
      <c r="E853" s="41">
        <v>812.32899999999995</v>
      </c>
      <c r="F853" s="35">
        <v>1274</v>
      </c>
      <c r="G853" s="35">
        <v>50</v>
      </c>
      <c r="H853" s="43">
        <v>600</v>
      </c>
      <c r="I853" s="35">
        <v>695</v>
      </c>
      <c r="J853" s="35">
        <v>0</v>
      </c>
      <c r="K853" s="36"/>
      <c r="L853" s="36"/>
      <c r="M853" s="36"/>
      <c r="N853" s="36"/>
      <c r="O853" s="36"/>
      <c r="P853" s="36"/>
      <c r="Q853" s="36"/>
      <c r="R853" s="36"/>
      <c r="S853" s="36"/>
      <c r="T853" s="36"/>
    </row>
    <row r="854" spans="1:20" ht="15.75">
      <c r="A854" s="13">
        <v>67511</v>
      </c>
      <c r="B854" s="44">
        <f t="shared" si="4"/>
        <v>31</v>
      </c>
      <c r="C854" s="35">
        <v>131.881</v>
      </c>
      <c r="D854" s="35">
        <v>277.16699999999997</v>
      </c>
      <c r="E854" s="41">
        <v>829.952</v>
      </c>
      <c r="F854" s="35">
        <v>1239</v>
      </c>
      <c r="G854" s="35">
        <v>75</v>
      </c>
      <c r="H854" s="43">
        <v>600</v>
      </c>
      <c r="I854" s="35">
        <v>695</v>
      </c>
      <c r="J854" s="35">
        <v>0</v>
      </c>
      <c r="K854" s="36"/>
      <c r="L854" s="36"/>
      <c r="M854" s="36"/>
      <c r="N854" s="36"/>
      <c r="O854" s="36"/>
      <c r="P854" s="36"/>
      <c r="Q854" s="36"/>
      <c r="R854" s="36"/>
      <c r="S854" s="36"/>
      <c r="T854" s="36"/>
    </row>
    <row r="855" spans="1:20" ht="15.75">
      <c r="A855" s="13">
        <v>67541</v>
      </c>
      <c r="B855" s="44">
        <f t="shared" si="4"/>
        <v>30</v>
      </c>
      <c r="C855" s="35">
        <v>122.58</v>
      </c>
      <c r="D855" s="35">
        <v>297.94099999999997</v>
      </c>
      <c r="E855" s="41">
        <v>729.47900000000004</v>
      </c>
      <c r="F855" s="35">
        <v>1150</v>
      </c>
      <c r="G855" s="35">
        <v>100</v>
      </c>
      <c r="H855" s="43">
        <v>600</v>
      </c>
      <c r="I855" s="35">
        <v>695</v>
      </c>
      <c r="J855" s="35">
        <v>50</v>
      </c>
      <c r="K855" s="36"/>
      <c r="L855" s="36"/>
      <c r="M855" s="36"/>
      <c r="N855" s="36"/>
      <c r="O855" s="36"/>
      <c r="P855" s="36"/>
      <c r="Q855" s="36"/>
      <c r="R855" s="36"/>
      <c r="S855" s="36"/>
      <c r="T855" s="36"/>
    </row>
    <row r="856" spans="1:20" ht="15.75">
      <c r="A856" s="13">
        <v>67572</v>
      </c>
      <c r="B856" s="44">
        <f t="shared" si="4"/>
        <v>31</v>
      </c>
      <c r="C856" s="35">
        <v>122.58</v>
      </c>
      <c r="D856" s="35">
        <v>297.94099999999997</v>
      </c>
      <c r="E856" s="41">
        <v>729.47900000000004</v>
      </c>
      <c r="F856" s="35">
        <v>1150</v>
      </c>
      <c r="G856" s="35">
        <v>100</v>
      </c>
      <c r="H856" s="43">
        <v>600</v>
      </c>
      <c r="I856" s="35">
        <v>695</v>
      </c>
      <c r="J856" s="35">
        <v>50</v>
      </c>
      <c r="K856" s="36"/>
      <c r="L856" s="36"/>
      <c r="M856" s="36"/>
      <c r="N856" s="36"/>
      <c r="O856" s="36"/>
      <c r="P856" s="36"/>
      <c r="Q856" s="36"/>
      <c r="R856" s="36"/>
      <c r="S856" s="36"/>
      <c r="T856" s="36"/>
    </row>
    <row r="857" spans="1:20" ht="15.75">
      <c r="A857" s="13">
        <v>67603</v>
      </c>
      <c r="B857" s="44">
        <f t="shared" si="4"/>
        <v>31</v>
      </c>
      <c r="C857" s="35">
        <v>122.58</v>
      </c>
      <c r="D857" s="35">
        <v>297.94099999999997</v>
      </c>
      <c r="E857" s="41">
        <v>729.47900000000004</v>
      </c>
      <c r="F857" s="35">
        <v>1150</v>
      </c>
      <c r="G857" s="35">
        <v>100</v>
      </c>
      <c r="H857" s="43">
        <v>600</v>
      </c>
      <c r="I857" s="35">
        <v>695</v>
      </c>
      <c r="J857" s="35">
        <v>50</v>
      </c>
      <c r="K857" s="36"/>
      <c r="L857" s="36"/>
      <c r="M857" s="36"/>
      <c r="N857" s="36"/>
      <c r="O857" s="36"/>
      <c r="P857" s="36"/>
      <c r="Q857" s="36"/>
      <c r="R857" s="36"/>
      <c r="S857" s="36"/>
      <c r="T857" s="36"/>
    </row>
    <row r="858" spans="1:20" ht="15.75">
      <c r="A858" s="13">
        <v>67631</v>
      </c>
      <c r="B858" s="44">
        <f t="shared" si="4"/>
        <v>28</v>
      </c>
      <c r="C858" s="35">
        <v>122.58</v>
      </c>
      <c r="D858" s="35">
        <v>297.94099999999997</v>
      </c>
      <c r="E858" s="41">
        <v>729.47900000000004</v>
      </c>
      <c r="F858" s="35">
        <v>1150</v>
      </c>
      <c r="G858" s="35">
        <v>100</v>
      </c>
      <c r="H858" s="43">
        <v>600</v>
      </c>
      <c r="I858" s="35">
        <v>695</v>
      </c>
      <c r="J858" s="35">
        <v>50</v>
      </c>
      <c r="K858" s="36"/>
      <c r="L858" s="36"/>
      <c r="M858" s="36"/>
      <c r="N858" s="36"/>
      <c r="O858" s="36"/>
      <c r="P858" s="36"/>
      <c r="Q858" s="36"/>
      <c r="R858" s="36"/>
      <c r="S858" s="36"/>
      <c r="T858" s="36"/>
    </row>
    <row r="859" spans="1:20" ht="15.75">
      <c r="A859" s="13">
        <v>67662</v>
      </c>
      <c r="B859" s="44">
        <f t="shared" si="4"/>
        <v>31</v>
      </c>
      <c r="C859" s="35">
        <v>122.58</v>
      </c>
      <c r="D859" s="35">
        <v>297.94099999999997</v>
      </c>
      <c r="E859" s="41">
        <v>729.47900000000004</v>
      </c>
      <c r="F859" s="35">
        <v>1150</v>
      </c>
      <c r="G859" s="35">
        <v>100</v>
      </c>
      <c r="H859" s="43">
        <v>600</v>
      </c>
      <c r="I859" s="35">
        <v>695</v>
      </c>
      <c r="J859" s="35">
        <v>50</v>
      </c>
      <c r="K859" s="36"/>
      <c r="L859" s="36"/>
      <c r="M859" s="36"/>
      <c r="N859" s="36"/>
      <c r="O859" s="36"/>
      <c r="P859" s="36"/>
      <c r="Q859" s="36"/>
      <c r="R859" s="36"/>
      <c r="S859" s="36"/>
      <c r="T859" s="36"/>
    </row>
    <row r="860" spans="1:20" ht="15.75">
      <c r="A860" s="13">
        <v>67692</v>
      </c>
      <c r="B860" s="44">
        <f t="shared" si="4"/>
        <v>30</v>
      </c>
      <c r="C860" s="35">
        <v>141.29300000000001</v>
      </c>
      <c r="D860" s="35">
        <v>267.99299999999999</v>
      </c>
      <c r="E860" s="41">
        <v>829.71400000000006</v>
      </c>
      <c r="F860" s="35">
        <v>1239</v>
      </c>
      <c r="G860" s="35">
        <v>100</v>
      </c>
      <c r="H860" s="43">
        <v>600</v>
      </c>
      <c r="I860" s="35">
        <v>695</v>
      </c>
      <c r="J860" s="35">
        <v>50</v>
      </c>
      <c r="K860" s="36"/>
      <c r="L860" s="36"/>
      <c r="M860" s="36"/>
      <c r="N860" s="36"/>
      <c r="O860" s="36"/>
      <c r="P860" s="36"/>
      <c r="Q860" s="36"/>
      <c r="R860" s="36"/>
      <c r="S860" s="36"/>
      <c r="T860" s="36"/>
    </row>
    <row r="861" spans="1:20" ht="15.75">
      <c r="A861" s="13">
        <v>67723</v>
      </c>
      <c r="B861" s="44">
        <f t="shared" si="4"/>
        <v>31</v>
      </c>
      <c r="C861" s="35">
        <v>194.20500000000001</v>
      </c>
      <c r="D861" s="35">
        <v>267.46600000000001</v>
      </c>
      <c r="E861" s="41">
        <v>812.32899999999995</v>
      </c>
      <c r="F861" s="35">
        <v>1274</v>
      </c>
      <c r="G861" s="35">
        <v>75</v>
      </c>
      <c r="H861" s="43">
        <v>600</v>
      </c>
      <c r="I861" s="35">
        <v>695</v>
      </c>
      <c r="J861" s="35">
        <v>50</v>
      </c>
      <c r="K861" s="36"/>
      <c r="L861" s="36"/>
      <c r="M861" s="36"/>
      <c r="N861" s="36"/>
      <c r="O861" s="36"/>
      <c r="P861" s="36"/>
      <c r="Q861" s="36"/>
      <c r="R861" s="36"/>
      <c r="S861" s="36"/>
      <c r="T861" s="36"/>
    </row>
    <row r="862" spans="1:20" ht="15.75">
      <c r="A862" s="13">
        <v>67753</v>
      </c>
      <c r="B862" s="44">
        <f t="shared" si="4"/>
        <v>30</v>
      </c>
      <c r="C862" s="35">
        <v>194.20500000000001</v>
      </c>
      <c r="D862" s="35">
        <v>267.46600000000001</v>
      </c>
      <c r="E862" s="41">
        <v>812.32899999999995</v>
      </c>
      <c r="F862" s="35">
        <v>1274</v>
      </c>
      <c r="G862" s="35">
        <v>50</v>
      </c>
      <c r="H862" s="43">
        <v>600</v>
      </c>
      <c r="I862" s="35">
        <v>695</v>
      </c>
      <c r="J862" s="35">
        <v>50</v>
      </c>
      <c r="K862" s="36"/>
      <c r="L862" s="36"/>
      <c r="M862" s="36"/>
      <c r="N862" s="36"/>
      <c r="O862" s="36"/>
      <c r="P862" s="36"/>
      <c r="Q862" s="36"/>
      <c r="R862" s="36"/>
      <c r="S862" s="36"/>
      <c r="T862" s="36"/>
    </row>
    <row r="863" spans="1:20" ht="15.75">
      <c r="A863" s="13">
        <v>67784</v>
      </c>
      <c r="B863" s="44">
        <f t="shared" si="4"/>
        <v>31</v>
      </c>
      <c r="C863" s="35">
        <v>194.20500000000001</v>
      </c>
      <c r="D863" s="35">
        <v>267.46600000000001</v>
      </c>
      <c r="E863" s="41">
        <v>812.32899999999995</v>
      </c>
      <c r="F863" s="35">
        <v>1274</v>
      </c>
      <c r="G863" s="35">
        <v>50</v>
      </c>
      <c r="H863" s="43">
        <v>600</v>
      </c>
      <c r="I863" s="35">
        <v>695</v>
      </c>
      <c r="J863" s="35">
        <v>0</v>
      </c>
      <c r="K863" s="36"/>
      <c r="L863" s="36"/>
      <c r="M863" s="36"/>
      <c r="N863" s="36"/>
      <c r="O863" s="36"/>
      <c r="P863" s="36"/>
      <c r="Q863" s="36"/>
      <c r="R863" s="36"/>
      <c r="S863" s="36"/>
      <c r="T863" s="36"/>
    </row>
    <row r="864" spans="1:20" ht="15.75">
      <c r="A864" s="13">
        <v>67815</v>
      </c>
      <c r="B864" s="44">
        <f t="shared" si="4"/>
        <v>31</v>
      </c>
      <c r="C864" s="35">
        <v>194.20500000000001</v>
      </c>
      <c r="D864" s="35">
        <v>267.46600000000001</v>
      </c>
      <c r="E864" s="41">
        <v>812.32899999999995</v>
      </c>
      <c r="F864" s="35">
        <v>1274</v>
      </c>
      <c r="G864" s="35">
        <v>50</v>
      </c>
      <c r="H864" s="43">
        <v>600</v>
      </c>
      <c r="I864" s="35">
        <v>695</v>
      </c>
      <c r="J864" s="35">
        <v>0</v>
      </c>
      <c r="K864" s="36"/>
      <c r="L864" s="36"/>
      <c r="M864" s="36"/>
      <c r="N864" s="36"/>
      <c r="O864" s="36"/>
      <c r="P864" s="36"/>
      <c r="Q864" s="36"/>
      <c r="R864" s="36"/>
      <c r="S864" s="36"/>
      <c r="T864" s="36"/>
    </row>
    <row r="865" spans="1:20" ht="15.75">
      <c r="A865" s="13">
        <v>67845</v>
      </c>
      <c r="B865" s="44">
        <f t="shared" si="4"/>
        <v>30</v>
      </c>
      <c r="C865" s="35">
        <v>194.20500000000001</v>
      </c>
      <c r="D865" s="35">
        <v>267.46600000000001</v>
      </c>
      <c r="E865" s="41">
        <v>812.32899999999995</v>
      </c>
      <c r="F865" s="35">
        <v>1274</v>
      </c>
      <c r="G865" s="35">
        <v>50</v>
      </c>
      <c r="H865" s="43">
        <v>600</v>
      </c>
      <c r="I865" s="35">
        <v>695</v>
      </c>
      <c r="J865" s="35">
        <v>0</v>
      </c>
      <c r="K865" s="36"/>
      <c r="L865" s="36"/>
      <c r="M865" s="36"/>
      <c r="N865" s="36"/>
      <c r="O865" s="36"/>
      <c r="P865" s="36"/>
      <c r="Q865" s="36"/>
      <c r="R865" s="36"/>
      <c r="S865" s="36"/>
      <c r="T865" s="36"/>
    </row>
    <row r="866" spans="1:20" ht="15.75">
      <c r="A866" s="13">
        <v>67876</v>
      </c>
      <c r="B866" s="44">
        <f t="shared" si="4"/>
        <v>31</v>
      </c>
      <c r="C866" s="35">
        <v>131.881</v>
      </c>
      <c r="D866" s="35">
        <v>277.16699999999997</v>
      </c>
      <c r="E866" s="41">
        <v>829.952</v>
      </c>
      <c r="F866" s="35">
        <v>1239</v>
      </c>
      <c r="G866" s="35">
        <v>75</v>
      </c>
      <c r="H866" s="43">
        <v>600</v>
      </c>
      <c r="I866" s="35">
        <v>695</v>
      </c>
      <c r="J866" s="35">
        <v>0</v>
      </c>
      <c r="K866" s="36"/>
      <c r="L866" s="36"/>
      <c r="M866" s="36"/>
      <c r="N866" s="36"/>
      <c r="O866" s="36"/>
      <c r="P866" s="36"/>
      <c r="Q866" s="36"/>
      <c r="R866" s="36"/>
      <c r="S866" s="36"/>
      <c r="T866" s="36"/>
    </row>
    <row r="867" spans="1:20" ht="15.75">
      <c r="A867" s="13">
        <v>67906</v>
      </c>
      <c r="B867" s="44">
        <f t="shared" si="4"/>
        <v>30</v>
      </c>
      <c r="C867" s="35">
        <v>122.58</v>
      </c>
      <c r="D867" s="35">
        <v>297.94099999999997</v>
      </c>
      <c r="E867" s="41">
        <v>729.47900000000004</v>
      </c>
      <c r="F867" s="35">
        <v>1150</v>
      </c>
      <c r="G867" s="35">
        <v>100</v>
      </c>
      <c r="H867" s="43">
        <v>600</v>
      </c>
      <c r="I867" s="35">
        <v>695</v>
      </c>
      <c r="J867" s="35">
        <v>50</v>
      </c>
      <c r="K867" s="36"/>
      <c r="L867" s="36"/>
      <c r="M867" s="36"/>
      <c r="N867" s="36"/>
      <c r="O867" s="36"/>
      <c r="P867" s="36"/>
      <c r="Q867" s="36"/>
      <c r="R867" s="36"/>
      <c r="S867" s="36"/>
      <c r="T867" s="36"/>
    </row>
    <row r="868" spans="1:20" ht="15.75">
      <c r="A868" s="13">
        <v>67937</v>
      </c>
      <c r="B868" s="44">
        <f t="shared" si="4"/>
        <v>31</v>
      </c>
      <c r="C868" s="35">
        <v>122.58</v>
      </c>
      <c r="D868" s="35">
        <v>297.94099999999997</v>
      </c>
      <c r="E868" s="41">
        <v>729.47900000000004</v>
      </c>
      <c r="F868" s="35">
        <v>1150</v>
      </c>
      <c r="G868" s="35">
        <v>100</v>
      </c>
      <c r="H868" s="43">
        <v>600</v>
      </c>
      <c r="I868" s="35">
        <v>695</v>
      </c>
      <c r="J868" s="35">
        <v>50</v>
      </c>
      <c r="K868" s="36"/>
      <c r="L868" s="36"/>
      <c r="M868" s="36"/>
      <c r="N868" s="36"/>
      <c r="O868" s="36"/>
      <c r="P868" s="36"/>
      <c r="Q868" s="36"/>
      <c r="R868" s="36"/>
      <c r="S868" s="36"/>
      <c r="T868" s="36"/>
    </row>
    <row r="869" spans="1:20" ht="15.75">
      <c r="A869" s="13">
        <v>67968</v>
      </c>
      <c r="B869" s="44">
        <f t="shared" si="4"/>
        <v>31</v>
      </c>
      <c r="C869" s="35">
        <v>122.58</v>
      </c>
      <c r="D869" s="35">
        <v>297.94099999999997</v>
      </c>
      <c r="E869" s="41">
        <v>729.47900000000004</v>
      </c>
      <c r="F869" s="35">
        <v>1150</v>
      </c>
      <c r="G869" s="35">
        <v>100</v>
      </c>
      <c r="H869" s="43">
        <v>600</v>
      </c>
      <c r="I869" s="35">
        <v>695</v>
      </c>
      <c r="J869" s="35">
        <v>50</v>
      </c>
      <c r="K869" s="36"/>
      <c r="L869" s="36"/>
      <c r="M869" s="36"/>
      <c r="N869" s="36"/>
      <c r="O869" s="36"/>
      <c r="P869" s="36"/>
      <c r="Q869" s="36"/>
      <c r="R869" s="36"/>
      <c r="S869" s="36"/>
      <c r="T869" s="36"/>
    </row>
    <row r="870" spans="1:20" ht="15.75">
      <c r="A870" s="13">
        <v>67996</v>
      </c>
      <c r="B870" s="44">
        <f t="shared" si="4"/>
        <v>28</v>
      </c>
      <c r="C870" s="35">
        <v>122.58</v>
      </c>
      <c r="D870" s="35">
        <v>297.94099999999997</v>
      </c>
      <c r="E870" s="41">
        <v>729.47900000000004</v>
      </c>
      <c r="F870" s="35">
        <v>1150</v>
      </c>
      <c r="G870" s="35">
        <v>100</v>
      </c>
      <c r="H870" s="43">
        <v>600</v>
      </c>
      <c r="I870" s="35">
        <v>695</v>
      </c>
      <c r="J870" s="35">
        <v>50</v>
      </c>
      <c r="K870" s="36"/>
      <c r="L870" s="36"/>
      <c r="M870" s="36"/>
      <c r="N870" s="36"/>
      <c r="O870" s="36"/>
      <c r="P870" s="36"/>
      <c r="Q870" s="36"/>
      <c r="R870" s="36"/>
      <c r="S870" s="36"/>
      <c r="T870" s="36"/>
    </row>
    <row r="871" spans="1:20" ht="15.75">
      <c r="A871" s="13">
        <v>68027</v>
      </c>
      <c r="B871" s="44">
        <f t="shared" si="4"/>
        <v>31</v>
      </c>
      <c r="C871" s="35">
        <v>122.58</v>
      </c>
      <c r="D871" s="35">
        <v>297.94099999999997</v>
      </c>
      <c r="E871" s="41">
        <v>729.47900000000004</v>
      </c>
      <c r="F871" s="35">
        <v>1150</v>
      </c>
      <c r="G871" s="35">
        <v>100</v>
      </c>
      <c r="H871" s="43">
        <v>600</v>
      </c>
      <c r="I871" s="35">
        <v>695</v>
      </c>
      <c r="J871" s="35">
        <v>50</v>
      </c>
      <c r="K871" s="36"/>
      <c r="L871" s="36"/>
      <c r="M871" s="36"/>
      <c r="N871" s="36"/>
      <c r="O871" s="36"/>
      <c r="P871" s="36"/>
      <c r="Q871" s="36"/>
      <c r="R871" s="36"/>
      <c r="S871" s="36"/>
      <c r="T871" s="36"/>
    </row>
    <row r="872" spans="1:20" ht="15.75">
      <c r="A872" s="13">
        <v>68057</v>
      </c>
      <c r="B872" s="44">
        <f t="shared" si="4"/>
        <v>30</v>
      </c>
      <c r="C872" s="35">
        <v>141.29300000000001</v>
      </c>
      <c r="D872" s="35">
        <v>267.99299999999999</v>
      </c>
      <c r="E872" s="41">
        <v>829.71400000000006</v>
      </c>
      <c r="F872" s="35">
        <v>1239</v>
      </c>
      <c r="G872" s="35">
        <v>100</v>
      </c>
      <c r="H872" s="43">
        <v>600</v>
      </c>
      <c r="I872" s="35">
        <v>695</v>
      </c>
      <c r="J872" s="35">
        <v>50</v>
      </c>
      <c r="K872" s="36"/>
      <c r="L872" s="36"/>
      <c r="M872" s="36"/>
      <c r="N872" s="36"/>
      <c r="O872" s="36"/>
      <c r="P872" s="36"/>
      <c r="Q872" s="36"/>
      <c r="R872" s="36"/>
      <c r="S872" s="36"/>
      <c r="T872" s="36"/>
    </row>
    <row r="873" spans="1:20" ht="15.75">
      <c r="A873" s="13">
        <v>68088</v>
      </c>
      <c r="B873" s="44">
        <f t="shared" si="4"/>
        <v>31</v>
      </c>
      <c r="C873" s="35">
        <v>194.20500000000001</v>
      </c>
      <c r="D873" s="35">
        <v>267.46600000000001</v>
      </c>
      <c r="E873" s="41">
        <v>812.32899999999995</v>
      </c>
      <c r="F873" s="35">
        <v>1274</v>
      </c>
      <c r="G873" s="35">
        <v>75</v>
      </c>
      <c r="H873" s="43">
        <v>600</v>
      </c>
      <c r="I873" s="35">
        <v>695</v>
      </c>
      <c r="J873" s="35">
        <v>50</v>
      </c>
      <c r="K873" s="36"/>
      <c r="L873" s="36"/>
      <c r="M873" s="36"/>
      <c r="N873" s="36"/>
      <c r="O873" s="36"/>
      <c r="P873" s="36"/>
      <c r="Q873" s="36"/>
      <c r="R873" s="36"/>
      <c r="S873" s="36"/>
      <c r="T873" s="36"/>
    </row>
    <row r="874" spans="1:20" ht="15.75">
      <c r="A874" s="13">
        <v>68118</v>
      </c>
      <c r="B874" s="44">
        <f t="shared" si="4"/>
        <v>30</v>
      </c>
      <c r="C874" s="35">
        <v>194.20500000000001</v>
      </c>
      <c r="D874" s="35">
        <v>267.46600000000001</v>
      </c>
      <c r="E874" s="41">
        <v>812.32899999999995</v>
      </c>
      <c r="F874" s="35">
        <v>1274</v>
      </c>
      <c r="G874" s="35">
        <v>50</v>
      </c>
      <c r="H874" s="43">
        <v>600</v>
      </c>
      <c r="I874" s="35">
        <v>695</v>
      </c>
      <c r="J874" s="35">
        <v>50</v>
      </c>
      <c r="K874" s="36"/>
      <c r="L874" s="36"/>
      <c r="M874" s="36"/>
      <c r="N874" s="36"/>
      <c r="O874" s="36"/>
      <c r="P874" s="36"/>
      <c r="Q874" s="36"/>
      <c r="R874" s="36"/>
      <c r="S874" s="36"/>
      <c r="T874" s="36"/>
    </row>
    <row r="875" spans="1:20" ht="15.75">
      <c r="A875" s="13">
        <v>68149</v>
      </c>
      <c r="B875" s="44">
        <f t="shared" si="4"/>
        <v>31</v>
      </c>
      <c r="C875" s="35">
        <v>194.20500000000001</v>
      </c>
      <c r="D875" s="35">
        <v>267.46600000000001</v>
      </c>
      <c r="E875" s="41">
        <v>812.32899999999995</v>
      </c>
      <c r="F875" s="35">
        <v>1274</v>
      </c>
      <c r="G875" s="35">
        <v>50</v>
      </c>
      <c r="H875" s="43">
        <v>600</v>
      </c>
      <c r="I875" s="35">
        <v>695</v>
      </c>
      <c r="J875" s="35">
        <v>0</v>
      </c>
      <c r="K875" s="36"/>
      <c r="L875" s="36"/>
      <c r="M875" s="36"/>
      <c r="N875" s="36"/>
      <c r="O875" s="36"/>
      <c r="P875" s="36"/>
      <c r="Q875" s="36"/>
      <c r="R875" s="36"/>
      <c r="S875" s="36"/>
      <c r="T875" s="36"/>
    </row>
    <row r="876" spans="1:20" ht="15.75">
      <c r="A876" s="13">
        <v>68180</v>
      </c>
      <c r="B876" s="44">
        <f t="shared" si="4"/>
        <v>31</v>
      </c>
      <c r="C876" s="35">
        <v>194.20500000000001</v>
      </c>
      <c r="D876" s="35">
        <v>267.46600000000001</v>
      </c>
      <c r="E876" s="41">
        <v>812.32899999999995</v>
      </c>
      <c r="F876" s="35">
        <v>1274</v>
      </c>
      <c r="G876" s="35">
        <v>50</v>
      </c>
      <c r="H876" s="43">
        <v>600</v>
      </c>
      <c r="I876" s="35">
        <v>695</v>
      </c>
      <c r="J876" s="35">
        <v>0</v>
      </c>
      <c r="K876" s="36"/>
      <c r="L876" s="36"/>
      <c r="M876" s="36"/>
      <c r="N876" s="36"/>
      <c r="O876" s="36"/>
      <c r="P876" s="36"/>
      <c r="Q876" s="36"/>
      <c r="R876" s="36"/>
      <c r="S876" s="36"/>
      <c r="T876" s="36"/>
    </row>
    <row r="877" spans="1:20" ht="15.75">
      <c r="A877" s="13">
        <v>68210</v>
      </c>
      <c r="B877" s="44">
        <f t="shared" si="4"/>
        <v>30</v>
      </c>
      <c r="C877" s="35">
        <v>194.20500000000001</v>
      </c>
      <c r="D877" s="35">
        <v>267.46600000000001</v>
      </c>
      <c r="E877" s="41">
        <v>812.32899999999995</v>
      </c>
      <c r="F877" s="35">
        <v>1274</v>
      </c>
      <c r="G877" s="35">
        <v>50</v>
      </c>
      <c r="H877" s="43">
        <v>600</v>
      </c>
      <c r="I877" s="35">
        <v>695</v>
      </c>
      <c r="J877" s="35">
        <v>0</v>
      </c>
      <c r="K877" s="36"/>
      <c r="L877" s="36"/>
      <c r="M877" s="36"/>
      <c r="N877" s="36"/>
      <c r="O877" s="36"/>
      <c r="P877" s="36"/>
      <c r="Q877" s="36"/>
      <c r="R877" s="36"/>
      <c r="S877" s="36"/>
      <c r="T877" s="36"/>
    </row>
    <row r="878" spans="1:20" ht="15.75">
      <c r="A878" s="13">
        <v>68241</v>
      </c>
      <c r="B878" s="44">
        <f t="shared" si="4"/>
        <v>31</v>
      </c>
      <c r="C878" s="35">
        <v>131.881</v>
      </c>
      <c r="D878" s="35">
        <v>277.16699999999997</v>
      </c>
      <c r="E878" s="41">
        <v>829.952</v>
      </c>
      <c r="F878" s="35">
        <v>1239</v>
      </c>
      <c r="G878" s="35">
        <v>75</v>
      </c>
      <c r="H878" s="43">
        <v>600</v>
      </c>
      <c r="I878" s="35">
        <v>695</v>
      </c>
      <c r="J878" s="35">
        <v>0</v>
      </c>
      <c r="K878" s="36"/>
      <c r="L878" s="36"/>
      <c r="M878" s="36"/>
      <c r="N878" s="36"/>
      <c r="O878" s="36"/>
      <c r="P878" s="36"/>
      <c r="Q878" s="36"/>
      <c r="R878" s="36"/>
      <c r="S878" s="36"/>
      <c r="T878" s="36"/>
    </row>
    <row r="879" spans="1:20" ht="15.75">
      <c r="A879" s="13">
        <v>68271</v>
      </c>
      <c r="B879" s="44">
        <f t="shared" si="4"/>
        <v>30</v>
      </c>
      <c r="C879" s="35">
        <v>122.58</v>
      </c>
      <c r="D879" s="35">
        <v>297.94099999999997</v>
      </c>
      <c r="E879" s="41">
        <v>729.47900000000004</v>
      </c>
      <c r="F879" s="35">
        <v>1150</v>
      </c>
      <c r="G879" s="35">
        <v>100</v>
      </c>
      <c r="H879" s="43">
        <v>600</v>
      </c>
      <c r="I879" s="35">
        <v>695</v>
      </c>
      <c r="J879" s="35">
        <v>50</v>
      </c>
      <c r="K879" s="36"/>
      <c r="L879" s="36"/>
      <c r="M879" s="36"/>
      <c r="N879" s="36"/>
      <c r="O879" s="36"/>
      <c r="P879" s="36"/>
      <c r="Q879" s="36"/>
      <c r="R879" s="36"/>
      <c r="S879" s="36"/>
      <c r="T879" s="36"/>
    </row>
    <row r="880" spans="1:20" ht="15.75">
      <c r="A880" s="13">
        <v>68302</v>
      </c>
      <c r="B880" s="44">
        <f t="shared" si="4"/>
        <v>31</v>
      </c>
      <c r="C880" s="35">
        <v>122.58</v>
      </c>
      <c r="D880" s="35">
        <v>297.94099999999997</v>
      </c>
      <c r="E880" s="41">
        <v>729.47900000000004</v>
      </c>
      <c r="F880" s="35">
        <v>1150</v>
      </c>
      <c r="G880" s="35">
        <v>100</v>
      </c>
      <c r="H880" s="43">
        <v>600</v>
      </c>
      <c r="I880" s="35">
        <v>695</v>
      </c>
      <c r="J880" s="35">
        <v>50</v>
      </c>
      <c r="K880" s="36"/>
      <c r="L880" s="36"/>
      <c r="M880" s="36"/>
      <c r="N880" s="36"/>
      <c r="O880" s="36"/>
      <c r="P880" s="36"/>
      <c r="Q880" s="36"/>
      <c r="R880" s="36"/>
      <c r="S880" s="36"/>
      <c r="T880" s="36"/>
    </row>
    <row r="881" spans="1:20" ht="15.75">
      <c r="A881" s="13">
        <v>68333</v>
      </c>
      <c r="B881" s="44">
        <f t="shared" si="4"/>
        <v>31</v>
      </c>
      <c r="C881" s="35">
        <v>122.58</v>
      </c>
      <c r="D881" s="35">
        <v>297.94099999999997</v>
      </c>
      <c r="E881" s="41">
        <v>729.47900000000004</v>
      </c>
      <c r="F881" s="35">
        <v>1150</v>
      </c>
      <c r="G881" s="35">
        <v>100</v>
      </c>
      <c r="H881" s="43">
        <v>600</v>
      </c>
      <c r="I881" s="35">
        <v>695</v>
      </c>
      <c r="J881" s="35">
        <v>50</v>
      </c>
      <c r="K881" s="36"/>
      <c r="L881" s="36"/>
      <c r="M881" s="36"/>
      <c r="N881" s="36"/>
      <c r="O881" s="36"/>
      <c r="P881" s="36"/>
      <c r="Q881" s="36"/>
      <c r="R881" s="36"/>
      <c r="S881" s="36"/>
      <c r="T881" s="36"/>
    </row>
    <row r="882" spans="1:20" ht="15.75">
      <c r="A882" s="13">
        <v>68361</v>
      </c>
      <c r="B882" s="44">
        <f t="shared" si="4"/>
        <v>28</v>
      </c>
      <c r="C882" s="35">
        <v>122.58</v>
      </c>
      <c r="D882" s="35">
        <v>297.94099999999997</v>
      </c>
      <c r="E882" s="41">
        <v>729.47900000000004</v>
      </c>
      <c r="F882" s="35">
        <v>1150</v>
      </c>
      <c r="G882" s="35">
        <v>100</v>
      </c>
      <c r="H882" s="43">
        <v>600</v>
      </c>
      <c r="I882" s="35">
        <v>695</v>
      </c>
      <c r="J882" s="35">
        <v>50</v>
      </c>
      <c r="K882" s="36"/>
      <c r="L882" s="36"/>
      <c r="M882" s="36"/>
      <c r="N882" s="36"/>
      <c r="O882" s="36"/>
      <c r="P882" s="36"/>
      <c r="Q882" s="36"/>
      <c r="R882" s="36"/>
      <c r="S882" s="36"/>
      <c r="T882" s="36"/>
    </row>
    <row r="883" spans="1:20" ht="15.75">
      <c r="A883" s="13">
        <v>68392</v>
      </c>
      <c r="B883" s="44">
        <f t="shared" si="4"/>
        <v>31</v>
      </c>
      <c r="C883" s="35">
        <v>122.58</v>
      </c>
      <c r="D883" s="35">
        <v>297.94099999999997</v>
      </c>
      <c r="E883" s="41">
        <v>729.47900000000004</v>
      </c>
      <c r="F883" s="35">
        <v>1150</v>
      </c>
      <c r="G883" s="35">
        <v>100</v>
      </c>
      <c r="H883" s="43">
        <v>600</v>
      </c>
      <c r="I883" s="35">
        <v>695</v>
      </c>
      <c r="J883" s="35">
        <v>50</v>
      </c>
      <c r="K883" s="36"/>
      <c r="L883" s="36"/>
      <c r="M883" s="36"/>
      <c r="N883" s="36"/>
      <c r="O883" s="36"/>
      <c r="P883" s="36"/>
      <c r="Q883" s="36"/>
      <c r="R883" s="36"/>
      <c r="S883" s="36"/>
      <c r="T883" s="36"/>
    </row>
    <row r="884" spans="1:20" ht="15.75">
      <c r="A884" s="13">
        <v>68422</v>
      </c>
      <c r="B884" s="44">
        <f t="shared" si="4"/>
        <v>30</v>
      </c>
      <c r="C884" s="35">
        <v>141.29300000000001</v>
      </c>
      <c r="D884" s="35">
        <v>267.99299999999999</v>
      </c>
      <c r="E884" s="41">
        <v>829.71400000000006</v>
      </c>
      <c r="F884" s="35">
        <v>1239</v>
      </c>
      <c r="G884" s="35">
        <v>100</v>
      </c>
      <c r="H884" s="43">
        <v>600</v>
      </c>
      <c r="I884" s="35">
        <v>695</v>
      </c>
      <c r="J884" s="35">
        <v>50</v>
      </c>
      <c r="K884" s="36"/>
      <c r="L884" s="36"/>
      <c r="M884" s="36"/>
      <c r="N884" s="36"/>
      <c r="O884" s="36"/>
      <c r="P884" s="36"/>
      <c r="Q884" s="36"/>
      <c r="R884" s="36"/>
      <c r="S884" s="36"/>
      <c r="T884" s="36"/>
    </row>
    <row r="885" spans="1:20" ht="15.75">
      <c r="A885" s="13">
        <v>68453</v>
      </c>
      <c r="B885" s="44">
        <f t="shared" si="4"/>
        <v>31</v>
      </c>
      <c r="C885" s="35">
        <v>194.20500000000001</v>
      </c>
      <c r="D885" s="35">
        <v>267.46600000000001</v>
      </c>
      <c r="E885" s="41">
        <v>812.32899999999995</v>
      </c>
      <c r="F885" s="35">
        <v>1274</v>
      </c>
      <c r="G885" s="35">
        <v>75</v>
      </c>
      <c r="H885" s="43">
        <v>600</v>
      </c>
      <c r="I885" s="35">
        <v>695</v>
      </c>
      <c r="J885" s="35">
        <v>50</v>
      </c>
      <c r="K885" s="36"/>
      <c r="L885" s="36"/>
      <c r="M885" s="36"/>
      <c r="N885" s="36"/>
      <c r="O885" s="36"/>
      <c r="P885" s="36"/>
      <c r="Q885" s="36"/>
      <c r="R885" s="36"/>
      <c r="S885" s="36"/>
      <c r="T885" s="36"/>
    </row>
    <row r="886" spans="1:20" ht="15.75">
      <c r="A886" s="13">
        <v>68483</v>
      </c>
      <c r="B886" s="44">
        <f t="shared" si="4"/>
        <v>30</v>
      </c>
      <c r="C886" s="35">
        <v>194.20500000000001</v>
      </c>
      <c r="D886" s="35">
        <v>267.46600000000001</v>
      </c>
      <c r="E886" s="41">
        <v>812.32899999999995</v>
      </c>
      <c r="F886" s="35">
        <v>1274</v>
      </c>
      <c r="G886" s="35">
        <v>50</v>
      </c>
      <c r="H886" s="43">
        <v>600</v>
      </c>
      <c r="I886" s="35">
        <v>695</v>
      </c>
      <c r="J886" s="35">
        <v>50</v>
      </c>
      <c r="K886" s="36"/>
      <c r="L886" s="36"/>
      <c r="M886" s="36"/>
      <c r="N886" s="36"/>
      <c r="O886" s="36"/>
      <c r="P886" s="36"/>
      <c r="Q886" s="36"/>
      <c r="R886" s="36"/>
      <c r="S886" s="36"/>
      <c r="T886" s="36"/>
    </row>
    <row r="887" spans="1:20" ht="15.75">
      <c r="A887" s="13">
        <v>68514</v>
      </c>
      <c r="B887" s="44">
        <f t="shared" si="4"/>
        <v>31</v>
      </c>
      <c r="C887" s="35">
        <v>194.20500000000001</v>
      </c>
      <c r="D887" s="35">
        <v>267.46600000000001</v>
      </c>
      <c r="E887" s="41">
        <v>812.32899999999995</v>
      </c>
      <c r="F887" s="35">
        <v>1274</v>
      </c>
      <c r="G887" s="35">
        <v>50</v>
      </c>
      <c r="H887" s="43">
        <v>600</v>
      </c>
      <c r="I887" s="35">
        <v>695</v>
      </c>
      <c r="J887" s="35">
        <v>0</v>
      </c>
      <c r="K887" s="36"/>
      <c r="L887" s="36"/>
      <c r="M887" s="36"/>
      <c r="N887" s="36"/>
      <c r="O887" s="36"/>
      <c r="P887" s="36"/>
      <c r="Q887" s="36"/>
      <c r="R887" s="36"/>
      <c r="S887" s="36"/>
      <c r="T887" s="36"/>
    </row>
    <row r="888" spans="1:20" ht="15.75">
      <c r="A888" s="13">
        <v>68545</v>
      </c>
      <c r="B888" s="44">
        <f t="shared" si="4"/>
        <v>31</v>
      </c>
      <c r="C888" s="35">
        <v>194.20500000000001</v>
      </c>
      <c r="D888" s="35">
        <v>267.46600000000001</v>
      </c>
      <c r="E888" s="41">
        <v>812.32899999999995</v>
      </c>
      <c r="F888" s="35">
        <v>1274</v>
      </c>
      <c r="G888" s="35">
        <v>50</v>
      </c>
      <c r="H888" s="43">
        <v>600</v>
      </c>
      <c r="I888" s="35">
        <v>695</v>
      </c>
      <c r="J888" s="35">
        <v>0</v>
      </c>
      <c r="K888" s="36"/>
      <c r="L888" s="36"/>
      <c r="M888" s="36"/>
      <c r="N888" s="36"/>
      <c r="O888" s="36"/>
      <c r="P888" s="36"/>
      <c r="Q888" s="36"/>
      <c r="R888" s="36"/>
      <c r="S888" s="36"/>
      <c r="T888" s="36"/>
    </row>
    <row r="889" spans="1:20" ht="15.75">
      <c r="A889" s="13">
        <v>68575</v>
      </c>
      <c r="B889" s="44">
        <f t="shared" si="4"/>
        <v>30</v>
      </c>
      <c r="C889" s="35">
        <v>194.20500000000001</v>
      </c>
      <c r="D889" s="35">
        <v>267.46600000000001</v>
      </c>
      <c r="E889" s="41">
        <v>812.32899999999995</v>
      </c>
      <c r="F889" s="35">
        <v>1274</v>
      </c>
      <c r="G889" s="35">
        <v>50</v>
      </c>
      <c r="H889" s="43">
        <v>600</v>
      </c>
      <c r="I889" s="35">
        <v>695</v>
      </c>
      <c r="J889" s="35">
        <v>0</v>
      </c>
      <c r="K889" s="36"/>
      <c r="L889" s="36"/>
      <c r="M889" s="36"/>
      <c r="N889" s="36"/>
      <c r="O889" s="36"/>
      <c r="P889" s="36"/>
      <c r="Q889" s="36"/>
      <c r="R889" s="36"/>
      <c r="S889" s="36"/>
      <c r="T889" s="36"/>
    </row>
    <row r="890" spans="1:20" ht="15.75">
      <c r="A890" s="13">
        <v>68606</v>
      </c>
      <c r="B890" s="44">
        <f t="shared" si="4"/>
        <v>31</v>
      </c>
      <c r="C890" s="35">
        <v>131.881</v>
      </c>
      <c r="D890" s="35">
        <v>277.16699999999997</v>
      </c>
      <c r="E890" s="41">
        <v>829.952</v>
      </c>
      <c r="F890" s="35">
        <v>1239</v>
      </c>
      <c r="G890" s="35">
        <v>75</v>
      </c>
      <c r="H890" s="43">
        <v>600</v>
      </c>
      <c r="I890" s="35">
        <v>695</v>
      </c>
      <c r="J890" s="35">
        <v>0</v>
      </c>
      <c r="K890" s="36"/>
      <c r="L890" s="36"/>
      <c r="M890" s="36"/>
      <c r="N890" s="36"/>
      <c r="O890" s="36"/>
      <c r="P890" s="36"/>
      <c r="Q890" s="36"/>
      <c r="R890" s="36"/>
      <c r="S890" s="36"/>
      <c r="T890" s="36"/>
    </row>
    <row r="891" spans="1:20" ht="15.75">
      <c r="A891" s="13">
        <v>68636</v>
      </c>
      <c r="B891" s="44">
        <f t="shared" si="4"/>
        <v>30</v>
      </c>
      <c r="C891" s="35">
        <v>122.58</v>
      </c>
      <c r="D891" s="35">
        <v>297.94099999999997</v>
      </c>
      <c r="E891" s="41">
        <v>729.47900000000004</v>
      </c>
      <c r="F891" s="35">
        <v>1150</v>
      </c>
      <c r="G891" s="35">
        <v>100</v>
      </c>
      <c r="H891" s="43">
        <v>600</v>
      </c>
      <c r="I891" s="35">
        <v>695</v>
      </c>
      <c r="J891" s="35">
        <v>50</v>
      </c>
      <c r="K891" s="36"/>
      <c r="L891" s="36"/>
      <c r="M891" s="36"/>
      <c r="N891" s="36"/>
      <c r="O891" s="36"/>
      <c r="P891" s="36"/>
      <c r="Q891" s="36"/>
      <c r="R891" s="36"/>
      <c r="S891" s="36"/>
      <c r="T891" s="36"/>
    </row>
    <row r="892" spans="1:20" ht="15.75">
      <c r="A892" s="13">
        <v>68667</v>
      </c>
      <c r="B892" s="44">
        <f t="shared" si="4"/>
        <v>31</v>
      </c>
      <c r="C892" s="35">
        <v>122.58</v>
      </c>
      <c r="D892" s="35">
        <v>297.94099999999997</v>
      </c>
      <c r="E892" s="41">
        <v>729.47900000000004</v>
      </c>
      <c r="F892" s="35">
        <v>1150</v>
      </c>
      <c r="G892" s="35">
        <v>100</v>
      </c>
      <c r="H892" s="43">
        <v>600</v>
      </c>
      <c r="I892" s="35">
        <v>695</v>
      </c>
      <c r="J892" s="35">
        <v>50</v>
      </c>
      <c r="K892" s="36"/>
      <c r="L892" s="36"/>
      <c r="M892" s="36"/>
      <c r="N892" s="36"/>
      <c r="O892" s="36"/>
      <c r="P892" s="36"/>
      <c r="Q892" s="36"/>
      <c r="R892" s="36"/>
      <c r="S892" s="36"/>
      <c r="T892" s="36"/>
    </row>
    <row r="893" spans="1:20" ht="15.75">
      <c r="A893" s="13">
        <v>68698</v>
      </c>
      <c r="B893" s="44">
        <f t="shared" si="4"/>
        <v>31</v>
      </c>
      <c r="C893" s="35">
        <v>122.58</v>
      </c>
      <c r="D893" s="35">
        <v>297.94099999999997</v>
      </c>
      <c r="E893" s="41">
        <v>729.47900000000004</v>
      </c>
      <c r="F893" s="35">
        <v>1150</v>
      </c>
      <c r="G893" s="35">
        <v>100</v>
      </c>
      <c r="H893" s="43">
        <v>600</v>
      </c>
      <c r="I893" s="35">
        <v>695</v>
      </c>
      <c r="J893" s="35">
        <v>50</v>
      </c>
      <c r="K893" s="36"/>
      <c r="L893" s="36"/>
      <c r="M893" s="36"/>
      <c r="N893" s="36"/>
      <c r="O893" s="36"/>
      <c r="P893" s="36"/>
      <c r="Q893" s="36"/>
      <c r="R893" s="36"/>
      <c r="S893" s="36"/>
      <c r="T893" s="36"/>
    </row>
    <row r="894" spans="1:20" ht="15.75">
      <c r="A894" s="13">
        <v>68727</v>
      </c>
      <c r="B894" s="44">
        <f t="shared" si="4"/>
        <v>29</v>
      </c>
      <c r="C894" s="35">
        <v>122.58</v>
      </c>
      <c r="D894" s="35">
        <v>297.94099999999997</v>
      </c>
      <c r="E894" s="41">
        <v>729.47900000000004</v>
      </c>
      <c r="F894" s="35">
        <v>1150</v>
      </c>
      <c r="G894" s="35">
        <v>100</v>
      </c>
      <c r="H894" s="43">
        <v>600</v>
      </c>
      <c r="I894" s="35">
        <v>695</v>
      </c>
      <c r="J894" s="35">
        <v>50</v>
      </c>
      <c r="K894" s="36"/>
      <c r="L894" s="36"/>
      <c r="M894" s="36"/>
      <c r="N894" s="36"/>
      <c r="O894" s="36"/>
      <c r="P894" s="36"/>
      <c r="Q894" s="36"/>
      <c r="R894" s="36"/>
      <c r="S894" s="36"/>
      <c r="T894" s="36"/>
    </row>
    <row r="895" spans="1:20" ht="15.75">
      <c r="A895" s="13">
        <v>68758</v>
      </c>
      <c r="B895" s="44">
        <f t="shared" si="4"/>
        <v>31</v>
      </c>
      <c r="C895" s="35">
        <v>122.58</v>
      </c>
      <c r="D895" s="35">
        <v>297.94099999999997</v>
      </c>
      <c r="E895" s="41">
        <v>729.47900000000004</v>
      </c>
      <c r="F895" s="35">
        <v>1150</v>
      </c>
      <c r="G895" s="35">
        <v>100</v>
      </c>
      <c r="H895" s="43">
        <v>600</v>
      </c>
      <c r="I895" s="35">
        <v>695</v>
      </c>
      <c r="J895" s="35">
        <v>50</v>
      </c>
      <c r="K895" s="36"/>
      <c r="L895" s="36"/>
      <c r="M895" s="36"/>
      <c r="N895" s="36"/>
      <c r="O895" s="36"/>
      <c r="P895" s="36"/>
      <c r="Q895" s="36"/>
      <c r="R895" s="36"/>
      <c r="S895" s="36"/>
      <c r="T895" s="36"/>
    </row>
    <row r="896" spans="1:20" ht="15.75">
      <c r="A896" s="13">
        <v>68788</v>
      </c>
      <c r="B896" s="44">
        <f t="shared" si="4"/>
        <v>30</v>
      </c>
      <c r="C896" s="35">
        <v>141.29300000000001</v>
      </c>
      <c r="D896" s="35">
        <v>267.99299999999999</v>
      </c>
      <c r="E896" s="41">
        <v>829.71400000000006</v>
      </c>
      <c r="F896" s="35">
        <v>1239</v>
      </c>
      <c r="G896" s="35">
        <v>100</v>
      </c>
      <c r="H896" s="43">
        <v>600</v>
      </c>
      <c r="I896" s="35">
        <v>695</v>
      </c>
      <c r="J896" s="35">
        <v>50</v>
      </c>
      <c r="K896" s="36"/>
      <c r="L896" s="36"/>
      <c r="M896" s="36"/>
      <c r="N896" s="36"/>
      <c r="O896" s="36"/>
      <c r="P896" s="36"/>
      <c r="Q896" s="36"/>
      <c r="R896" s="36"/>
      <c r="S896" s="36"/>
      <c r="T896" s="36"/>
    </row>
    <row r="897" spans="1:20" ht="15.75">
      <c r="A897" s="13">
        <v>68819</v>
      </c>
      <c r="B897" s="44">
        <f t="shared" si="4"/>
        <v>31</v>
      </c>
      <c r="C897" s="35">
        <v>194.20500000000001</v>
      </c>
      <c r="D897" s="35">
        <v>267.46600000000001</v>
      </c>
      <c r="E897" s="41">
        <v>812.32899999999995</v>
      </c>
      <c r="F897" s="35">
        <v>1274</v>
      </c>
      <c r="G897" s="35">
        <v>75</v>
      </c>
      <c r="H897" s="43">
        <v>600</v>
      </c>
      <c r="I897" s="35">
        <v>695</v>
      </c>
      <c r="J897" s="35">
        <v>50</v>
      </c>
      <c r="K897" s="36"/>
      <c r="L897" s="36"/>
      <c r="M897" s="36"/>
      <c r="N897" s="36"/>
      <c r="O897" s="36"/>
      <c r="P897" s="36"/>
      <c r="Q897" s="36"/>
      <c r="R897" s="36"/>
      <c r="S897" s="36"/>
      <c r="T897" s="36"/>
    </row>
    <row r="898" spans="1:20" ht="15.75">
      <c r="A898" s="13">
        <v>68849</v>
      </c>
      <c r="B898" s="44">
        <f t="shared" si="4"/>
        <v>30</v>
      </c>
      <c r="C898" s="35">
        <v>194.20500000000001</v>
      </c>
      <c r="D898" s="35">
        <v>267.46600000000001</v>
      </c>
      <c r="E898" s="41">
        <v>812.32899999999995</v>
      </c>
      <c r="F898" s="35">
        <v>1274</v>
      </c>
      <c r="G898" s="35">
        <v>50</v>
      </c>
      <c r="H898" s="43">
        <v>600</v>
      </c>
      <c r="I898" s="35">
        <v>695</v>
      </c>
      <c r="J898" s="35">
        <v>50</v>
      </c>
      <c r="K898" s="36"/>
      <c r="L898" s="36"/>
      <c r="M898" s="36"/>
      <c r="N898" s="36"/>
      <c r="O898" s="36"/>
      <c r="P898" s="36"/>
      <c r="Q898" s="36"/>
      <c r="R898" s="36"/>
      <c r="S898" s="36"/>
      <c r="T898" s="36"/>
    </row>
    <row r="899" spans="1:20" ht="15.75">
      <c r="A899" s="13">
        <v>68880</v>
      </c>
      <c r="B899" s="44">
        <f t="shared" si="4"/>
        <v>31</v>
      </c>
      <c r="C899" s="35">
        <v>194.20500000000001</v>
      </c>
      <c r="D899" s="35">
        <v>267.46600000000001</v>
      </c>
      <c r="E899" s="41">
        <v>812.32899999999995</v>
      </c>
      <c r="F899" s="35">
        <v>1274</v>
      </c>
      <c r="G899" s="35">
        <v>50</v>
      </c>
      <c r="H899" s="43">
        <v>600</v>
      </c>
      <c r="I899" s="35">
        <v>695</v>
      </c>
      <c r="J899" s="35">
        <v>0</v>
      </c>
      <c r="K899" s="36"/>
      <c r="L899" s="36"/>
      <c r="M899" s="36"/>
      <c r="N899" s="36"/>
      <c r="O899" s="36"/>
      <c r="P899" s="36"/>
      <c r="Q899" s="36"/>
      <c r="R899" s="36"/>
      <c r="S899" s="36"/>
      <c r="T899" s="36"/>
    </row>
    <row r="900" spans="1:20" ht="15.75">
      <c r="A900" s="13">
        <v>68911</v>
      </c>
      <c r="B900" s="44">
        <f t="shared" si="4"/>
        <v>31</v>
      </c>
      <c r="C900" s="35">
        <v>194.20500000000001</v>
      </c>
      <c r="D900" s="35">
        <v>267.46600000000001</v>
      </c>
      <c r="E900" s="41">
        <v>812.32899999999995</v>
      </c>
      <c r="F900" s="35">
        <v>1274</v>
      </c>
      <c r="G900" s="35">
        <v>50</v>
      </c>
      <c r="H900" s="43">
        <v>600</v>
      </c>
      <c r="I900" s="35">
        <v>695</v>
      </c>
      <c r="J900" s="35">
        <v>0</v>
      </c>
      <c r="K900" s="36"/>
      <c r="L900" s="36"/>
      <c r="M900" s="36"/>
      <c r="N900" s="36"/>
      <c r="O900" s="36"/>
      <c r="P900" s="36"/>
      <c r="Q900" s="36"/>
      <c r="R900" s="36"/>
      <c r="S900" s="36"/>
      <c r="T900" s="36"/>
    </row>
    <row r="901" spans="1:20" ht="15.75">
      <c r="A901" s="13">
        <v>68941</v>
      </c>
      <c r="B901" s="44">
        <f t="shared" ref="B901:B964" si="5">EOMONTH(A901,0)-EOMONTH(A901,-1)</f>
        <v>30</v>
      </c>
      <c r="C901" s="35">
        <v>194.20500000000001</v>
      </c>
      <c r="D901" s="35">
        <v>267.46600000000001</v>
      </c>
      <c r="E901" s="41">
        <v>812.32899999999995</v>
      </c>
      <c r="F901" s="35">
        <v>1274</v>
      </c>
      <c r="G901" s="35">
        <v>50</v>
      </c>
      <c r="H901" s="43">
        <v>600</v>
      </c>
      <c r="I901" s="35">
        <v>695</v>
      </c>
      <c r="J901" s="35">
        <v>0</v>
      </c>
      <c r="K901" s="36"/>
      <c r="L901" s="36"/>
      <c r="M901" s="36"/>
      <c r="N901" s="36"/>
      <c r="O901" s="36"/>
      <c r="P901" s="36"/>
      <c r="Q901" s="36"/>
      <c r="R901" s="36"/>
      <c r="S901" s="36"/>
      <c r="T901" s="36"/>
    </row>
    <row r="902" spans="1:20" ht="15.75">
      <c r="A902" s="13">
        <v>68972</v>
      </c>
      <c r="B902" s="44">
        <f t="shared" si="5"/>
        <v>31</v>
      </c>
      <c r="C902" s="35">
        <v>131.881</v>
      </c>
      <c r="D902" s="35">
        <v>277.16699999999997</v>
      </c>
      <c r="E902" s="41">
        <v>829.952</v>
      </c>
      <c r="F902" s="35">
        <v>1239</v>
      </c>
      <c r="G902" s="35">
        <v>75</v>
      </c>
      <c r="H902" s="43">
        <v>600</v>
      </c>
      <c r="I902" s="35">
        <v>695</v>
      </c>
      <c r="J902" s="35">
        <v>0</v>
      </c>
      <c r="K902" s="36"/>
      <c r="L902" s="36"/>
      <c r="M902" s="36"/>
      <c r="N902" s="36"/>
      <c r="O902" s="36"/>
      <c r="P902" s="36"/>
      <c r="Q902" s="36"/>
      <c r="R902" s="36"/>
      <c r="S902" s="36"/>
      <c r="T902" s="36"/>
    </row>
    <row r="903" spans="1:20" ht="15.75">
      <c r="A903" s="13">
        <v>69002</v>
      </c>
      <c r="B903" s="44">
        <f t="shared" si="5"/>
        <v>30</v>
      </c>
      <c r="C903" s="35">
        <v>122.58</v>
      </c>
      <c r="D903" s="35">
        <v>297.94099999999997</v>
      </c>
      <c r="E903" s="41">
        <v>729.47900000000004</v>
      </c>
      <c r="F903" s="35">
        <v>1150</v>
      </c>
      <c r="G903" s="35">
        <v>100</v>
      </c>
      <c r="H903" s="43">
        <v>600</v>
      </c>
      <c r="I903" s="35">
        <v>695</v>
      </c>
      <c r="J903" s="35">
        <v>50</v>
      </c>
      <c r="K903" s="36"/>
      <c r="L903" s="36"/>
      <c r="M903" s="36"/>
      <c r="N903" s="36"/>
      <c r="O903" s="36"/>
      <c r="P903" s="36"/>
      <c r="Q903" s="36"/>
      <c r="R903" s="36"/>
      <c r="S903" s="36"/>
      <c r="T903" s="36"/>
    </row>
    <row r="904" spans="1:20" ht="15.75">
      <c r="A904" s="13">
        <v>69033</v>
      </c>
      <c r="B904" s="44">
        <f t="shared" si="5"/>
        <v>31</v>
      </c>
      <c r="C904" s="35">
        <v>122.58</v>
      </c>
      <c r="D904" s="35">
        <v>297.94099999999997</v>
      </c>
      <c r="E904" s="41">
        <v>729.47900000000004</v>
      </c>
      <c r="F904" s="35">
        <v>1150</v>
      </c>
      <c r="G904" s="35">
        <v>100</v>
      </c>
      <c r="H904" s="43">
        <v>600</v>
      </c>
      <c r="I904" s="35">
        <v>695</v>
      </c>
      <c r="J904" s="35">
        <v>50</v>
      </c>
      <c r="K904" s="36"/>
      <c r="L904" s="36"/>
      <c r="M904" s="36"/>
      <c r="N904" s="36"/>
      <c r="O904" s="36"/>
      <c r="P904" s="36"/>
      <c r="Q904" s="36"/>
      <c r="R904" s="36"/>
      <c r="S904" s="36"/>
      <c r="T904" s="36"/>
    </row>
    <row r="905" spans="1:20" ht="15.75">
      <c r="A905" s="13">
        <v>69064</v>
      </c>
      <c r="B905" s="44">
        <f t="shared" si="5"/>
        <v>31</v>
      </c>
      <c r="C905" s="35">
        <v>122.58</v>
      </c>
      <c r="D905" s="35">
        <v>297.94099999999997</v>
      </c>
      <c r="E905" s="41">
        <v>729.47900000000004</v>
      </c>
      <c r="F905" s="35">
        <v>1150</v>
      </c>
      <c r="G905" s="35">
        <v>100</v>
      </c>
      <c r="H905" s="43">
        <v>600</v>
      </c>
      <c r="I905" s="35">
        <v>695</v>
      </c>
      <c r="J905" s="35">
        <v>50</v>
      </c>
      <c r="K905" s="36"/>
      <c r="L905" s="36"/>
      <c r="M905" s="36"/>
      <c r="N905" s="36"/>
      <c r="O905" s="36"/>
      <c r="P905" s="36"/>
      <c r="Q905" s="36"/>
      <c r="R905" s="36"/>
      <c r="S905" s="36"/>
      <c r="T905" s="36"/>
    </row>
    <row r="906" spans="1:20" ht="15.75">
      <c r="A906" s="13">
        <v>69092</v>
      </c>
      <c r="B906" s="44">
        <f t="shared" si="5"/>
        <v>28</v>
      </c>
      <c r="C906" s="35">
        <v>122.58</v>
      </c>
      <c r="D906" s="35">
        <v>297.94099999999997</v>
      </c>
      <c r="E906" s="41">
        <v>729.47900000000004</v>
      </c>
      <c r="F906" s="35">
        <v>1150</v>
      </c>
      <c r="G906" s="35">
        <v>100</v>
      </c>
      <c r="H906" s="43">
        <v>600</v>
      </c>
      <c r="I906" s="35">
        <v>695</v>
      </c>
      <c r="J906" s="35">
        <v>50</v>
      </c>
      <c r="K906" s="36"/>
      <c r="L906" s="36"/>
      <c r="M906" s="36"/>
      <c r="N906" s="36"/>
      <c r="O906" s="36"/>
      <c r="P906" s="36"/>
      <c r="Q906" s="36"/>
      <c r="R906" s="36"/>
      <c r="S906" s="36"/>
      <c r="T906" s="36"/>
    </row>
    <row r="907" spans="1:20" ht="15.75">
      <c r="A907" s="13">
        <v>69123</v>
      </c>
      <c r="B907" s="44">
        <f t="shared" si="5"/>
        <v>31</v>
      </c>
      <c r="C907" s="35">
        <v>122.58</v>
      </c>
      <c r="D907" s="35">
        <v>297.94099999999997</v>
      </c>
      <c r="E907" s="41">
        <v>729.47900000000004</v>
      </c>
      <c r="F907" s="35">
        <v>1150</v>
      </c>
      <c r="G907" s="35">
        <v>100</v>
      </c>
      <c r="H907" s="43">
        <v>600</v>
      </c>
      <c r="I907" s="35">
        <v>695</v>
      </c>
      <c r="J907" s="35">
        <v>50</v>
      </c>
      <c r="K907" s="36"/>
      <c r="L907" s="36"/>
      <c r="M907" s="36"/>
      <c r="N907" s="36"/>
      <c r="O907" s="36"/>
      <c r="P907" s="36"/>
      <c r="Q907" s="36"/>
      <c r="R907" s="36"/>
      <c r="S907" s="36"/>
      <c r="T907" s="36"/>
    </row>
    <row r="908" spans="1:20" ht="15.75">
      <c r="A908" s="13">
        <v>69153</v>
      </c>
      <c r="B908" s="44">
        <f t="shared" si="5"/>
        <v>30</v>
      </c>
      <c r="C908" s="35">
        <v>141.29300000000001</v>
      </c>
      <c r="D908" s="35">
        <v>267.99299999999999</v>
      </c>
      <c r="E908" s="41">
        <v>829.71400000000006</v>
      </c>
      <c r="F908" s="35">
        <v>1239</v>
      </c>
      <c r="G908" s="35">
        <v>100</v>
      </c>
      <c r="H908" s="43">
        <v>600</v>
      </c>
      <c r="I908" s="35">
        <v>695</v>
      </c>
      <c r="J908" s="35">
        <v>50</v>
      </c>
      <c r="K908" s="36"/>
      <c r="L908" s="36"/>
      <c r="M908" s="36"/>
      <c r="N908" s="36"/>
      <c r="O908" s="36"/>
      <c r="P908" s="36"/>
      <c r="Q908" s="36"/>
      <c r="R908" s="36"/>
      <c r="S908" s="36"/>
      <c r="T908" s="36"/>
    </row>
    <row r="909" spans="1:20" ht="15.75">
      <c r="A909" s="13">
        <v>69184</v>
      </c>
      <c r="B909" s="44">
        <f t="shared" si="5"/>
        <v>31</v>
      </c>
      <c r="C909" s="35">
        <v>194.20500000000001</v>
      </c>
      <c r="D909" s="35">
        <v>267.46600000000001</v>
      </c>
      <c r="E909" s="41">
        <v>812.32899999999995</v>
      </c>
      <c r="F909" s="35">
        <v>1274</v>
      </c>
      <c r="G909" s="35">
        <v>75</v>
      </c>
      <c r="H909" s="43">
        <v>600</v>
      </c>
      <c r="I909" s="35">
        <v>695</v>
      </c>
      <c r="J909" s="35">
        <v>50</v>
      </c>
      <c r="K909" s="36"/>
      <c r="L909" s="36"/>
      <c r="M909" s="36"/>
      <c r="N909" s="36"/>
      <c r="O909" s="36"/>
      <c r="P909" s="36"/>
      <c r="Q909" s="36"/>
      <c r="R909" s="36"/>
      <c r="S909" s="36"/>
      <c r="T909" s="36"/>
    </row>
    <row r="910" spans="1:20" ht="15.75">
      <c r="A910" s="13">
        <v>69214</v>
      </c>
      <c r="B910" s="44">
        <f t="shared" si="5"/>
        <v>30</v>
      </c>
      <c r="C910" s="35">
        <v>194.20500000000001</v>
      </c>
      <c r="D910" s="35">
        <v>267.46600000000001</v>
      </c>
      <c r="E910" s="41">
        <v>812.32899999999995</v>
      </c>
      <c r="F910" s="35">
        <v>1274</v>
      </c>
      <c r="G910" s="35">
        <v>50</v>
      </c>
      <c r="H910" s="43">
        <v>600</v>
      </c>
      <c r="I910" s="35">
        <v>695</v>
      </c>
      <c r="J910" s="35">
        <v>50</v>
      </c>
      <c r="K910" s="36"/>
      <c r="L910" s="36"/>
      <c r="M910" s="36"/>
      <c r="N910" s="36"/>
      <c r="O910" s="36"/>
      <c r="P910" s="36"/>
      <c r="Q910" s="36"/>
      <c r="R910" s="36"/>
      <c r="S910" s="36"/>
      <c r="T910" s="36"/>
    </row>
    <row r="911" spans="1:20" ht="15.75">
      <c r="A911" s="13">
        <v>69245</v>
      </c>
      <c r="B911" s="44">
        <f t="shared" si="5"/>
        <v>31</v>
      </c>
      <c r="C911" s="35">
        <v>194.20500000000001</v>
      </c>
      <c r="D911" s="35">
        <v>267.46600000000001</v>
      </c>
      <c r="E911" s="41">
        <v>812.32899999999995</v>
      </c>
      <c r="F911" s="35">
        <v>1274</v>
      </c>
      <c r="G911" s="35">
        <v>50</v>
      </c>
      <c r="H911" s="43">
        <v>600</v>
      </c>
      <c r="I911" s="35">
        <v>695</v>
      </c>
      <c r="J911" s="35">
        <v>0</v>
      </c>
      <c r="K911" s="36"/>
      <c r="L911" s="36"/>
      <c r="M911" s="36"/>
      <c r="N911" s="36"/>
      <c r="O911" s="36"/>
      <c r="P911" s="36"/>
      <c r="Q911" s="36"/>
      <c r="R911" s="36"/>
      <c r="S911" s="36"/>
      <c r="T911" s="36"/>
    </row>
    <row r="912" spans="1:20" ht="15.75">
      <c r="A912" s="13">
        <v>69276</v>
      </c>
      <c r="B912" s="44">
        <f t="shared" si="5"/>
        <v>31</v>
      </c>
      <c r="C912" s="35">
        <v>194.20500000000001</v>
      </c>
      <c r="D912" s="35">
        <v>267.46600000000001</v>
      </c>
      <c r="E912" s="41">
        <v>812.32899999999995</v>
      </c>
      <c r="F912" s="35">
        <v>1274</v>
      </c>
      <c r="G912" s="35">
        <v>50</v>
      </c>
      <c r="H912" s="43">
        <v>600</v>
      </c>
      <c r="I912" s="35">
        <v>695</v>
      </c>
      <c r="J912" s="35">
        <v>0</v>
      </c>
      <c r="K912" s="36"/>
      <c r="L912" s="36"/>
      <c r="M912" s="36"/>
      <c r="N912" s="36"/>
      <c r="O912" s="36"/>
      <c r="P912" s="36"/>
      <c r="Q912" s="36"/>
      <c r="R912" s="36"/>
      <c r="S912" s="36"/>
      <c r="T912" s="36"/>
    </row>
    <row r="913" spans="1:20" ht="15.75">
      <c r="A913" s="13">
        <v>69306</v>
      </c>
      <c r="B913" s="44">
        <f t="shared" si="5"/>
        <v>30</v>
      </c>
      <c r="C913" s="35">
        <v>194.20500000000001</v>
      </c>
      <c r="D913" s="35">
        <v>267.46600000000001</v>
      </c>
      <c r="E913" s="41">
        <v>812.32899999999995</v>
      </c>
      <c r="F913" s="35">
        <v>1274</v>
      </c>
      <c r="G913" s="35">
        <v>50</v>
      </c>
      <c r="H913" s="43">
        <v>600</v>
      </c>
      <c r="I913" s="35">
        <v>695</v>
      </c>
      <c r="J913" s="35">
        <v>0</v>
      </c>
      <c r="K913" s="36"/>
      <c r="L913" s="36"/>
      <c r="M913" s="36"/>
      <c r="N913" s="36"/>
      <c r="O913" s="36"/>
      <c r="P913" s="36"/>
      <c r="Q913" s="36"/>
      <c r="R913" s="36"/>
      <c r="S913" s="36"/>
      <c r="T913" s="36"/>
    </row>
    <row r="914" spans="1:20" ht="15.75">
      <c r="A914" s="13">
        <v>69337</v>
      </c>
      <c r="B914" s="44">
        <f t="shared" si="5"/>
        <v>31</v>
      </c>
      <c r="C914" s="35">
        <v>131.881</v>
      </c>
      <c r="D914" s="35">
        <v>277.16699999999997</v>
      </c>
      <c r="E914" s="41">
        <v>829.952</v>
      </c>
      <c r="F914" s="35">
        <v>1239</v>
      </c>
      <c r="G914" s="35">
        <v>75</v>
      </c>
      <c r="H914" s="43">
        <v>600</v>
      </c>
      <c r="I914" s="35">
        <v>695</v>
      </c>
      <c r="J914" s="35">
        <v>0</v>
      </c>
      <c r="K914" s="36"/>
      <c r="L914" s="36"/>
      <c r="M914" s="36"/>
      <c r="N914" s="36"/>
      <c r="O914" s="36"/>
      <c r="P914" s="36"/>
      <c r="Q914" s="36"/>
      <c r="R914" s="36"/>
      <c r="S914" s="36"/>
      <c r="T914" s="36"/>
    </row>
    <row r="915" spans="1:20" ht="15.75">
      <c r="A915" s="13">
        <v>69367</v>
      </c>
      <c r="B915" s="44">
        <f t="shared" si="5"/>
        <v>30</v>
      </c>
      <c r="C915" s="35">
        <v>122.58</v>
      </c>
      <c r="D915" s="35">
        <v>297.94099999999997</v>
      </c>
      <c r="E915" s="41">
        <v>729.47900000000004</v>
      </c>
      <c r="F915" s="35">
        <v>1150</v>
      </c>
      <c r="G915" s="35">
        <v>100</v>
      </c>
      <c r="H915" s="43">
        <v>600</v>
      </c>
      <c r="I915" s="35">
        <v>695</v>
      </c>
      <c r="J915" s="35">
        <v>50</v>
      </c>
      <c r="K915" s="36"/>
      <c r="L915" s="36"/>
      <c r="M915" s="36"/>
      <c r="N915" s="36"/>
      <c r="O915" s="36"/>
      <c r="P915" s="36"/>
      <c r="Q915" s="36"/>
      <c r="R915" s="36"/>
      <c r="S915" s="36"/>
      <c r="T915" s="36"/>
    </row>
    <row r="916" spans="1:20" ht="15.75">
      <c r="A916" s="13">
        <v>69398</v>
      </c>
      <c r="B916" s="44">
        <f t="shared" si="5"/>
        <v>31</v>
      </c>
      <c r="C916" s="35">
        <v>122.58</v>
      </c>
      <c r="D916" s="35">
        <v>297.94099999999997</v>
      </c>
      <c r="E916" s="41">
        <v>729.47900000000004</v>
      </c>
      <c r="F916" s="35">
        <v>1150</v>
      </c>
      <c r="G916" s="35">
        <v>100</v>
      </c>
      <c r="H916" s="43">
        <v>600</v>
      </c>
      <c r="I916" s="35">
        <v>695</v>
      </c>
      <c r="J916" s="35">
        <v>50</v>
      </c>
      <c r="K916" s="36"/>
      <c r="L916" s="36"/>
      <c r="M916" s="36"/>
      <c r="N916" s="36"/>
      <c r="O916" s="36"/>
      <c r="P916" s="36"/>
      <c r="Q916" s="36"/>
      <c r="R916" s="36"/>
      <c r="S916" s="36"/>
      <c r="T916" s="36"/>
    </row>
    <row r="917" spans="1:20" ht="15.75">
      <c r="A917" s="13">
        <v>69429</v>
      </c>
      <c r="B917" s="44">
        <f t="shared" si="5"/>
        <v>31</v>
      </c>
      <c r="C917" s="35">
        <v>122.58</v>
      </c>
      <c r="D917" s="35">
        <v>297.94099999999997</v>
      </c>
      <c r="E917" s="41">
        <v>729.47900000000004</v>
      </c>
      <c r="F917" s="35">
        <v>1150</v>
      </c>
      <c r="G917" s="35">
        <v>100</v>
      </c>
      <c r="H917" s="43">
        <v>600</v>
      </c>
      <c r="I917" s="35">
        <v>695</v>
      </c>
      <c r="J917" s="35">
        <v>50</v>
      </c>
      <c r="K917" s="36"/>
      <c r="L917" s="36"/>
      <c r="M917" s="36"/>
      <c r="N917" s="36"/>
      <c r="O917" s="36"/>
      <c r="P917" s="36"/>
      <c r="Q917" s="36"/>
      <c r="R917" s="36"/>
      <c r="S917" s="36"/>
      <c r="T917" s="36"/>
    </row>
    <row r="918" spans="1:20" ht="15.75">
      <c r="A918" s="13">
        <v>69457</v>
      </c>
      <c r="B918" s="44">
        <f t="shared" si="5"/>
        <v>28</v>
      </c>
      <c r="C918" s="35">
        <v>122.58</v>
      </c>
      <c r="D918" s="35">
        <v>297.94099999999997</v>
      </c>
      <c r="E918" s="41">
        <v>729.47900000000004</v>
      </c>
      <c r="F918" s="35">
        <v>1150</v>
      </c>
      <c r="G918" s="35">
        <v>100</v>
      </c>
      <c r="H918" s="43">
        <v>600</v>
      </c>
      <c r="I918" s="35">
        <v>695</v>
      </c>
      <c r="J918" s="35">
        <v>50</v>
      </c>
      <c r="K918" s="36"/>
      <c r="L918" s="36"/>
      <c r="M918" s="36"/>
      <c r="N918" s="36"/>
      <c r="O918" s="36"/>
      <c r="P918" s="36"/>
      <c r="Q918" s="36"/>
      <c r="R918" s="36"/>
      <c r="S918" s="36"/>
      <c r="T918" s="36"/>
    </row>
    <row r="919" spans="1:20" ht="15.75">
      <c r="A919" s="13">
        <v>69488</v>
      </c>
      <c r="B919" s="44">
        <f t="shared" si="5"/>
        <v>31</v>
      </c>
      <c r="C919" s="35">
        <v>122.58</v>
      </c>
      <c r="D919" s="35">
        <v>297.94099999999997</v>
      </c>
      <c r="E919" s="41">
        <v>729.47900000000004</v>
      </c>
      <c r="F919" s="35">
        <v>1150</v>
      </c>
      <c r="G919" s="35">
        <v>100</v>
      </c>
      <c r="H919" s="43">
        <v>600</v>
      </c>
      <c r="I919" s="35">
        <v>695</v>
      </c>
      <c r="J919" s="35">
        <v>50</v>
      </c>
      <c r="K919" s="36"/>
      <c r="L919" s="36"/>
      <c r="M919" s="36"/>
      <c r="N919" s="36"/>
      <c r="O919" s="36"/>
      <c r="P919" s="36"/>
      <c r="Q919" s="36"/>
      <c r="R919" s="36"/>
      <c r="S919" s="36"/>
      <c r="T919" s="36"/>
    </row>
    <row r="920" spans="1:20" ht="15.75">
      <c r="A920" s="13">
        <v>69518</v>
      </c>
      <c r="B920" s="44">
        <f t="shared" si="5"/>
        <v>30</v>
      </c>
      <c r="C920" s="35">
        <v>141.29300000000001</v>
      </c>
      <c r="D920" s="35">
        <v>267.99299999999999</v>
      </c>
      <c r="E920" s="41">
        <v>829.71400000000006</v>
      </c>
      <c r="F920" s="35">
        <v>1239</v>
      </c>
      <c r="G920" s="35">
        <v>100</v>
      </c>
      <c r="H920" s="43">
        <v>600</v>
      </c>
      <c r="I920" s="35">
        <v>695</v>
      </c>
      <c r="J920" s="35">
        <v>50</v>
      </c>
      <c r="K920" s="36"/>
      <c r="L920" s="36"/>
      <c r="M920" s="36"/>
      <c r="N920" s="36"/>
      <c r="O920" s="36"/>
      <c r="P920" s="36"/>
      <c r="Q920" s="36"/>
      <c r="R920" s="36"/>
      <c r="S920" s="36"/>
      <c r="T920" s="36"/>
    </row>
    <row r="921" spans="1:20" ht="15.75">
      <c r="A921" s="13">
        <v>69549</v>
      </c>
      <c r="B921" s="44">
        <f t="shared" si="5"/>
        <v>31</v>
      </c>
      <c r="C921" s="35">
        <v>194.20500000000001</v>
      </c>
      <c r="D921" s="35">
        <v>267.46600000000001</v>
      </c>
      <c r="E921" s="41">
        <v>812.32899999999995</v>
      </c>
      <c r="F921" s="35">
        <v>1274</v>
      </c>
      <c r="G921" s="35">
        <v>75</v>
      </c>
      <c r="H921" s="43">
        <v>600</v>
      </c>
      <c r="I921" s="35">
        <v>695</v>
      </c>
      <c r="J921" s="35">
        <v>50</v>
      </c>
      <c r="K921" s="36"/>
      <c r="L921" s="36"/>
      <c r="M921" s="36"/>
      <c r="N921" s="36"/>
      <c r="O921" s="36"/>
      <c r="P921" s="36"/>
      <c r="Q921" s="36"/>
      <c r="R921" s="36"/>
      <c r="S921" s="36"/>
      <c r="T921" s="36"/>
    </row>
    <row r="922" spans="1:20" ht="15.75">
      <c r="A922" s="13">
        <v>69579</v>
      </c>
      <c r="B922" s="44">
        <f t="shared" si="5"/>
        <v>30</v>
      </c>
      <c r="C922" s="35">
        <v>194.20500000000001</v>
      </c>
      <c r="D922" s="35">
        <v>267.46600000000001</v>
      </c>
      <c r="E922" s="41">
        <v>812.32899999999995</v>
      </c>
      <c r="F922" s="35">
        <v>1274</v>
      </c>
      <c r="G922" s="35">
        <v>50</v>
      </c>
      <c r="H922" s="43">
        <v>600</v>
      </c>
      <c r="I922" s="35">
        <v>695</v>
      </c>
      <c r="J922" s="35">
        <v>50</v>
      </c>
      <c r="K922" s="36"/>
      <c r="L922" s="36"/>
      <c r="M922" s="36"/>
      <c r="N922" s="36"/>
      <c r="O922" s="36"/>
      <c r="P922" s="36"/>
      <c r="Q922" s="36"/>
      <c r="R922" s="36"/>
      <c r="S922" s="36"/>
      <c r="T922" s="36"/>
    </row>
    <row r="923" spans="1:20" ht="15.75">
      <c r="A923" s="13">
        <v>69610</v>
      </c>
      <c r="B923" s="44">
        <f t="shared" si="5"/>
        <v>31</v>
      </c>
      <c r="C923" s="35">
        <v>194.20500000000001</v>
      </c>
      <c r="D923" s="35">
        <v>267.46600000000001</v>
      </c>
      <c r="E923" s="41">
        <v>812.32899999999995</v>
      </c>
      <c r="F923" s="35">
        <v>1274</v>
      </c>
      <c r="G923" s="35">
        <v>50</v>
      </c>
      <c r="H923" s="43">
        <v>600</v>
      </c>
      <c r="I923" s="35">
        <v>695</v>
      </c>
      <c r="J923" s="35">
        <v>0</v>
      </c>
      <c r="K923" s="36"/>
      <c r="L923" s="36"/>
      <c r="M923" s="36"/>
      <c r="N923" s="36"/>
      <c r="O923" s="36"/>
      <c r="P923" s="36"/>
      <c r="Q923" s="36"/>
      <c r="R923" s="36"/>
      <c r="S923" s="36"/>
      <c r="T923" s="36"/>
    </row>
    <row r="924" spans="1:20" ht="15.75">
      <c r="A924" s="13">
        <v>69641</v>
      </c>
      <c r="B924" s="44">
        <f t="shared" si="5"/>
        <v>31</v>
      </c>
      <c r="C924" s="35">
        <v>194.20500000000001</v>
      </c>
      <c r="D924" s="35">
        <v>267.46600000000001</v>
      </c>
      <c r="E924" s="41">
        <v>812.32899999999995</v>
      </c>
      <c r="F924" s="35">
        <v>1274</v>
      </c>
      <c r="G924" s="35">
        <v>50</v>
      </c>
      <c r="H924" s="43">
        <v>600</v>
      </c>
      <c r="I924" s="35">
        <v>695</v>
      </c>
      <c r="J924" s="35">
        <v>0</v>
      </c>
      <c r="K924" s="36"/>
      <c r="L924" s="36"/>
      <c r="M924" s="36"/>
      <c r="N924" s="36"/>
      <c r="O924" s="36"/>
      <c r="P924" s="36"/>
      <c r="Q924" s="36"/>
      <c r="R924" s="36"/>
      <c r="S924" s="36"/>
      <c r="T924" s="36"/>
    </row>
    <row r="925" spans="1:20" ht="15.75">
      <c r="A925" s="13">
        <v>69671</v>
      </c>
      <c r="B925" s="44">
        <f t="shared" si="5"/>
        <v>30</v>
      </c>
      <c r="C925" s="35">
        <v>194.20500000000001</v>
      </c>
      <c r="D925" s="35">
        <v>267.46600000000001</v>
      </c>
      <c r="E925" s="41">
        <v>812.32899999999995</v>
      </c>
      <c r="F925" s="35">
        <v>1274</v>
      </c>
      <c r="G925" s="35">
        <v>50</v>
      </c>
      <c r="H925" s="43">
        <v>600</v>
      </c>
      <c r="I925" s="35">
        <v>695</v>
      </c>
      <c r="J925" s="35">
        <v>0</v>
      </c>
      <c r="K925" s="36"/>
      <c r="L925" s="36"/>
      <c r="M925" s="36"/>
      <c r="N925" s="36"/>
      <c r="O925" s="36"/>
      <c r="P925" s="36"/>
      <c r="Q925" s="36"/>
      <c r="R925" s="36"/>
      <c r="S925" s="36"/>
      <c r="T925" s="36"/>
    </row>
    <row r="926" spans="1:20" ht="15.75">
      <c r="A926" s="13">
        <v>69702</v>
      </c>
      <c r="B926" s="44">
        <f t="shared" si="5"/>
        <v>31</v>
      </c>
      <c r="C926" s="35">
        <v>131.881</v>
      </c>
      <c r="D926" s="35">
        <v>277.16699999999997</v>
      </c>
      <c r="E926" s="41">
        <v>829.952</v>
      </c>
      <c r="F926" s="35">
        <v>1239</v>
      </c>
      <c r="G926" s="35">
        <v>75</v>
      </c>
      <c r="H926" s="43">
        <v>600</v>
      </c>
      <c r="I926" s="35">
        <v>695</v>
      </c>
      <c r="J926" s="35">
        <v>0</v>
      </c>
      <c r="K926" s="36"/>
      <c r="L926" s="36"/>
      <c r="M926" s="36"/>
      <c r="N926" s="36"/>
      <c r="O926" s="36"/>
      <c r="P926" s="36"/>
      <c r="Q926" s="36"/>
      <c r="R926" s="36"/>
      <c r="S926" s="36"/>
      <c r="T926" s="36"/>
    </row>
    <row r="927" spans="1:20" ht="15.75">
      <c r="A927" s="13">
        <v>69732</v>
      </c>
      <c r="B927" s="44">
        <f t="shared" si="5"/>
        <v>30</v>
      </c>
      <c r="C927" s="35">
        <v>122.58</v>
      </c>
      <c r="D927" s="35">
        <v>297.94099999999997</v>
      </c>
      <c r="E927" s="41">
        <v>729.47900000000004</v>
      </c>
      <c r="F927" s="35">
        <v>1150</v>
      </c>
      <c r="G927" s="35">
        <v>100</v>
      </c>
      <c r="H927" s="43">
        <v>600</v>
      </c>
      <c r="I927" s="35">
        <v>695</v>
      </c>
      <c r="J927" s="35">
        <v>50</v>
      </c>
      <c r="K927" s="36"/>
      <c r="L927" s="36"/>
      <c r="M927" s="36"/>
      <c r="N927" s="36"/>
      <c r="O927" s="36"/>
      <c r="P927" s="36"/>
      <c r="Q927" s="36"/>
      <c r="R927" s="36"/>
      <c r="S927" s="36"/>
      <c r="T927" s="36"/>
    </row>
    <row r="928" spans="1:20" ht="15.75">
      <c r="A928" s="13">
        <v>69763</v>
      </c>
      <c r="B928" s="44">
        <f t="shared" si="5"/>
        <v>31</v>
      </c>
      <c r="C928" s="35">
        <v>122.58</v>
      </c>
      <c r="D928" s="35">
        <v>297.94099999999997</v>
      </c>
      <c r="E928" s="41">
        <v>729.47900000000004</v>
      </c>
      <c r="F928" s="35">
        <v>1150</v>
      </c>
      <c r="G928" s="35">
        <v>100</v>
      </c>
      <c r="H928" s="43">
        <v>600</v>
      </c>
      <c r="I928" s="35">
        <v>695</v>
      </c>
      <c r="J928" s="35">
        <v>50</v>
      </c>
      <c r="K928" s="36"/>
      <c r="L928" s="36"/>
      <c r="M928" s="36"/>
      <c r="N928" s="36"/>
      <c r="O928" s="36"/>
      <c r="P928" s="36"/>
      <c r="Q928" s="36"/>
      <c r="R928" s="36"/>
      <c r="S928" s="36"/>
      <c r="T928" s="36"/>
    </row>
    <row r="929" spans="1:20" ht="15.75">
      <c r="A929" s="13">
        <v>69794</v>
      </c>
      <c r="B929" s="44">
        <f t="shared" si="5"/>
        <v>31</v>
      </c>
      <c r="C929" s="35">
        <v>122.58</v>
      </c>
      <c r="D929" s="35">
        <v>297.94099999999997</v>
      </c>
      <c r="E929" s="41">
        <v>729.47900000000004</v>
      </c>
      <c r="F929" s="35">
        <v>1150</v>
      </c>
      <c r="G929" s="35">
        <v>100</v>
      </c>
      <c r="H929" s="43">
        <v>600</v>
      </c>
      <c r="I929" s="35">
        <v>695</v>
      </c>
      <c r="J929" s="35">
        <v>50</v>
      </c>
      <c r="K929" s="36"/>
      <c r="L929" s="36"/>
      <c r="M929" s="36"/>
      <c r="N929" s="36"/>
      <c r="O929" s="36"/>
      <c r="P929" s="36"/>
      <c r="Q929" s="36"/>
      <c r="R929" s="36"/>
      <c r="S929" s="36"/>
      <c r="T929" s="36"/>
    </row>
    <row r="930" spans="1:20" ht="15.75">
      <c r="A930" s="13">
        <v>69822</v>
      </c>
      <c r="B930" s="44">
        <f t="shared" si="5"/>
        <v>28</v>
      </c>
      <c r="C930" s="35">
        <v>122.58</v>
      </c>
      <c r="D930" s="35">
        <v>297.94099999999997</v>
      </c>
      <c r="E930" s="41">
        <v>729.47900000000004</v>
      </c>
      <c r="F930" s="35">
        <v>1150</v>
      </c>
      <c r="G930" s="35">
        <v>100</v>
      </c>
      <c r="H930" s="43">
        <v>600</v>
      </c>
      <c r="I930" s="35">
        <v>695</v>
      </c>
      <c r="J930" s="35">
        <v>50</v>
      </c>
      <c r="K930" s="36"/>
      <c r="L930" s="36"/>
      <c r="M930" s="36"/>
      <c r="N930" s="36"/>
      <c r="O930" s="36"/>
      <c r="P930" s="36"/>
      <c r="Q930" s="36"/>
      <c r="R930" s="36"/>
      <c r="S930" s="36"/>
      <c r="T930" s="36"/>
    </row>
    <row r="931" spans="1:20" ht="15.75">
      <c r="A931" s="13">
        <v>69853</v>
      </c>
      <c r="B931" s="44">
        <f t="shared" si="5"/>
        <v>31</v>
      </c>
      <c r="C931" s="35">
        <v>122.58</v>
      </c>
      <c r="D931" s="35">
        <v>297.94099999999997</v>
      </c>
      <c r="E931" s="41">
        <v>729.47900000000004</v>
      </c>
      <c r="F931" s="35">
        <v>1150</v>
      </c>
      <c r="G931" s="35">
        <v>100</v>
      </c>
      <c r="H931" s="43">
        <v>600</v>
      </c>
      <c r="I931" s="35">
        <v>695</v>
      </c>
      <c r="J931" s="35">
        <v>50</v>
      </c>
      <c r="K931" s="36"/>
      <c r="L931" s="36"/>
      <c r="M931" s="36"/>
      <c r="N931" s="36"/>
      <c r="O931" s="36"/>
      <c r="P931" s="36"/>
      <c r="Q931" s="36"/>
      <c r="R931" s="36"/>
      <c r="S931" s="36"/>
      <c r="T931" s="36"/>
    </row>
    <row r="932" spans="1:20" ht="15.75">
      <c r="A932" s="13">
        <v>69883</v>
      </c>
      <c r="B932" s="44">
        <f t="shared" si="5"/>
        <v>30</v>
      </c>
      <c r="C932" s="35">
        <v>141.29300000000001</v>
      </c>
      <c r="D932" s="35">
        <v>267.99299999999999</v>
      </c>
      <c r="E932" s="41">
        <v>829.71400000000006</v>
      </c>
      <c r="F932" s="35">
        <v>1239</v>
      </c>
      <c r="G932" s="35">
        <v>100</v>
      </c>
      <c r="H932" s="43">
        <v>600</v>
      </c>
      <c r="I932" s="35">
        <v>695</v>
      </c>
      <c r="J932" s="35">
        <v>50</v>
      </c>
      <c r="K932" s="36"/>
      <c r="L932" s="36"/>
      <c r="M932" s="36"/>
      <c r="N932" s="36"/>
      <c r="O932" s="36"/>
      <c r="P932" s="36"/>
      <c r="Q932" s="36"/>
      <c r="R932" s="36"/>
      <c r="S932" s="36"/>
      <c r="T932" s="36"/>
    </row>
    <row r="933" spans="1:20" ht="15.75">
      <c r="A933" s="13">
        <v>69914</v>
      </c>
      <c r="B933" s="44">
        <f t="shared" si="5"/>
        <v>31</v>
      </c>
      <c r="C933" s="35">
        <v>194.20500000000001</v>
      </c>
      <c r="D933" s="35">
        <v>267.46600000000001</v>
      </c>
      <c r="E933" s="41">
        <v>812.32899999999995</v>
      </c>
      <c r="F933" s="35">
        <v>1274</v>
      </c>
      <c r="G933" s="35">
        <v>75</v>
      </c>
      <c r="H933" s="43">
        <v>600</v>
      </c>
      <c r="I933" s="35">
        <v>695</v>
      </c>
      <c r="J933" s="35">
        <v>50</v>
      </c>
      <c r="K933" s="36"/>
      <c r="L933" s="36"/>
      <c r="M933" s="36"/>
      <c r="N933" s="36"/>
      <c r="O933" s="36"/>
      <c r="P933" s="36"/>
      <c r="Q933" s="36"/>
      <c r="R933" s="36"/>
      <c r="S933" s="36"/>
      <c r="T933" s="36"/>
    </row>
    <row r="934" spans="1:20" ht="15.75">
      <c r="A934" s="13">
        <v>69944</v>
      </c>
      <c r="B934" s="44">
        <f t="shared" si="5"/>
        <v>30</v>
      </c>
      <c r="C934" s="35">
        <v>194.20500000000001</v>
      </c>
      <c r="D934" s="35">
        <v>267.46600000000001</v>
      </c>
      <c r="E934" s="41">
        <v>812.32899999999995</v>
      </c>
      <c r="F934" s="35">
        <v>1274</v>
      </c>
      <c r="G934" s="35">
        <v>50</v>
      </c>
      <c r="H934" s="43">
        <v>600</v>
      </c>
      <c r="I934" s="35">
        <v>695</v>
      </c>
      <c r="J934" s="35">
        <v>50</v>
      </c>
      <c r="K934" s="36"/>
      <c r="L934" s="36"/>
      <c r="M934" s="36"/>
      <c r="N934" s="36"/>
      <c r="O934" s="36"/>
      <c r="P934" s="36"/>
      <c r="Q934" s="36"/>
      <c r="R934" s="36"/>
      <c r="S934" s="36"/>
      <c r="T934" s="36"/>
    </row>
    <row r="935" spans="1:20" ht="15.75">
      <c r="A935" s="13">
        <v>69975</v>
      </c>
      <c r="B935" s="44">
        <f t="shared" si="5"/>
        <v>31</v>
      </c>
      <c r="C935" s="35">
        <v>194.20500000000001</v>
      </c>
      <c r="D935" s="35">
        <v>267.46600000000001</v>
      </c>
      <c r="E935" s="41">
        <v>812.32899999999995</v>
      </c>
      <c r="F935" s="35">
        <v>1274</v>
      </c>
      <c r="G935" s="35">
        <v>50</v>
      </c>
      <c r="H935" s="43">
        <v>600</v>
      </c>
      <c r="I935" s="35">
        <v>695</v>
      </c>
      <c r="J935" s="35">
        <v>0</v>
      </c>
      <c r="K935" s="36"/>
      <c r="L935" s="36"/>
      <c r="M935" s="36"/>
      <c r="N935" s="36"/>
      <c r="O935" s="36"/>
      <c r="P935" s="36"/>
      <c r="Q935" s="36"/>
      <c r="R935" s="36"/>
      <c r="S935" s="36"/>
      <c r="T935" s="36"/>
    </row>
    <row r="936" spans="1:20" ht="15.75">
      <c r="A936" s="13">
        <v>70006</v>
      </c>
      <c r="B936" s="44">
        <f t="shared" si="5"/>
        <v>31</v>
      </c>
      <c r="C936" s="35">
        <v>194.20500000000001</v>
      </c>
      <c r="D936" s="35">
        <v>267.46600000000001</v>
      </c>
      <c r="E936" s="41">
        <v>812.32899999999995</v>
      </c>
      <c r="F936" s="35">
        <v>1274</v>
      </c>
      <c r="G936" s="35">
        <v>50</v>
      </c>
      <c r="H936" s="43">
        <v>600</v>
      </c>
      <c r="I936" s="35">
        <v>695</v>
      </c>
      <c r="J936" s="35">
        <v>0</v>
      </c>
      <c r="K936" s="36"/>
      <c r="L936" s="36"/>
      <c r="M936" s="36"/>
      <c r="N936" s="36"/>
      <c r="O936" s="36"/>
      <c r="P936" s="36"/>
      <c r="Q936" s="36"/>
      <c r="R936" s="36"/>
      <c r="S936" s="36"/>
      <c r="T936" s="36"/>
    </row>
    <row r="937" spans="1:20" ht="15.75">
      <c r="A937" s="13">
        <v>70036</v>
      </c>
      <c r="B937" s="44">
        <f t="shared" si="5"/>
        <v>30</v>
      </c>
      <c r="C937" s="35">
        <v>194.20500000000001</v>
      </c>
      <c r="D937" s="35">
        <v>267.46600000000001</v>
      </c>
      <c r="E937" s="41">
        <v>812.32899999999995</v>
      </c>
      <c r="F937" s="35">
        <v>1274</v>
      </c>
      <c r="G937" s="35">
        <v>50</v>
      </c>
      <c r="H937" s="43">
        <v>600</v>
      </c>
      <c r="I937" s="35">
        <v>695</v>
      </c>
      <c r="J937" s="35">
        <v>0</v>
      </c>
      <c r="K937" s="36"/>
      <c r="L937" s="36"/>
      <c r="M937" s="36"/>
      <c r="N937" s="36"/>
      <c r="O937" s="36"/>
      <c r="P937" s="36"/>
      <c r="Q937" s="36"/>
      <c r="R937" s="36"/>
      <c r="S937" s="36"/>
      <c r="T937" s="36"/>
    </row>
    <row r="938" spans="1:20" ht="15.75">
      <c r="A938" s="13">
        <v>70067</v>
      </c>
      <c r="B938" s="44">
        <f t="shared" si="5"/>
        <v>31</v>
      </c>
      <c r="C938" s="35">
        <v>131.881</v>
      </c>
      <c r="D938" s="35">
        <v>277.16699999999997</v>
      </c>
      <c r="E938" s="41">
        <v>829.952</v>
      </c>
      <c r="F938" s="35">
        <v>1239</v>
      </c>
      <c r="G938" s="35">
        <v>75</v>
      </c>
      <c r="H938" s="43">
        <v>600</v>
      </c>
      <c r="I938" s="35">
        <v>695</v>
      </c>
      <c r="J938" s="35">
        <v>0</v>
      </c>
      <c r="K938" s="36"/>
      <c r="L938" s="36"/>
      <c r="M938" s="36"/>
      <c r="N938" s="36"/>
      <c r="O938" s="36"/>
      <c r="P938" s="36"/>
      <c r="Q938" s="36"/>
      <c r="R938" s="36"/>
      <c r="S938" s="36"/>
      <c r="T938" s="36"/>
    </row>
    <row r="939" spans="1:20" ht="15.75">
      <c r="A939" s="13">
        <v>70097</v>
      </c>
      <c r="B939" s="44">
        <f t="shared" si="5"/>
        <v>30</v>
      </c>
      <c r="C939" s="35">
        <v>122.58</v>
      </c>
      <c r="D939" s="35">
        <v>297.94099999999997</v>
      </c>
      <c r="E939" s="41">
        <v>729.47900000000004</v>
      </c>
      <c r="F939" s="35">
        <v>1150</v>
      </c>
      <c r="G939" s="35">
        <v>100</v>
      </c>
      <c r="H939" s="43">
        <v>600</v>
      </c>
      <c r="I939" s="35">
        <v>695</v>
      </c>
      <c r="J939" s="35">
        <v>50</v>
      </c>
      <c r="K939" s="36"/>
      <c r="L939" s="36"/>
      <c r="M939" s="36"/>
      <c r="N939" s="36"/>
      <c r="O939" s="36"/>
      <c r="P939" s="36"/>
      <c r="Q939" s="36"/>
      <c r="R939" s="36"/>
      <c r="S939" s="36"/>
      <c r="T939" s="36"/>
    </row>
    <row r="940" spans="1:20" ht="15.75">
      <c r="A940" s="13">
        <v>70128</v>
      </c>
      <c r="B940" s="44">
        <f t="shared" si="5"/>
        <v>31</v>
      </c>
      <c r="C940" s="35">
        <v>122.58</v>
      </c>
      <c r="D940" s="35">
        <v>297.94099999999997</v>
      </c>
      <c r="E940" s="41">
        <v>729.47900000000004</v>
      </c>
      <c r="F940" s="35">
        <v>1150</v>
      </c>
      <c r="G940" s="35">
        <v>100</v>
      </c>
      <c r="H940" s="43">
        <v>600</v>
      </c>
      <c r="I940" s="35">
        <v>695</v>
      </c>
      <c r="J940" s="35">
        <v>50</v>
      </c>
      <c r="K940" s="36"/>
      <c r="L940" s="36"/>
      <c r="M940" s="36"/>
      <c r="N940" s="36"/>
      <c r="O940" s="36"/>
      <c r="P940" s="36"/>
      <c r="Q940" s="36"/>
      <c r="R940" s="36"/>
      <c r="S940" s="36"/>
      <c r="T940" s="36"/>
    </row>
    <row r="941" spans="1:20" ht="15.75">
      <c r="A941" s="13">
        <v>70159</v>
      </c>
      <c r="B941" s="44">
        <f t="shared" si="5"/>
        <v>31</v>
      </c>
      <c r="C941" s="35">
        <v>122.58</v>
      </c>
      <c r="D941" s="35">
        <v>297.94099999999997</v>
      </c>
      <c r="E941" s="41">
        <v>729.47900000000004</v>
      </c>
      <c r="F941" s="35">
        <v>1150</v>
      </c>
      <c r="G941" s="35">
        <v>100</v>
      </c>
      <c r="H941" s="43">
        <v>600</v>
      </c>
      <c r="I941" s="35">
        <v>695</v>
      </c>
      <c r="J941" s="35">
        <v>50</v>
      </c>
      <c r="K941" s="36"/>
      <c r="L941" s="36"/>
      <c r="M941" s="36"/>
      <c r="N941" s="36"/>
      <c r="O941" s="36"/>
      <c r="P941" s="36"/>
      <c r="Q941" s="36"/>
      <c r="R941" s="36"/>
      <c r="S941" s="36"/>
      <c r="T941" s="36"/>
    </row>
    <row r="942" spans="1:20" ht="15.75">
      <c r="A942" s="13">
        <v>70188</v>
      </c>
      <c r="B942" s="44">
        <f t="shared" si="5"/>
        <v>29</v>
      </c>
      <c r="C942" s="35">
        <v>122.58</v>
      </c>
      <c r="D942" s="35">
        <v>297.94099999999997</v>
      </c>
      <c r="E942" s="41">
        <v>729.47900000000004</v>
      </c>
      <c r="F942" s="35">
        <v>1150</v>
      </c>
      <c r="G942" s="35">
        <v>100</v>
      </c>
      <c r="H942" s="43">
        <v>600</v>
      </c>
      <c r="I942" s="35">
        <v>695</v>
      </c>
      <c r="J942" s="35">
        <v>50</v>
      </c>
      <c r="K942" s="36"/>
      <c r="L942" s="36"/>
      <c r="M942" s="36"/>
      <c r="N942" s="36"/>
      <c r="O942" s="36"/>
      <c r="P942" s="36"/>
      <c r="Q942" s="36"/>
      <c r="R942" s="36"/>
      <c r="S942" s="36"/>
      <c r="T942" s="36"/>
    </row>
    <row r="943" spans="1:20" ht="15.75">
      <c r="A943" s="13">
        <v>70219</v>
      </c>
      <c r="B943" s="44">
        <f t="shared" si="5"/>
        <v>31</v>
      </c>
      <c r="C943" s="35">
        <v>122.58</v>
      </c>
      <c r="D943" s="35">
        <v>297.94099999999997</v>
      </c>
      <c r="E943" s="41">
        <v>729.47900000000004</v>
      </c>
      <c r="F943" s="35">
        <v>1150</v>
      </c>
      <c r="G943" s="35">
        <v>100</v>
      </c>
      <c r="H943" s="43">
        <v>600</v>
      </c>
      <c r="I943" s="35">
        <v>695</v>
      </c>
      <c r="J943" s="35">
        <v>50</v>
      </c>
      <c r="K943" s="36"/>
      <c r="L943" s="36"/>
      <c r="M943" s="36"/>
      <c r="N943" s="36"/>
      <c r="O943" s="36"/>
      <c r="P943" s="36"/>
      <c r="Q943" s="36"/>
      <c r="R943" s="36"/>
      <c r="S943" s="36"/>
      <c r="T943" s="36"/>
    </row>
    <row r="944" spans="1:20" ht="15.75">
      <c r="A944" s="13">
        <v>70249</v>
      </c>
      <c r="B944" s="44">
        <f t="shared" si="5"/>
        <v>30</v>
      </c>
      <c r="C944" s="35">
        <v>141.29300000000001</v>
      </c>
      <c r="D944" s="35">
        <v>267.99299999999999</v>
      </c>
      <c r="E944" s="41">
        <v>829.71400000000006</v>
      </c>
      <c r="F944" s="35">
        <v>1239</v>
      </c>
      <c r="G944" s="35">
        <v>100</v>
      </c>
      <c r="H944" s="43">
        <v>600</v>
      </c>
      <c r="I944" s="35">
        <v>695</v>
      </c>
      <c r="J944" s="35">
        <v>50</v>
      </c>
      <c r="K944" s="36"/>
      <c r="L944" s="36"/>
      <c r="M944" s="36"/>
      <c r="N944" s="36"/>
      <c r="O944" s="36"/>
      <c r="P944" s="36"/>
      <c r="Q944" s="36"/>
      <c r="R944" s="36"/>
      <c r="S944" s="36"/>
      <c r="T944" s="36"/>
    </row>
    <row r="945" spans="1:20" ht="15.75">
      <c r="A945" s="13">
        <v>70280</v>
      </c>
      <c r="B945" s="44">
        <f t="shared" si="5"/>
        <v>31</v>
      </c>
      <c r="C945" s="35">
        <v>194.20500000000001</v>
      </c>
      <c r="D945" s="35">
        <v>267.46600000000001</v>
      </c>
      <c r="E945" s="41">
        <v>812.32899999999995</v>
      </c>
      <c r="F945" s="35">
        <v>1274</v>
      </c>
      <c r="G945" s="35">
        <v>75</v>
      </c>
      <c r="H945" s="43">
        <v>600</v>
      </c>
      <c r="I945" s="35">
        <v>695</v>
      </c>
      <c r="J945" s="35">
        <v>50</v>
      </c>
      <c r="K945" s="36"/>
      <c r="L945" s="36"/>
      <c r="M945" s="36"/>
      <c r="N945" s="36"/>
      <c r="O945" s="36"/>
      <c r="P945" s="36"/>
      <c r="Q945" s="36"/>
      <c r="R945" s="36"/>
      <c r="S945" s="36"/>
      <c r="T945" s="36"/>
    </row>
    <row r="946" spans="1:20" ht="15.75">
      <c r="A946" s="13">
        <v>70310</v>
      </c>
      <c r="B946" s="44">
        <f t="shared" si="5"/>
        <v>30</v>
      </c>
      <c r="C946" s="35">
        <v>194.20500000000001</v>
      </c>
      <c r="D946" s="35">
        <v>267.46600000000001</v>
      </c>
      <c r="E946" s="41">
        <v>812.32899999999995</v>
      </c>
      <c r="F946" s="35">
        <v>1274</v>
      </c>
      <c r="G946" s="35">
        <v>50</v>
      </c>
      <c r="H946" s="43">
        <v>600</v>
      </c>
      <c r="I946" s="35">
        <v>695</v>
      </c>
      <c r="J946" s="35">
        <v>50</v>
      </c>
      <c r="K946" s="36"/>
      <c r="L946" s="36"/>
      <c r="M946" s="36"/>
      <c r="N946" s="36"/>
      <c r="O946" s="36"/>
      <c r="P946" s="36"/>
      <c r="Q946" s="36"/>
      <c r="R946" s="36"/>
      <c r="S946" s="36"/>
      <c r="T946" s="36"/>
    </row>
    <row r="947" spans="1:20" ht="15.75">
      <c r="A947" s="13">
        <v>70341</v>
      </c>
      <c r="B947" s="44">
        <f t="shared" si="5"/>
        <v>31</v>
      </c>
      <c r="C947" s="35">
        <v>194.20500000000001</v>
      </c>
      <c r="D947" s="35">
        <v>267.46600000000001</v>
      </c>
      <c r="E947" s="41">
        <v>812.32899999999995</v>
      </c>
      <c r="F947" s="35">
        <v>1274</v>
      </c>
      <c r="G947" s="35">
        <v>50</v>
      </c>
      <c r="H947" s="43">
        <v>600</v>
      </c>
      <c r="I947" s="35">
        <v>695</v>
      </c>
      <c r="J947" s="35">
        <v>0</v>
      </c>
      <c r="K947" s="36"/>
      <c r="L947" s="36"/>
      <c r="M947" s="36"/>
      <c r="N947" s="36"/>
      <c r="O947" s="36"/>
      <c r="P947" s="36"/>
      <c r="Q947" s="36"/>
      <c r="R947" s="36"/>
      <c r="S947" s="36"/>
      <c r="T947" s="36"/>
    </row>
    <row r="948" spans="1:20" ht="15.75">
      <c r="A948" s="13">
        <v>70372</v>
      </c>
      <c r="B948" s="44">
        <f t="shared" si="5"/>
        <v>31</v>
      </c>
      <c r="C948" s="35">
        <v>194.20500000000001</v>
      </c>
      <c r="D948" s="35">
        <v>267.46600000000001</v>
      </c>
      <c r="E948" s="41">
        <v>812.32899999999995</v>
      </c>
      <c r="F948" s="35">
        <v>1274</v>
      </c>
      <c r="G948" s="35">
        <v>50</v>
      </c>
      <c r="H948" s="43">
        <v>600</v>
      </c>
      <c r="I948" s="35">
        <v>695</v>
      </c>
      <c r="J948" s="35">
        <v>0</v>
      </c>
      <c r="K948" s="36"/>
      <c r="L948" s="36"/>
      <c r="M948" s="36"/>
      <c r="N948" s="36"/>
      <c r="O948" s="36"/>
      <c r="P948" s="36"/>
      <c r="Q948" s="36"/>
      <c r="R948" s="36"/>
      <c r="S948" s="36"/>
      <c r="T948" s="36"/>
    </row>
    <row r="949" spans="1:20" ht="15.75">
      <c r="A949" s="13">
        <v>70402</v>
      </c>
      <c r="B949" s="44">
        <f t="shared" si="5"/>
        <v>30</v>
      </c>
      <c r="C949" s="35">
        <v>194.20500000000001</v>
      </c>
      <c r="D949" s="35">
        <v>267.46600000000001</v>
      </c>
      <c r="E949" s="41">
        <v>812.32899999999995</v>
      </c>
      <c r="F949" s="35">
        <v>1274</v>
      </c>
      <c r="G949" s="35">
        <v>50</v>
      </c>
      <c r="H949" s="43">
        <v>600</v>
      </c>
      <c r="I949" s="35">
        <v>695</v>
      </c>
      <c r="J949" s="35">
        <v>0</v>
      </c>
      <c r="K949" s="36"/>
      <c r="L949" s="36"/>
      <c r="M949" s="36"/>
      <c r="N949" s="36"/>
      <c r="O949" s="36"/>
      <c r="P949" s="36"/>
      <c r="Q949" s="36"/>
      <c r="R949" s="36"/>
      <c r="S949" s="36"/>
      <c r="T949" s="36"/>
    </row>
    <row r="950" spans="1:20" ht="15.75">
      <c r="A950" s="13">
        <v>70433</v>
      </c>
      <c r="B950" s="44">
        <f t="shared" si="5"/>
        <v>31</v>
      </c>
      <c r="C950" s="35">
        <v>131.881</v>
      </c>
      <c r="D950" s="35">
        <v>277.16699999999997</v>
      </c>
      <c r="E950" s="41">
        <v>829.952</v>
      </c>
      <c r="F950" s="35">
        <v>1239</v>
      </c>
      <c r="G950" s="35">
        <v>75</v>
      </c>
      <c r="H950" s="43">
        <v>600</v>
      </c>
      <c r="I950" s="35">
        <v>695</v>
      </c>
      <c r="J950" s="35">
        <v>0</v>
      </c>
      <c r="K950" s="36"/>
      <c r="L950" s="36"/>
      <c r="M950" s="36"/>
      <c r="N950" s="36"/>
      <c r="O950" s="36"/>
      <c r="P950" s="36"/>
      <c r="Q950" s="36"/>
      <c r="R950" s="36"/>
      <c r="S950" s="36"/>
      <c r="T950" s="36"/>
    </row>
    <row r="951" spans="1:20" ht="15.75">
      <c r="A951" s="13">
        <v>70463</v>
      </c>
      <c r="B951" s="44">
        <f t="shared" si="5"/>
        <v>30</v>
      </c>
      <c r="C951" s="35">
        <v>122.58</v>
      </c>
      <c r="D951" s="35">
        <v>297.94099999999997</v>
      </c>
      <c r="E951" s="41">
        <v>729.47900000000004</v>
      </c>
      <c r="F951" s="35">
        <v>1150</v>
      </c>
      <c r="G951" s="35">
        <v>100</v>
      </c>
      <c r="H951" s="43">
        <v>600</v>
      </c>
      <c r="I951" s="35">
        <v>695</v>
      </c>
      <c r="J951" s="35">
        <v>50</v>
      </c>
      <c r="K951" s="36"/>
      <c r="L951" s="36"/>
      <c r="M951" s="36"/>
      <c r="N951" s="36"/>
      <c r="O951" s="36"/>
      <c r="P951" s="36"/>
      <c r="Q951" s="36"/>
      <c r="R951" s="36"/>
      <c r="S951" s="36"/>
      <c r="T951" s="36"/>
    </row>
    <row r="952" spans="1:20" ht="15.75">
      <c r="A952" s="13">
        <v>70494</v>
      </c>
      <c r="B952" s="44">
        <f t="shared" si="5"/>
        <v>31</v>
      </c>
      <c r="C952" s="35">
        <v>122.58</v>
      </c>
      <c r="D952" s="35">
        <v>297.94099999999997</v>
      </c>
      <c r="E952" s="41">
        <v>729.47900000000004</v>
      </c>
      <c r="F952" s="35">
        <v>1150</v>
      </c>
      <c r="G952" s="35">
        <v>100</v>
      </c>
      <c r="H952" s="43">
        <v>600</v>
      </c>
      <c r="I952" s="35">
        <v>695</v>
      </c>
      <c r="J952" s="35">
        <v>50</v>
      </c>
      <c r="K952" s="36"/>
      <c r="L952" s="36"/>
      <c r="M952" s="36"/>
      <c r="N952" s="36"/>
      <c r="O952" s="36"/>
      <c r="P952" s="36"/>
      <c r="Q952" s="36"/>
      <c r="R952" s="36"/>
      <c r="S952" s="36"/>
      <c r="T952" s="36"/>
    </row>
    <row r="953" spans="1:20" ht="15.75">
      <c r="A953" s="13">
        <v>70525</v>
      </c>
      <c r="B953" s="44">
        <f t="shared" si="5"/>
        <v>31</v>
      </c>
      <c r="C953" s="35">
        <v>122.58</v>
      </c>
      <c r="D953" s="35">
        <v>297.94099999999997</v>
      </c>
      <c r="E953" s="41">
        <v>729.47900000000004</v>
      </c>
      <c r="F953" s="35">
        <v>1150</v>
      </c>
      <c r="G953" s="35">
        <v>100</v>
      </c>
      <c r="H953" s="43">
        <v>600</v>
      </c>
      <c r="I953" s="35">
        <v>695</v>
      </c>
      <c r="J953" s="35">
        <v>50</v>
      </c>
      <c r="K953" s="36"/>
      <c r="L953" s="36"/>
      <c r="M953" s="36"/>
      <c r="N953" s="36"/>
      <c r="O953" s="36"/>
      <c r="P953" s="36"/>
      <c r="Q953" s="36"/>
      <c r="R953" s="36"/>
      <c r="S953" s="36"/>
      <c r="T953" s="36"/>
    </row>
    <row r="954" spans="1:20" ht="15.75">
      <c r="A954" s="13">
        <v>70553</v>
      </c>
      <c r="B954" s="44">
        <f t="shared" si="5"/>
        <v>28</v>
      </c>
      <c r="C954" s="35">
        <v>122.58</v>
      </c>
      <c r="D954" s="35">
        <v>297.94099999999997</v>
      </c>
      <c r="E954" s="41">
        <v>729.47900000000004</v>
      </c>
      <c r="F954" s="35">
        <v>1150</v>
      </c>
      <c r="G954" s="35">
        <v>100</v>
      </c>
      <c r="H954" s="43">
        <v>600</v>
      </c>
      <c r="I954" s="35">
        <v>695</v>
      </c>
      <c r="J954" s="35">
        <v>50</v>
      </c>
      <c r="K954" s="36"/>
      <c r="L954" s="36"/>
      <c r="M954" s="36"/>
      <c r="N954" s="36"/>
      <c r="O954" s="36"/>
      <c r="P954" s="36"/>
      <c r="Q954" s="36"/>
      <c r="R954" s="36"/>
      <c r="S954" s="36"/>
      <c r="T954" s="36"/>
    </row>
    <row r="955" spans="1:20" ht="15.75">
      <c r="A955" s="13">
        <v>70584</v>
      </c>
      <c r="B955" s="44">
        <f t="shared" si="5"/>
        <v>31</v>
      </c>
      <c r="C955" s="35">
        <v>122.58</v>
      </c>
      <c r="D955" s="35">
        <v>297.94099999999997</v>
      </c>
      <c r="E955" s="41">
        <v>729.47900000000004</v>
      </c>
      <c r="F955" s="35">
        <v>1150</v>
      </c>
      <c r="G955" s="35">
        <v>100</v>
      </c>
      <c r="H955" s="43">
        <v>600</v>
      </c>
      <c r="I955" s="35">
        <v>695</v>
      </c>
      <c r="J955" s="35">
        <v>50</v>
      </c>
      <c r="K955" s="36"/>
      <c r="L955" s="36"/>
      <c r="M955" s="36"/>
      <c r="N955" s="36"/>
      <c r="O955" s="36"/>
      <c r="P955" s="36"/>
      <c r="Q955" s="36"/>
      <c r="R955" s="36"/>
      <c r="S955" s="36"/>
      <c r="T955" s="36"/>
    </row>
    <row r="956" spans="1:20" ht="15.75">
      <c r="A956" s="13">
        <v>70614</v>
      </c>
      <c r="B956" s="44">
        <f t="shared" si="5"/>
        <v>30</v>
      </c>
      <c r="C956" s="35">
        <v>141.29300000000001</v>
      </c>
      <c r="D956" s="35">
        <v>267.99299999999999</v>
      </c>
      <c r="E956" s="41">
        <v>829.71400000000006</v>
      </c>
      <c r="F956" s="35">
        <v>1239</v>
      </c>
      <c r="G956" s="35">
        <v>100</v>
      </c>
      <c r="H956" s="43">
        <v>600</v>
      </c>
      <c r="I956" s="35">
        <v>695</v>
      </c>
      <c r="J956" s="35">
        <v>50</v>
      </c>
      <c r="K956" s="36"/>
      <c r="L956" s="36"/>
      <c r="M956" s="36"/>
      <c r="N956" s="36"/>
      <c r="O956" s="36"/>
      <c r="P956" s="36"/>
      <c r="Q956" s="36"/>
      <c r="R956" s="36"/>
      <c r="S956" s="36"/>
      <c r="T956" s="36"/>
    </row>
    <row r="957" spans="1:20" ht="15.75">
      <c r="A957" s="13">
        <v>70645</v>
      </c>
      <c r="B957" s="44">
        <f t="shared" si="5"/>
        <v>31</v>
      </c>
      <c r="C957" s="35">
        <v>194.20500000000001</v>
      </c>
      <c r="D957" s="35">
        <v>267.46600000000001</v>
      </c>
      <c r="E957" s="41">
        <v>812.32899999999995</v>
      </c>
      <c r="F957" s="35">
        <v>1274</v>
      </c>
      <c r="G957" s="35">
        <v>75</v>
      </c>
      <c r="H957" s="43">
        <v>600</v>
      </c>
      <c r="I957" s="35">
        <v>695</v>
      </c>
      <c r="J957" s="35">
        <v>50</v>
      </c>
      <c r="K957" s="36"/>
      <c r="L957" s="36"/>
      <c r="M957" s="36"/>
      <c r="N957" s="36"/>
      <c r="O957" s="36"/>
      <c r="P957" s="36"/>
      <c r="Q957" s="36"/>
      <c r="R957" s="36"/>
      <c r="S957" s="36"/>
      <c r="T957" s="36"/>
    </row>
    <row r="958" spans="1:20" ht="15.75">
      <c r="A958" s="13">
        <v>70675</v>
      </c>
      <c r="B958" s="44">
        <f t="shared" si="5"/>
        <v>30</v>
      </c>
      <c r="C958" s="35">
        <v>194.20500000000001</v>
      </c>
      <c r="D958" s="35">
        <v>267.46600000000001</v>
      </c>
      <c r="E958" s="41">
        <v>812.32899999999995</v>
      </c>
      <c r="F958" s="35">
        <v>1274</v>
      </c>
      <c r="G958" s="35">
        <v>50</v>
      </c>
      <c r="H958" s="43">
        <v>600</v>
      </c>
      <c r="I958" s="35">
        <v>695</v>
      </c>
      <c r="J958" s="35">
        <v>50</v>
      </c>
      <c r="K958" s="36"/>
      <c r="L958" s="36"/>
      <c r="M958" s="36"/>
      <c r="N958" s="36"/>
      <c r="O958" s="36"/>
      <c r="P958" s="36"/>
      <c r="Q958" s="36"/>
      <c r="R958" s="36"/>
      <c r="S958" s="36"/>
      <c r="T958" s="36"/>
    </row>
    <row r="959" spans="1:20" ht="15.75">
      <c r="A959" s="13">
        <v>70706</v>
      </c>
      <c r="B959" s="44">
        <f t="shared" si="5"/>
        <v>31</v>
      </c>
      <c r="C959" s="35">
        <v>194.20500000000001</v>
      </c>
      <c r="D959" s="35">
        <v>267.46600000000001</v>
      </c>
      <c r="E959" s="41">
        <v>812.32899999999995</v>
      </c>
      <c r="F959" s="35">
        <v>1274</v>
      </c>
      <c r="G959" s="35">
        <v>50</v>
      </c>
      <c r="H959" s="43">
        <v>600</v>
      </c>
      <c r="I959" s="35">
        <v>695</v>
      </c>
      <c r="J959" s="35">
        <v>0</v>
      </c>
      <c r="K959" s="36"/>
      <c r="L959" s="36"/>
      <c r="M959" s="36"/>
      <c r="N959" s="36"/>
      <c r="O959" s="36"/>
      <c r="P959" s="36"/>
      <c r="Q959" s="36"/>
      <c r="R959" s="36"/>
      <c r="S959" s="36"/>
      <c r="T959" s="36"/>
    </row>
    <row r="960" spans="1:20" ht="15.75">
      <c r="A960" s="13">
        <v>70737</v>
      </c>
      <c r="B960" s="44">
        <f t="shared" si="5"/>
        <v>31</v>
      </c>
      <c r="C960" s="35">
        <v>194.20500000000001</v>
      </c>
      <c r="D960" s="35">
        <v>267.46600000000001</v>
      </c>
      <c r="E960" s="41">
        <v>812.32899999999995</v>
      </c>
      <c r="F960" s="35">
        <v>1274</v>
      </c>
      <c r="G960" s="35">
        <v>50</v>
      </c>
      <c r="H960" s="43">
        <v>600</v>
      </c>
      <c r="I960" s="35">
        <v>695</v>
      </c>
      <c r="J960" s="35">
        <v>0</v>
      </c>
      <c r="K960" s="36"/>
      <c r="L960" s="36"/>
      <c r="M960" s="36"/>
      <c r="N960" s="36"/>
      <c r="O960" s="36"/>
      <c r="P960" s="36"/>
      <c r="Q960" s="36"/>
      <c r="R960" s="36"/>
      <c r="S960" s="36"/>
      <c r="T960" s="36"/>
    </row>
    <row r="961" spans="1:20" ht="15.75">
      <c r="A961" s="13">
        <v>70767</v>
      </c>
      <c r="B961" s="44">
        <f t="shared" si="5"/>
        <v>30</v>
      </c>
      <c r="C961" s="35">
        <v>194.20500000000001</v>
      </c>
      <c r="D961" s="35">
        <v>267.46600000000001</v>
      </c>
      <c r="E961" s="41">
        <v>812.32899999999995</v>
      </c>
      <c r="F961" s="35">
        <v>1274</v>
      </c>
      <c r="G961" s="35">
        <v>50</v>
      </c>
      <c r="H961" s="43">
        <v>600</v>
      </c>
      <c r="I961" s="35">
        <v>695</v>
      </c>
      <c r="J961" s="35">
        <v>0</v>
      </c>
      <c r="K961" s="36"/>
      <c r="L961" s="36"/>
      <c r="M961" s="36"/>
      <c r="N961" s="36"/>
      <c r="O961" s="36"/>
      <c r="P961" s="36"/>
      <c r="Q961" s="36"/>
      <c r="R961" s="36"/>
      <c r="S961" s="36"/>
      <c r="T961" s="36"/>
    </row>
    <row r="962" spans="1:20" ht="15.75">
      <c r="A962" s="13">
        <v>70798</v>
      </c>
      <c r="B962" s="44">
        <f t="shared" si="5"/>
        <v>31</v>
      </c>
      <c r="C962" s="35">
        <v>131.881</v>
      </c>
      <c r="D962" s="35">
        <v>277.16699999999997</v>
      </c>
      <c r="E962" s="41">
        <v>829.952</v>
      </c>
      <c r="F962" s="35">
        <v>1239</v>
      </c>
      <c r="G962" s="35">
        <v>75</v>
      </c>
      <c r="H962" s="43">
        <v>600</v>
      </c>
      <c r="I962" s="35">
        <v>695</v>
      </c>
      <c r="J962" s="35">
        <v>0</v>
      </c>
      <c r="K962" s="36"/>
      <c r="L962" s="36"/>
      <c r="M962" s="36"/>
      <c r="N962" s="36"/>
      <c r="O962" s="36"/>
      <c r="P962" s="36"/>
      <c r="Q962" s="36"/>
      <c r="R962" s="36"/>
      <c r="S962" s="36"/>
      <c r="T962" s="36"/>
    </row>
    <row r="963" spans="1:20" ht="15.75">
      <c r="A963" s="13">
        <v>70828</v>
      </c>
      <c r="B963" s="44">
        <f t="shared" si="5"/>
        <v>30</v>
      </c>
      <c r="C963" s="35">
        <v>122.58</v>
      </c>
      <c r="D963" s="35">
        <v>297.94099999999997</v>
      </c>
      <c r="E963" s="41">
        <v>729.47900000000004</v>
      </c>
      <c r="F963" s="35">
        <v>1150</v>
      </c>
      <c r="G963" s="35">
        <v>100</v>
      </c>
      <c r="H963" s="43">
        <v>600</v>
      </c>
      <c r="I963" s="35">
        <v>695</v>
      </c>
      <c r="J963" s="35">
        <v>50</v>
      </c>
      <c r="K963" s="36"/>
      <c r="L963" s="36"/>
      <c r="M963" s="36"/>
      <c r="N963" s="36"/>
      <c r="O963" s="36"/>
      <c r="P963" s="36"/>
      <c r="Q963" s="36"/>
      <c r="R963" s="36"/>
      <c r="S963" s="36"/>
      <c r="T963" s="36"/>
    </row>
    <row r="964" spans="1:20" ht="15.75">
      <c r="A964" s="13">
        <v>70859</v>
      </c>
      <c r="B964" s="44">
        <f t="shared" si="5"/>
        <v>31</v>
      </c>
      <c r="C964" s="35">
        <v>122.58</v>
      </c>
      <c r="D964" s="35">
        <v>297.94099999999997</v>
      </c>
      <c r="E964" s="41">
        <v>729.47900000000004</v>
      </c>
      <c r="F964" s="35">
        <v>1150</v>
      </c>
      <c r="G964" s="35">
        <v>100</v>
      </c>
      <c r="H964" s="43">
        <v>600</v>
      </c>
      <c r="I964" s="35">
        <v>695</v>
      </c>
      <c r="J964" s="35">
        <v>50</v>
      </c>
      <c r="K964" s="36"/>
      <c r="L964" s="36"/>
      <c r="M964" s="36"/>
      <c r="N964" s="36"/>
      <c r="O964" s="36"/>
      <c r="P964" s="36"/>
      <c r="Q964" s="36"/>
      <c r="R964" s="36"/>
      <c r="S964" s="36"/>
      <c r="T964" s="36"/>
    </row>
    <row r="965" spans="1:20" ht="15.75">
      <c r="A965" s="13">
        <v>70890</v>
      </c>
      <c r="B965" s="44">
        <f t="shared" ref="B965:B1028" si="6">EOMONTH(A965,0)-EOMONTH(A965,-1)</f>
        <v>31</v>
      </c>
      <c r="C965" s="35">
        <v>122.58</v>
      </c>
      <c r="D965" s="35">
        <v>297.94099999999997</v>
      </c>
      <c r="E965" s="41">
        <v>729.47900000000004</v>
      </c>
      <c r="F965" s="35">
        <v>1150</v>
      </c>
      <c r="G965" s="35">
        <v>100</v>
      </c>
      <c r="H965" s="43">
        <v>600</v>
      </c>
      <c r="I965" s="35">
        <v>695</v>
      </c>
      <c r="J965" s="35">
        <v>50</v>
      </c>
      <c r="K965" s="36"/>
      <c r="L965" s="36"/>
      <c r="M965" s="36"/>
      <c r="N965" s="36"/>
      <c r="O965" s="36"/>
      <c r="P965" s="36"/>
      <c r="Q965" s="36"/>
      <c r="R965" s="36"/>
      <c r="S965" s="36"/>
      <c r="T965" s="36"/>
    </row>
    <row r="966" spans="1:20" ht="15.75">
      <c r="A966" s="13">
        <v>70918</v>
      </c>
      <c r="B966" s="44">
        <f t="shared" si="6"/>
        <v>28</v>
      </c>
      <c r="C966" s="35">
        <v>122.58</v>
      </c>
      <c r="D966" s="35">
        <v>297.94099999999997</v>
      </c>
      <c r="E966" s="41">
        <v>729.47900000000004</v>
      </c>
      <c r="F966" s="35">
        <v>1150</v>
      </c>
      <c r="G966" s="35">
        <v>100</v>
      </c>
      <c r="H966" s="43">
        <v>600</v>
      </c>
      <c r="I966" s="35">
        <v>695</v>
      </c>
      <c r="J966" s="35">
        <v>50</v>
      </c>
      <c r="K966" s="36"/>
      <c r="L966" s="36"/>
      <c r="M966" s="36"/>
      <c r="N966" s="36"/>
      <c r="O966" s="36"/>
      <c r="P966" s="36"/>
      <c r="Q966" s="36"/>
      <c r="R966" s="36"/>
      <c r="S966" s="36"/>
      <c r="T966" s="36"/>
    </row>
    <row r="967" spans="1:20" ht="15.75">
      <c r="A967" s="13">
        <v>70949</v>
      </c>
      <c r="B967" s="44">
        <f t="shared" si="6"/>
        <v>31</v>
      </c>
      <c r="C967" s="35">
        <v>122.58</v>
      </c>
      <c r="D967" s="35">
        <v>297.94099999999997</v>
      </c>
      <c r="E967" s="41">
        <v>729.47900000000004</v>
      </c>
      <c r="F967" s="35">
        <v>1150</v>
      </c>
      <c r="G967" s="35">
        <v>100</v>
      </c>
      <c r="H967" s="43">
        <v>600</v>
      </c>
      <c r="I967" s="35">
        <v>695</v>
      </c>
      <c r="J967" s="35">
        <v>50</v>
      </c>
      <c r="K967" s="36"/>
      <c r="L967" s="36"/>
      <c r="M967" s="36"/>
      <c r="N967" s="36"/>
      <c r="O967" s="36"/>
      <c r="P967" s="36"/>
      <c r="Q967" s="36"/>
      <c r="R967" s="36"/>
      <c r="S967" s="36"/>
      <c r="T967" s="36"/>
    </row>
    <row r="968" spans="1:20" ht="15.75">
      <c r="A968" s="13">
        <v>70979</v>
      </c>
      <c r="B968" s="44">
        <f t="shared" si="6"/>
        <v>30</v>
      </c>
      <c r="C968" s="35">
        <v>141.29300000000001</v>
      </c>
      <c r="D968" s="35">
        <v>267.99299999999999</v>
      </c>
      <c r="E968" s="41">
        <v>829.71400000000006</v>
      </c>
      <c r="F968" s="35">
        <v>1239</v>
      </c>
      <c r="G968" s="35">
        <v>100</v>
      </c>
      <c r="H968" s="43">
        <v>600</v>
      </c>
      <c r="I968" s="35">
        <v>695</v>
      </c>
      <c r="J968" s="35">
        <v>50</v>
      </c>
      <c r="K968" s="36"/>
      <c r="L968" s="36"/>
      <c r="M968" s="36"/>
      <c r="N968" s="36"/>
      <c r="O968" s="36"/>
      <c r="P968" s="36"/>
      <c r="Q968" s="36"/>
      <c r="R968" s="36"/>
      <c r="S968" s="36"/>
      <c r="T968" s="36"/>
    </row>
    <row r="969" spans="1:20" ht="15.75">
      <c r="A969" s="13">
        <v>71010</v>
      </c>
      <c r="B969" s="44">
        <f t="shared" si="6"/>
        <v>31</v>
      </c>
      <c r="C969" s="35">
        <v>194.20500000000001</v>
      </c>
      <c r="D969" s="35">
        <v>267.46600000000001</v>
      </c>
      <c r="E969" s="41">
        <v>812.32899999999995</v>
      </c>
      <c r="F969" s="35">
        <v>1274</v>
      </c>
      <c r="G969" s="35">
        <v>75</v>
      </c>
      <c r="H969" s="43">
        <v>600</v>
      </c>
      <c r="I969" s="35">
        <v>695</v>
      </c>
      <c r="J969" s="35">
        <v>50</v>
      </c>
      <c r="K969" s="36"/>
      <c r="L969" s="36"/>
      <c r="M969" s="36"/>
      <c r="N969" s="36"/>
      <c r="O969" s="36"/>
      <c r="P969" s="36"/>
      <c r="Q969" s="36"/>
      <c r="R969" s="36"/>
      <c r="S969" s="36"/>
      <c r="T969" s="36"/>
    </row>
    <row r="970" spans="1:20" ht="15.75">
      <c r="A970" s="13">
        <v>71040</v>
      </c>
      <c r="B970" s="44">
        <f t="shared" si="6"/>
        <v>30</v>
      </c>
      <c r="C970" s="35">
        <v>194.20500000000001</v>
      </c>
      <c r="D970" s="35">
        <v>267.46600000000001</v>
      </c>
      <c r="E970" s="41">
        <v>812.32899999999995</v>
      </c>
      <c r="F970" s="35">
        <v>1274</v>
      </c>
      <c r="G970" s="35">
        <v>50</v>
      </c>
      <c r="H970" s="43">
        <v>600</v>
      </c>
      <c r="I970" s="35">
        <v>695</v>
      </c>
      <c r="J970" s="35">
        <v>50</v>
      </c>
      <c r="K970" s="36"/>
      <c r="L970" s="36"/>
      <c r="M970" s="36"/>
      <c r="N970" s="36"/>
      <c r="O970" s="36"/>
      <c r="P970" s="36"/>
      <c r="Q970" s="36"/>
      <c r="R970" s="36"/>
      <c r="S970" s="36"/>
      <c r="T970" s="36"/>
    </row>
    <row r="971" spans="1:20" ht="15.75">
      <c r="A971" s="13">
        <v>71071</v>
      </c>
      <c r="B971" s="44">
        <f t="shared" si="6"/>
        <v>31</v>
      </c>
      <c r="C971" s="35">
        <v>194.20500000000001</v>
      </c>
      <c r="D971" s="35">
        <v>267.46600000000001</v>
      </c>
      <c r="E971" s="41">
        <v>812.32899999999995</v>
      </c>
      <c r="F971" s="35">
        <v>1274</v>
      </c>
      <c r="G971" s="35">
        <v>50</v>
      </c>
      <c r="H971" s="43">
        <v>600</v>
      </c>
      <c r="I971" s="35">
        <v>695</v>
      </c>
      <c r="J971" s="35">
        <v>0</v>
      </c>
      <c r="K971" s="36"/>
      <c r="L971" s="36"/>
      <c r="M971" s="36"/>
      <c r="N971" s="36"/>
      <c r="O971" s="36"/>
      <c r="P971" s="36"/>
      <c r="Q971" s="36"/>
      <c r="R971" s="36"/>
      <c r="S971" s="36"/>
      <c r="T971" s="36"/>
    </row>
    <row r="972" spans="1:20" ht="15.75">
      <c r="A972" s="13">
        <v>71102</v>
      </c>
      <c r="B972" s="44">
        <f t="shared" si="6"/>
        <v>31</v>
      </c>
      <c r="C972" s="35">
        <v>194.20500000000001</v>
      </c>
      <c r="D972" s="35">
        <v>267.46600000000001</v>
      </c>
      <c r="E972" s="41">
        <v>812.32899999999995</v>
      </c>
      <c r="F972" s="35">
        <v>1274</v>
      </c>
      <c r="G972" s="35">
        <v>50</v>
      </c>
      <c r="H972" s="43">
        <v>600</v>
      </c>
      <c r="I972" s="35">
        <v>695</v>
      </c>
      <c r="J972" s="35">
        <v>0</v>
      </c>
      <c r="K972" s="36"/>
      <c r="L972" s="36"/>
      <c r="M972" s="36"/>
      <c r="N972" s="36"/>
      <c r="O972" s="36"/>
      <c r="P972" s="36"/>
      <c r="Q972" s="36"/>
      <c r="R972" s="36"/>
      <c r="S972" s="36"/>
      <c r="T972" s="36"/>
    </row>
    <row r="973" spans="1:20" ht="15.75">
      <c r="A973" s="13">
        <v>71132</v>
      </c>
      <c r="B973" s="44">
        <f t="shared" si="6"/>
        <v>30</v>
      </c>
      <c r="C973" s="35">
        <v>194.20500000000001</v>
      </c>
      <c r="D973" s="35">
        <v>267.46600000000001</v>
      </c>
      <c r="E973" s="41">
        <v>812.32899999999995</v>
      </c>
      <c r="F973" s="35">
        <v>1274</v>
      </c>
      <c r="G973" s="35">
        <v>50</v>
      </c>
      <c r="H973" s="43">
        <v>600</v>
      </c>
      <c r="I973" s="35">
        <v>695</v>
      </c>
      <c r="J973" s="35">
        <v>0</v>
      </c>
      <c r="K973" s="36"/>
      <c r="L973" s="36"/>
      <c r="M973" s="36"/>
      <c r="N973" s="36"/>
      <c r="O973" s="36"/>
      <c r="P973" s="36"/>
      <c r="Q973" s="36"/>
      <c r="R973" s="36"/>
      <c r="S973" s="36"/>
      <c r="T973" s="36"/>
    </row>
    <row r="974" spans="1:20" ht="15.75">
      <c r="A974" s="13">
        <v>71163</v>
      </c>
      <c r="B974" s="44">
        <f t="shared" si="6"/>
        <v>31</v>
      </c>
      <c r="C974" s="35">
        <v>131.881</v>
      </c>
      <c r="D974" s="35">
        <v>277.16699999999997</v>
      </c>
      <c r="E974" s="41">
        <v>829.952</v>
      </c>
      <c r="F974" s="35">
        <v>1239</v>
      </c>
      <c r="G974" s="35">
        <v>75</v>
      </c>
      <c r="H974" s="43">
        <v>600</v>
      </c>
      <c r="I974" s="35">
        <v>695</v>
      </c>
      <c r="J974" s="35">
        <v>0</v>
      </c>
      <c r="K974" s="36"/>
      <c r="L974" s="36"/>
      <c r="M974" s="36"/>
      <c r="N974" s="36"/>
      <c r="O974" s="36"/>
      <c r="P974" s="36"/>
      <c r="Q974" s="36"/>
      <c r="R974" s="36"/>
      <c r="S974" s="36"/>
      <c r="T974" s="36"/>
    </row>
    <row r="975" spans="1:20" ht="15.75">
      <c r="A975" s="13">
        <v>71193</v>
      </c>
      <c r="B975" s="44">
        <f t="shared" si="6"/>
        <v>30</v>
      </c>
      <c r="C975" s="35">
        <v>122.58</v>
      </c>
      <c r="D975" s="35">
        <v>297.94099999999997</v>
      </c>
      <c r="E975" s="41">
        <v>729.47900000000004</v>
      </c>
      <c r="F975" s="35">
        <v>1150</v>
      </c>
      <c r="G975" s="35">
        <v>100</v>
      </c>
      <c r="H975" s="43">
        <v>600</v>
      </c>
      <c r="I975" s="35">
        <v>695</v>
      </c>
      <c r="J975" s="35">
        <v>50</v>
      </c>
      <c r="K975" s="36"/>
      <c r="L975" s="36"/>
      <c r="M975" s="36"/>
      <c r="N975" s="36"/>
      <c r="O975" s="36"/>
      <c r="P975" s="36"/>
      <c r="Q975" s="36"/>
      <c r="R975" s="36"/>
      <c r="S975" s="36"/>
      <c r="T975" s="36"/>
    </row>
    <row r="976" spans="1:20" ht="15.75">
      <c r="A976" s="13">
        <v>71224</v>
      </c>
      <c r="B976" s="44">
        <f t="shared" si="6"/>
        <v>31</v>
      </c>
      <c r="C976" s="35">
        <v>122.58</v>
      </c>
      <c r="D976" s="35">
        <v>297.94099999999997</v>
      </c>
      <c r="E976" s="41">
        <v>729.47900000000004</v>
      </c>
      <c r="F976" s="35">
        <v>1150</v>
      </c>
      <c r="G976" s="35">
        <v>100</v>
      </c>
      <c r="H976" s="43">
        <v>600</v>
      </c>
      <c r="I976" s="35">
        <v>695</v>
      </c>
      <c r="J976" s="35">
        <v>50</v>
      </c>
      <c r="K976" s="36"/>
      <c r="L976" s="36"/>
      <c r="M976" s="36"/>
      <c r="N976" s="36"/>
      <c r="O976" s="36"/>
      <c r="P976" s="36"/>
      <c r="Q976" s="36"/>
      <c r="R976" s="36"/>
      <c r="S976" s="36"/>
      <c r="T976" s="36"/>
    </row>
    <row r="977" spans="1:20" ht="15.75">
      <c r="A977" s="13">
        <v>71255</v>
      </c>
      <c r="B977" s="44">
        <f t="shared" si="6"/>
        <v>31</v>
      </c>
      <c r="C977" s="35">
        <v>122.58</v>
      </c>
      <c r="D977" s="35">
        <v>297.94099999999997</v>
      </c>
      <c r="E977" s="41">
        <v>729.47900000000004</v>
      </c>
      <c r="F977" s="35">
        <v>1150</v>
      </c>
      <c r="G977" s="35">
        <v>100</v>
      </c>
      <c r="H977" s="43">
        <v>600</v>
      </c>
      <c r="I977" s="35">
        <v>695</v>
      </c>
      <c r="J977" s="35">
        <v>50</v>
      </c>
      <c r="K977" s="36"/>
      <c r="L977" s="36"/>
      <c r="M977" s="36"/>
      <c r="N977" s="36"/>
      <c r="O977" s="36"/>
      <c r="P977" s="36"/>
      <c r="Q977" s="36"/>
      <c r="R977" s="36"/>
      <c r="S977" s="36"/>
      <c r="T977" s="36"/>
    </row>
    <row r="978" spans="1:20" ht="15.75">
      <c r="A978" s="13">
        <v>71283</v>
      </c>
      <c r="B978" s="44">
        <f t="shared" si="6"/>
        <v>28</v>
      </c>
      <c r="C978" s="35">
        <v>122.58</v>
      </c>
      <c r="D978" s="35">
        <v>297.94099999999997</v>
      </c>
      <c r="E978" s="41">
        <v>729.47900000000004</v>
      </c>
      <c r="F978" s="35">
        <v>1150</v>
      </c>
      <c r="G978" s="35">
        <v>100</v>
      </c>
      <c r="H978" s="43">
        <v>600</v>
      </c>
      <c r="I978" s="35">
        <v>695</v>
      </c>
      <c r="J978" s="35">
        <v>50</v>
      </c>
      <c r="K978" s="36"/>
      <c r="L978" s="36"/>
      <c r="M978" s="36"/>
      <c r="N978" s="36"/>
      <c r="O978" s="36"/>
      <c r="P978" s="36"/>
      <c r="Q978" s="36"/>
      <c r="R978" s="36"/>
      <c r="S978" s="36"/>
      <c r="T978" s="36"/>
    </row>
    <row r="979" spans="1:20" ht="15.75">
      <c r="A979" s="13">
        <v>71314</v>
      </c>
      <c r="B979" s="44">
        <f t="shared" si="6"/>
        <v>31</v>
      </c>
      <c r="C979" s="35">
        <v>122.58</v>
      </c>
      <c r="D979" s="35">
        <v>297.94099999999997</v>
      </c>
      <c r="E979" s="41">
        <v>729.47900000000004</v>
      </c>
      <c r="F979" s="35">
        <v>1150</v>
      </c>
      <c r="G979" s="35">
        <v>100</v>
      </c>
      <c r="H979" s="43">
        <v>600</v>
      </c>
      <c r="I979" s="35">
        <v>695</v>
      </c>
      <c r="J979" s="35">
        <v>50</v>
      </c>
      <c r="K979" s="36"/>
      <c r="L979" s="36"/>
      <c r="M979" s="36"/>
      <c r="N979" s="36"/>
      <c r="O979" s="36"/>
      <c r="P979" s="36"/>
      <c r="Q979" s="36"/>
      <c r="R979" s="36"/>
      <c r="S979" s="36"/>
      <c r="T979" s="36"/>
    </row>
    <row r="980" spans="1:20" ht="15.75">
      <c r="A980" s="13">
        <v>71344</v>
      </c>
      <c r="B980" s="44">
        <f t="shared" si="6"/>
        <v>30</v>
      </c>
      <c r="C980" s="35">
        <v>141.29300000000001</v>
      </c>
      <c r="D980" s="35">
        <v>267.99299999999999</v>
      </c>
      <c r="E980" s="41">
        <v>829.71400000000006</v>
      </c>
      <c r="F980" s="35">
        <v>1239</v>
      </c>
      <c r="G980" s="35">
        <v>100</v>
      </c>
      <c r="H980" s="43">
        <v>600</v>
      </c>
      <c r="I980" s="35">
        <v>695</v>
      </c>
      <c r="J980" s="35">
        <v>50</v>
      </c>
      <c r="K980" s="36"/>
      <c r="L980" s="36"/>
      <c r="M980" s="36"/>
      <c r="N980" s="36"/>
      <c r="O980" s="36"/>
      <c r="P980" s="36"/>
      <c r="Q980" s="36"/>
      <c r="R980" s="36"/>
      <c r="S980" s="36"/>
      <c r="T980" s="36"/>
    </row>
    <row r="981" spans="1:20" ht="15.75">
      <c r="A981" s="13">
        <v>71375</v>
      </c>
      <c r="B981" s="44">
        <f t="shared" si="6"/>
        <v>31</v>
      </c>
      <c r="C981" s="35">
        <v>194.20500000000001</v>
      </c>
      <c r="D981" s="35">
        <v>267.46600000000001</v>
      </c>
      <c r="E981" s="41">
        <v>812.32899999999995</v>
      </c>
      <c r="F981" s="35">
        <v>1274</v>
      </c>
      <c r="G981" s="35">
        <v>75</v>
      </c>
      <c r="H981" s="43">
        <v>600</v>
      </c>
      <c r="I981" s="35">
        <v>695</v>
      </c>
      <c r="J981" s="35">
        <v>50</v>
      </c>
      <c r="K981" s="36"/>
      <c r="L981" s="36"/>
      <c r="M981" s="36"/>
      <c r="N981" s="36"/>
      <c r="O981" s="36"/>
      <c r="P981" s="36"/>
      <c r="Q981" s="36"/>
      <c r="R981" s="36"/>
      <c r="S981" s="36"/>
      <c r="T981" s="36"/>
    </row>
    <row r="982" spans="1:20" ht="15.75">
      <c r="A982" s="13">
        <v>71405</v>
      </c>
      <c r="B982" s="44">
        <f t="shared" si="6"/>
        <v>30</v>
      </c>
      <c r="C982" s="35">
        <v>194.20500000000001</v>
      </c>
      <c r="D982" s="35">
        <v>267.46600000000001</v>
      </c>
      <c r="E982" s="41">
        <v>812.32899999999995</v>
      </c>
      <c r="F982" s="35">
        <v>1274</v>
      </c>
      <c r="G982" s="35">
        <v>50</v>
      </c>
      <c r="H982" s="43">
        <v>600</v>
      </c>
      <c r="I982" s="35">
        <v>695</v>
      </c>
      <c r="J982" s="35">
        <v>50</v>
      </c>
      <c r="K982" s="36"/>
      <c r="L982" s="36"/>
      <c r="M982" s="36"/>
      <c r="N982" s="36"/>
      <c r="O982" s="36"/>
      <c r="P982" s="36"/>
      <c r="Q982" s="36"/>
      <c r="R982" s="36"/>
      <c r="S982" s="36"/>
      <c r="T982" s="36"/>
    </row>
    <row r="983" spans="1:20" ht="15.75">
      <c r="A983" s="13">
        <v>71436</v>
      </c>
      <c r="B983" s="44">
        <f t="shared" si="6"/>
        <v>31</v>
      </c>
      <c r="C983" s="35">
        <v>194.20500000000001</v>
      </c>
      <c r="D983" s="35">
        <v>267.46600000000001</v>
      </c>
      <c r="E983" s="41">
        <v>812.32899999999995</v>
      </c>
      <c r="F983" s="35">
        <v>1274</v>
      </c>
      <c r="G983" s="35">
        <v>50</v>
      </c>
      <c r="H983" s="43">
        <v>600</v>
      </c>
      <c r="I983" s="35">
        <v>695</v>
      </c>
      <c r="J983" s="35">
        <v>0</v>
      </c>
      <c r="K983" s="36"/>
      <c r="L983" s="36"/>
      <c r="M983" s="36"/>
      <c r="N983" s="36"/>
      <c r="O983" s="36"/>
      <c r="P983" s="36"/>
      <c r="Q983" s="36"/>
      <c r="R983" s="36"/>
      <c r="S983" s="36"/>
      <c r="T983" s="36"/>
    </row>
    <row r="984" spans="1:20" ht="15.75">
      <c r="A984" s="13">
        <v>71467</v>
      </c>
      <c r="B984" s="44">
        <f t="shared" si="6"/>
        <v>31</v>
      </c>
      <c r="C984" s="35">
        <v>194.20500000000001</v>
      </c>
      <c r="D984" s="35">
        <v>267.46600000000001</v>
      </c>
      <c r="E984" s="41">
        <v>812.32899999999995</v>
      </c>
      <c r="F984" s="35">
        <v>1274</v>
      </c>
      <c r="G984" s="35">
        <v>50</v>
      </c>
      <c r="H984" s="43">
        <v>600</v>
      </c>
      <c r="I984" s="35">
        <v>695</v>
      </c>
      <c r="J984" s="35">
        <v>0</v>
      </c>
      <c r="K984" s="36"/>
      <c r="L984" s="36"/>
      <c r="M984" s="36"/>
      <c r="N984" s="36"/>
      <c r="O984" s="36"/>
      <c r="P984" s="36"/>
      <c r="Q984" s="36"/>
      <c r="R984" s="36"/>
      <c r="S984" s="36"/>
      <c r="T984" s="36"/>
    </row>
    <row r="985" spans="1:20" ht="15.75">
      <c r="A985" s="13">
        <v>71497</v>
      </c>
      <c r="B985" s="44">
        <f t="shared" si="6"/>
        <v>30</v>
      </c>
      <c r="C985" s="35">
        <v>194.20500000000001</v>
      </c>
      <c r="D985" s="35">
        <v>267.46600000000001</v>
      </c>
      <c r="E985" s="41">
        <v>812.32899999999995</v>
      </c>
      <c r="F985" s="35">
        <v>1274</v>
      </c>
      <c r="G985" s="35">
        <v>50</v>
      </c>
      <c r="H985" s="43">
        <v>600</v>
      </c>
      <c r="I985" s="35">
        <v>695</v>
      </c>
      <c r="J985" s="35">
        <v>0</v>
      </c>
      <c r="K985" s="36"/>
      <c r="L985" s="36"/>
      <c r="M985" s="36"/>
      <c r="N985" s="36"/>
      <c r="O985" s="36"/>
      <c r="P985" s="36"/>
      <c r="Q985" s="36"/>
      <c r="R985" s="36"/>
      <c r="S985" s="36"/>
      <c r="T985" s="36"/>
    </row>
    <row r="986" spans="1:20" ht="15.75">
      <c r="A986" s="13">
        <v>71528</v>
      </c>
      <c r="B986" s="44">
        <f t="shared" si="6"/>
        <v>31</v>
      </c>
      <c r="C986" s="35">
        <v>131.881</v>
      </c>
      <c r="D986" s="35">
        <v>277.16699999999997</v>
      </c>
      <c r="E986" s="41">
        <v>829.952</v>
      </c>
      <c r="F986" s="35">
        <v>1239</v>
      </c>
      <c r="G986" s="35">
        <v>75</v>
      </c>
      <c r="H986" s="43">
        <v>600</v>
      </c>
      <c r="I986" s="35">
        <v>695</v>
      </c>
      <c r="J986" s="35">
        <v>0</v>
      </c>
      <c r="K986" s="36"/>
      <c r="L986" s="36"/>
      <c r="M986" s="36"/>
      <c r="N986" s="36"/>
      <c r="O986" s="36"/>
      <c r="P986" s="36"/>
      <c r="Q986" s="36"/>
      <c r="R986" s="36"/>
      <c r="S986" s="36"/>
      <c r="T986" s="36"/>
    </row>
    <row r="987" spans="1:20" ht="15.75">
      <c r="A987" s="13">
        <v>71558</v>
      </c>
      <c r="B987" s="44">
        <f t="shared" si="6"/>
        <v>30</v>
      </c>
      <c r="C987" s="35">
        <v>122.58</v>
      </c>
      <c r="D987" s="35">
        <v>297.94099999999997</v>
      </c>
      <c r="E987" s="41">
        <v>729.47900000000004</v>
      </c>
      <c r="F987" s="35">
        <v>1150</v>
      </c>
      <c r="G987" s="35">
        <v>100</v>
      </c>
      <c r="H987" s="43">
        <v>600</v>
      </c>
      <c r="I987" s="35">
        <v>695</v>
      </c>
      <c r="J987" s="35">
        <v>50</v>
      </c>
      <c r="K987" s="36"/>
      <c r="L987" s="36"/>
      <c r="M987" s="36"/>
      <c r="N987" s="36"/>
      <c r="O987" s="36"/>
      <c r="P987" s="36"/>
      <c r="Q987" s="36"/>
      <c r="R987" s="36"/>
      <c r="S987" s="36"/>
      <c r="T987" s="36"/>
    </row>
    <row r="988" spans="1:20" ht="15.75">
      <c r="A988" s="13">
        <v>71589</v>
      </c>
      <c r="B988" s="44">
        <f t="shared" si="6"/>
        <v>31</v>
      </c>
      <c r="C988" s="35">
        <v>122.58</v>
      </c>
      <c r="D988" s="35">
        <v>297.94099999999997</v>
      </c>
      <c r="E988" s="41">
        <v>729.47900000000004</v>
      </c>
      <c r="F988" s="35">
        <v>1150</v>
      </c>
      <c r="G988" s="35">
        <v>100</v>
      </c>
      <c r="H988" s="43">
        <v>600</v>
      </c>
      <c r="I988" s="35">
        <v>695</v>
      </c>
      <c r="J988" s="35">
        <v>50</v>
      </c>
      <c r="K988" s="36"/>
      <c r="L988" s="36"/>
      <c r="M988" s="36"/>
      <c r="N988" s="36"/>
      <c r="O988" s="36"/>
      <c r="P988" s="36"/>
      <c r="Q988" s="36"/>
      <c r="R988" s="36"/>
      <c r="S988" s="36"/>
      <c r="T988" s="36"/>
    </row>
    <row r="989" spans="1:20" ht="15.75">
      <c r="A989" s="13">
        <v>71620</v>
      </c>
      <c r="B989" s="44">
        <f t="shared" si="6"/>
        <v>31</v>
      </c>
      <c r="C989" s="35">
        <v>122.58</v>
      </c>
      <c r="D989" s="35">
        <v>297.94099999999997</v>
      </c>
      <c r="E989" s="41">
        <v>729.47900000000004</v>
      </c>
      <c r="F989" s="35">
        <v>1150</v>
      </c>
      <c r="G989" s="35">
        <v>100</v>
      </c>
      <c r="H989" s="43">
        <v>600</v>
      </c>
      <c r="I989" s="35">
        <v>695</v>
      </c>
      <c r="J989" s="35">
        <v>50</v>
      </c>
      <c r="K989" s="36"/>
      <c r="L989" s="36"/>
      <c r="M989" s="36"/>
      <c r="N989" s="36"/>
      <c r="O989" s="36"/>
      <c r="P989" s="36"/>
      <c r="Q989" s="36"/>
      <c r="R989" s="36"/>
      <c r="S989" s="36"/>
      <c r="T989" s="36"/>
    </row>
    <row r="990" spans="1:20" ht="15.75">
      <c r="A990" s="13">
        <v>71649</v>
      </c>
      <c r="B990" s="44">
        <f t="shared" si="6"/>
        <v>29</v>
      </c>
      <c r="C990" s="35">
        <v>122.58</v>
      </c>
      <c r="D990" s="35">
        <v>297.94099999999997</v>
      </c>
      <c r="E990" s="41">
        <v>729.47900000000004</v>
      </c>
      <c r="F990" s="35">
        <v>1150</v>
      </c>
      <c r="G990" s="35">
        <v>100</v>
      </c>
      <c r="H990" s="43">
        <v>600</v>
      </c>
      <c r="I990" s="35">
        <v>695</v>
      </c>
      <c r="J990" s="35">
        <v>50</v>
      </c>
      <c r="K990" s="36"/>
      <c r="L990" s="36"/>
      <c r="M990" s="36"/>
      <c r="N990" s="36"/>
      <c r="O990" s="36"/>
      <c r="P990" s="36"/>
      <c r="Q990" s="36"/>
      <c r="R990" s="36"/>
      <c r="S990" s="36"/>
      <c r="T990" s="36"/>
    </row>
    <row r="991" spans="1:20" ht="15.75">
      <c r="A991" s="13">
        <v>71680</v>
      </c>
      <c r="B991" s="44">
        <f t="shared" si="6"/>
        <v>31</v>
      </c>
      <c r="C991" s="35">
        <v>122.58</v>
      </c>
      <c r="D991" s="35">
        <v>297.94099999999997</v>
      </c>
      <c r="E991" s="41">
        <v>729.47900000000004</v>
      </c>
      <c r="F991" s="35">
        <v>1150</v>
      </c>
      <c r="G991" s="35">
        <v>100</v>
      </c>
      <c r="H991" s="43">
        <v>600</v>
      </c>
      <c r="I991" s="35">
        <v>695</v>
      </c>
      <c r="J991" s="35">
        <v>50</v>
      </c>
      <c r="K991" s="36"/>
      <c r="L991" s="36"/>
      <c r="M991" s="36"/>
      <c r="N991" s="36"/>
      <c r="O991" s="36"/>
      <c r="P991" s="36"/>
      <c r="Q991" s="36"/>
      <c r="R991" s="36"/>
      <c r="S991" s="36"/>
      <c r="T991" s="36"/>
    </row>
    <row r="992" spans="1:20" ht="15.75">
      <c r="A992" s="13">
        <v>71710</v>
      </c>
      <c r="B992" s="44">
        <f t="shared" si="6"/>
        <v>30</v>
      </c>
      <c r="C992" s="35">
        <v>141.29300000000001</v>
      </c>
      <c r="D992" s="35">
        <v>267.99299999999999</v>
      </c>
      <c r="E992" s="41">
        <v>829.71400000000006</v>
      </c>
      <c r="F992" s="35">
        <v>1239</v>
      </c>
      <c r="G992" s="35">
        <v>100</v>
      </c>
      <c r="H992" s="43">
        <v>600</v>
      </c>
      <c r="I992" s="35">
        <v>695</v>
      </c>
      <c r="J992" s="35">
        <v>50</v>
      </c>
      <c r="K992" s="36"/>
      <c r="L992" s="36"/>
      <c r="M992" s="36"/>
      <c r="N992" s="36"/>
      <c r="O992" s="36"/>
      <c r="P992" s="36"/>
      <c r="Q992" s="36"/>
      <c r="R992" s="36"/>
      <c r="S992" s="36"/>
      <c r="T992" s="36"/>
    </row>
    <row r="993" spans="1:20" ht="15.75">
      <c r="A993" s="13">
        <v>71741</v>
      </c>
      <c r="B993" s="44">
        <f t="shared" si="6"/>
        <v>31</v>
      </c>
      <c r="C993" s="35">
        <v>194.20500000000001</v>
      </c>
      <c r="D993" s="35">
        <v>267.46600000000001</v>
      </c>
      <c r="E993" s="41">
        <v>812.32899999999995</v>
      </c>
      <c r="F993" s="35">
        <v>1274</v>
      </c>
      <c r="G993" s="35">
        <v>75</v>
      </c>
      <c r="H993" s="43">
        <v>600</v>
      </c>
      <c r="I993" s="35">
        <v>695</v>
      </c>
      <c r="J993" s="35">
        <v>50</v>
      </c>
      <c r="K993" s="36"/>
      <c r="L993" s="36"/>
      <c r="M993" s="36"/>
      <c r="N993" s="36"/>
      <c r="O993" s="36"/>
      <c r="P993" s="36"/>
      <c r="Q993" s="36"/>
      <c r="R993" s="36"/>
      <c r="S993" s="36"/>
      <c r="T993" s="36"/>
    </row>
    <row r="994" spans="1:20" ht="15.75">
      <c r="A994" s="13">
        <v>71771</v>
      </c>
      <c r="B994" s="44">
        <f t="shared" si="6"/>
        <v>30</v>
      </c>
      <c r="C994" s="35">
        <v>194.20500000000001</v>
      </c>
      <c r="D994" s="35">
        <v>267.46600000000001</v>
      </c>
      <c r="E994" s="41">
        <v>812.32899999999995</v>
      </c>
      <c r="F994" s="35">
        <v>1274</v>
      </c>
      <c r="G994" s="35">
        <v>50</v>
      </c>
      <c r="H994" s="43">
        <v>600</v>
      </c>
      <c r="I994" s="35">
        <v>695</v>
      </c>
      <c r="J994" s="35">
        <v>50</v>
      </c>
      <c r="K994" s="36"/>
      <c r="L994" s="36"/>
      <c r="M994" s="36"/>
      <c r="N994" s="36"/>
      <c r="O994" s="36"/>
      <c r="P994" s="36"/>
      <c r="Q994" s="36"/>
      <c r="R994" s="36"/>
      <c r="S994" s="36"/>
      <c r="T994" s="36"/>
    </row>
    <row r="995" spans="1:20" ht="15.75">
      <c r="A995" s="13">
        <v>71802</v>
      </c>
      <c r="B995" s="44">
        <f t="shared" si="6"/>
        <v>31</v>
      </c>
      <c r="C995" s="35">
        <v>194.20500000000001</v>
      </c>
      <c r="D995" s="35">
        <v>267.46600000000001</v>
      </c>
      <c r="E995" s="41">
        <v>812.32899999999995</v>
      </c>
      <c r="F995" s="35">
        <v>1274</v>
      </c>
      <c r="G995" s="35">
        <v>50</v>
      </c>
      <c r="H995" s="43">
        <v>600</v>
      </c>
      <c r="I995" s="35">
        <v>695</v>
      </c>
      <c r="J995" s="35">
        <v>0</v>
      </c>
      <c r="K995" s="36"/>
      <c r="L995" s="36"/>
      <c r="M995" s="36"/>
      <c r="N995" s="36"/>
      <c r="O995" s="36"/>
      <c r="P995" s="36"/>
      <c r="Q995" s="36"/>
      <c r="R995" s="36"/>
      <c r="S995" s="36"/>
      <c r="T995" s="36"/>
    </row>
    <row r="996" spans="1:20" ht="15.75">
      <c r="A996" s="13">
        <v>71833</v>
      </c>
      <c r="B996" s="44">
        <f t="shared" si="6"/>
        <v>31</v>
      </c>
      <c r="C996" s="35">
        <v>194.20500000000001</v>
      </c>
      <c r="D996" s="35">
        <v>267.46600000000001</v>
      </c>
      <c r="E996" s="41">
        <v>812.32899999999995</v>
      </c>
      <c r="F996" s="35">
        <v>1274</v>
      </c>
      <c r="G996" s="35">
        <v>50</v>
      </c>
      <c r="H996" s="43">
        <v>600</v>
      </c>
      <c r="I996" s="35">
        <v>695</v>
      </c>
      <c r="J996" s="35">
        <v>0</v>
      </c>
      <c r="K996" s="36"/>
      <c r="L996" s="36"/>
      <c r="M996" s="36"/>
      <c r="N996" s="36"/>
      <c r="O996" s="36"/>
      <c r="P996" s="36"/>
      <c r="Q996" s="36"/>
      <c r="R996" s="36"/>
      <c r="S996" s="36"/>
      <c r="T996" s="36"/>
    </row>
    <row r="997" spans="1:20" ht="15.75">
      <c r="A997" s="13">
        <v>71863</v>
      </c>
      <c r="B997" s="44">
        <f t="shared" si="6"/>
        <v>30</v>
      </c>
      <c r="C997" s="35">
        <v>194.20500000000001</v>
      </c>
      <c r="D997" s="35">
        <v>267.46600000000001</v>
      </c>
      <c r="E997" s="41">
        <v>812.32899999999995</v>
      </c>
      <c r="F997" s="35">
        <v>1274</v>
      </c>
      <c r="G997" s="35">
        <v>50</v>
      </c>
      <c r="H997" s="43">
        <v>600</v>
      </c>
      <c r="I997" s="35">
        <v>695</v>
      </c>
      <c r="J997" s="35">
        <v>0</v>
      </c>
      <c r="K997" s="36"/>
      <c r="L997" s="36"/>
      <c r="M997" s="36"/>
      <c r="N997" s="36"/>
      <c r="O997" s="36"/>
      <c r="P997" s="36"/>
      <c r="Q997" s="36"/>
      <c r="R997" s="36"/>
      <c r="S997" s="36"/>
      <c r="T997" s="36"/>
    </row>
    <row r="998" spans="1:20" ht="15.75">
      <c r="A998" s="13">
        <v>71894</v>
      </c>
      <c r="B998" s="44">
        <f t="shared" si="6"/>
        <v>31</v>
      </c>
      <c r="C998" s="35">
        <v>131.881</v>
      </c>
      <c r="D998" s="35">
        <v>277.16699999999997</v>
      </c>
      <c r="E998" s="41">
        <v>829.952</v>
      </c>
      <c r="F998" s="35">
        <v>1239</v>
      </c>
      <c r="G998" s="35">
        <v>75</v>
      </c>
      <c r="H998" s="43">
        <v>600</v>
      </c>
      <c r="I998" s="35">
        <v>695</v>
      </c>
      <c r="J998" s="35">
        <v>0</v>
      </c>
      <c r="K998" s="36"/>
      <c r="L998" s="36"/>
      <c r="M998" s="36"/>
      <c r="N998" s="36"/>
      <c r="O998" s="36"/>
      <c r="P998" s="36"/>
      <c r="Q998" s="36"/>
      <c r="R998" s="36"/>
      <c r="S998" s="36"/>
      <c r="T998" s="36"/>
    </row>
    <row r="999" spans="1:20" ht="15.75">
      <c r="A999" s="13">
        <v>71924</v>
      </c>
      <c r="B999" s="44">
        <f t="shared" si="6"/>
        <v>30</v>
      </c>
      <c r="C999" s="35">
        <v>122.58</v>
      </c>
      <c r="D999" s="35">
        <v>297.94099999999997</v>
      </c>
      <c r="E999" s="41">
        <v>729.47900000000004</v>
      </c>
      <c r="F999" s="35">
        <v>1150</v>
      </c>
      <c r="G999" s="35">
        <v>100</v>
      </c>
      <c r="H999" s="43">
        <v>600</v>
      </c>
      <c r="I999" s="35">
        <v>695</v>
      </c>
      <c r="J999" s="35">
        <v>50</v>
      </c>
      <c r="K999" s="36"/>
      <c r="L999" s="36"/>
      <c r="M999" s="36"/>
      <c r="N999" s="36"/>
      <c r="O999" s="36"/>
      <c r="P999" s="36"/>
      <c r="Q999" s="36"/>
      <c r="R999" s="36"/>
      <c r="S999" s="36"/>
      <c r="T999" s="36"/>
    </row>
    <row r="1000" spans="1:20" ht="15.75">
      <c r="A1000" s="13">
        <v>71955</v>
      </c>
      <c r="B1000" s="44">
        <f t="shared" si="6"/>
        <v>31</v>
      </c>
      <c r="C1000" s="35">
        <v>122.58</v>
      </c>
      <c r="D1000" s="35">
        <v>297.94099999999997</v>
      </c>
      <c r="E1000" s="41">
        <v>729.47900000000004</v>
      </c>
      <c r="F1000" s="35">
        <v>1150</v>
      </c>
      <c r="G1000" s="35">
        <v>100</v>
      </c>
      <c r="H1000" s="43">
        <v>600</v>
      </c>
      <c r="I1000" s="35">
        <v>695</v>
      </c>
      <c r="J1000" s="35">
        <v>50</v>
      </c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</row>
    <row r="1001" spans="1:20" ht="15.75">
      <c r="A1001" s="13">
        <v>71986</v>
      </c>
      <c r="B1001" s="44">
        <f t="shared" si="6"/>
        <v>31</v>
      </c>
      <c r="C1001" s="35">
        <v>122.58</v>
      </c>
      <c r="D1001" s="35">
        <v>297.94099999999997</v>
      </c>
      <c r="E1001" s="41">
        <v>729.47900000000004</v>
      </c>
      <c r="F1001" s="35">
        <v>1150</v>
      </c>
      <c r="G1001" s="35">
        <v>100</v>
      </c>
      <c r="H1001" s="43">
        <v>600</v>
      </c>
      <c r="I1001" s="35">
        <v>695</v>
      </c>
      <c r="J1001" s="35">
        <v>50</v>
      </c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</row>
    <row r="1002" spans="1:20" ht="15.75">
      <c r="A1002" s="13">
        <v>72014</v>
      </c>
      <c r="B1002" s="44">
        <f t="shared" si="6"/>
        <v>28</v>
      </c>
      <c r="C1002" s="35">
        <v>122.58</v>
      </c>
      <c r="D1002" s="35">
        <v>297.94099999999997</v>
      </c>
      <c r="E1002" s="41">
        <v>729.47900000000004</v>
      </c>
      <c r="F1002" s="35">
        <v>1150</v>
      </c>
      <c r="G1002" s="35">
        <v>100</v>
      </c>
      <c r="H1002" s="43">
        <v>600</v>
      </c>
      <c r="I1002" s="35">
        <v>695</v>
      </c>
      <c r="J1002" s="35">
        <v>50</v>
      </c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</row>
    <row r="1003" spans="1:20" ht="15.75">
      <c r="A1003" s="13">
        <v>72045</v>
      </c>
      <c r="B1003" s="44">
        <f t="shared" si="6"/>
        <v>31</v>
      </c>
      <c r="C1003" s="35">
        <v>122.58</v>
      </c>
      <c r="D1003" s="35">
        <v>297.94099999999997</v>
      </c>
      <c r="E1003" s="41">
        <v>729.47900000000004</v>
      </c>
      <c r="F1003" s="35">
        <v>1150</v>
      </c>
      <c r="G1003" s="35">
        <v>100</v>
      </c>
      <c r="H1003" s="43">
        <v>600</v>
      </c>
      <c r="I1003" s="35">
        <v>695</v>
      </c>
      <c r="J1003" s="35">
        <v>50</v>
      </c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</row>
    <row r="1004" spans="1:20" ht="15.75">
      <c r="A1004" s="13">
        <v>72075</v>
      </c>
      <c r="B1004" s="44">
        <f t="shared" si="6"/>
        <v>30</v>
      </c>
      <c r="C1004" s="35">
        <v>141.29300000000001</v>
      </c>
      <c r="D1004" s="35">
        <v>267.99299999999999</v>
      </c>
      <c r="E1004" s="41">
        <v>829.71400000000006</v>
      </c>
      <c r="F1004" s="35">
        <v>1239</v>
      </c>
      <c r="G1004" s="35">
        <v>100</v>
      </c>
      <c r="H1004" s="43">
        <v>600</v>
      </c>
      <c r="I1004" s="35">
        <v>695</v>
      </c>
      <c r="J1004" s="35">
        <v>50</v>
      </c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</row>
    <row r="1005" spans="1:20" ht="15.75">
      <c r="A1005" s="13">
        <v>72106</v>
      </c>
      <c r="B1005" s="44">
        <f t="shared" si="6"/>
        <v>31</v>
      </c>
      <c r="C1005" s="35">
        <v>194.20500000000001</v>
      </c>
      <c r="D1005" s="35">
        <v>267.46600000000001</v>
      </c>
      <c r="E1005" s="41">
        <v>812.32899999999995</v>
      </c>
      <c r="F1005" s="35">
        <v>1274</v>
      </c>
      <c r="G1005" s="35">
        <v>75</v>
      </c>
      <c r="H1005" s="43">
        <v>600</v>
      </c>
      <c r="I1005" s="35">
        <v>695</v>
      </c>
      <c r="J1005" s="35">
        <v>50</v>
      </c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</row>
    <row r="1006" spans="1:20" ht="15.75">
      <c r="A1006" s="13">
        <v>72136</v>
      </c>
      <c r="B1006" s="44">
        <f t="shared" si="6"/>
        <v>30</v>
      </c>
      <c r="C1006" s="35">
        <v>194.20500000000001</v>
      </c>
      <c r="D1006" s="35">
        <v>267.46600000000001</v>
      </c>
      <c r="E1006" s="41">
        <v>812.32899999999995</v>
      </c>
      <c r="F1006" s="35">
        <v>1274</v>
      </c>
      <c r="G1006" s="35">
        <v>50</v>
      </c>
      <c r="H1006" s="43">
        <v>600</v>
      </c>
      <c r="I1006" s="35">
        <v>695</v>
      </c>
      <c r="J1006" s="35">
        <v>50</v>
      </c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</row>
    <row r="1007" spans="1:20" ht="15.75">
      <c r="A1007" s="13">
        <v>72167</v>
      </c>
      <c r="B1007" s="44">
        <f t="shared" si="6"/>
        <v>31</v>
      </c>
      <c r="C1007" s="35">
        <v>194.20500000000001</v>
      </c>
      <c r="D1007" s="35">
        <v>267.46600000000001</v>
      </c>
      <c r="E1007" s="41">
        <v>812.32899999999995</v>
      </c>
      <c r="F1007" s="35">
        <v>1274</v>
      </c>
      <c r="G1007" s="35">
        <v>50</v>
      </c>
      <c r="H1007" s="43">
        <v>600</v>
      </c>
      <c r="I1007" s="35">
        <v>695</v>
      </c>
      <c r="J1007" s="35">
        <v>0</v>
      </c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</row>
    <row r="1008" spans="1:20" ht="15.75">
      <c r="A1008" s="13">
        <v>72198</v>
      </c>
      <c r="B1008" s="44">
        <f t="shared" si="6"/>
        <v>31</v>
      </c>
      <c r="C1008" s="35">
        <v>194.20500000000001</v>
      </c>
      <c r="D1008" s="35">
        <v>267.46600000000001</v>
      </c>
      <c r="E1008" s="41">
        <v>812.32899999999995</v>
      </c>
      <c r="F1008" s="35">
        <v>1274</v>
      </c>
      <c r="G1008" s="35">
        <v>50</v>
      </c>
      <c r="H1008" s="43">
        <v>600</v>
      </c>
      <c r="I1008" s="35">
        <v>695</v>
      </c>
      <c r="J1008" s="35">
        <v>0</v>
      </c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</row>
    <row r="1009" spans="1:20" ht="15.75">
      <c r="A1009" s="13">
        <v>72228</v>
      </c>
      <c r="B1009" s="44">
        <f t="shared" si="6"/>
        <v>30</v>
      </c>
      <c r="C1009" s="35">
        <v>194.20500000000001</v>
      </c>
      <c r="D1009" s="35">
        <v>267.46600000000001</v>
      </c>
      <c r="E1009" s="41">
        <v>812.32899999999995</v>
      </c>
      <c r="F1009" s="35">
        <v>1274</v>
      </c>
      <c r="G1009" s="35">
        <v>50</v>
      </c>
      <c r="H1009" s="43">
        <v>600</v>
      </c>
      <c r="I1009" s="35">
        <v>695</v>
      </c>
      <c r="J1009" s="35">
        <v>0</v>
      </c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</row>
    <row r="1010" spans="1:20" ht="15.75">
      <c r="A1010" s="13">
        <v>72259</v>
      </c>
      <c r="B1010" s="44">
        <f t="shared" si="6"/>
        <v>31</v>
      </c>
      <c r="C1010" s="35">
        <v>131.881</v>
      </c>
      <c r="D1010" s="35">
        <v>277.16699999999997</v>
      </c>
      <c r="E1010" s="41">
        <v>829.952</v>
      </c>
      <c r="F1010" s="35">
        <v>1239</v>
      </c>
      <c r="G1010" s="35">
        <v>75</v>
      </c>
      <c r="H1010" s="43">
        <v>600</v>
      </c>
      <c r="I1010" s="35">
        <v>695</v>
      </c>
      <c r="J1010" s="35">
        <v>0</v>
      </c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</row>
    <row r="1011" spans="1:20" ht="15.75">
      <c r="A1011" s="13">
        <v>72289</v>
      </c>
      <c r="B1011" s="44">
        <f t="shared" si="6"/>
        <v>30</v>
      </c>
      <c r="C1011" s="35">
        <v>122.58</v>
      </c>
      <c r="D1011" s="35">
        <v>297.94099999999997</v>
      </c>
      <c r="E1011" s="41">
        <v>729.47900000000004</v>
      </c>
      <c r="F1011" s="35">
        <v>1150</v>
      </c>
      <c r="G1011" s="35">
        <v>100</v>
      </c>
      <c r="H1011" s="43">
        <v>600</v>
      </c>
      <c r="I1011" s="35">
        <v>695</v>
      </c>
      <c r="J1011" s="35">
        <v>50</v>
      </c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</row>
    <row r="1012" spans="1:20" ht="15.75">
      <c r="A1012" s="13">
        <v>72320</v>
      </c>
      <c r="B1012" s="44">
        <f t="shared" si="6"/>
        <v>31</v>
      </c>
      <c r="C1012" s="35">
        <v>122.58</v>
      </c>
      <c r="D1012" s="35">
        <v>297.94099999999997</v>
      </c>
      <c r="E1012" s="41">
        <v>729.47900000000004</v>
      </c>
      <c r="F1012" s="35">
        <v>1150</v>
      </c>
      <c r="G1012" s="35">
        <v>100</v>
      </c>
      <c r="H1012" s="43">
        <v>600</v>
      </c>
      <c r="I1012" s="35">
        <v>695</v>
      </c>
      <c r="J1012" s="35">
        <v>50</v>
      </c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</row>
    <row r="1013" spans="1:20" ht="15.75">
      <c r="A1013" s="13">
        <v>72351</v>
      </c>
      <c r="B1013" s="44">
        <f t="shared" si="6"/>
        <v>31</v>
      </c>
      <c r="C1013" s="35">
        <v>122.58</v>
      </c>
      <c r="D1013" s="35">
        <v>297.94099999999997</v>
      </c>
      <c r="E1013" s="41">
        <v>729.47900000000004</v>
      </c>
      <c r="F1013" s="35">
        <v>1150</v>
      </c>
      <c r="G1013" s="35">
        <v>100</v>
      </c>
      <c r="H1013" s="43">
        <v>600</v>
      </c>
      <c r="I1013" s="35">
        <v>695</v>
      </c>
      <c r="J1013" s="35">
        <v>50</v>
      </c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</row>
    <row r="1014" spans="1:20" ht="15.75">
      <c r="A1014" s="13">
        <v>72379</v>
      </c>
      <c r="B1014" s="44">
        <f t="shared" si="6"/>
        <v>28</v>
      </c>
      <c r="C1014" s="35">
        <v>122.58</v>
      </c>
      <c r="D1014" s="35">
        <v>297.94099999999997</v>
      </c>
      <c r="E1014" s="41">
        <v>729.47900000000004</v>
      </c>
      <c r="F1014" s="35">
        <v>1150</v>
      </c>
      <c r="G1014" s="35">
        <v>100</v>
      </c>
      <c r="H1014" s="43">
        <v>600</v>
      </c>
      <c r="I1014" s="35">
        <v>695</v>
      </c>
      <c r="J1014" s="35">
        <v>50</v>
      </c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</row>
    <row r="1015" spans="1:20" ht="15.75">
      <c r="A1015" s="13">
        <v>72410</v>
      </c>
      <c r="B1015" s="44">
        <f t="shared" si="6"/>
        <v>31</v>
      </c>
      <c r="C1015" s="35">
        <v>122.58</v>
      </c>
      <c r="D1015" s="35">
        <v>297.94099999999997</v>
      </c>
      <c r="E1015" s="41">
        <v>729.47900000000004</v>
      </c>
      <c r="F1015" s="35">
        <v>1150</v>
      </c>
      <c r="G1015" s="35">
        <v>100</v>
      </c>
      <c r="H1015" s="43">
        <v>600</v>
      </c>
      <c r="I1015" s="35">
        <v>695</v>
      </c>
      <c r="J1015" s="35">
        <v>50</v>
      </c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</row>
    <row r="1016" spans="1:20" ht="15.75">
      <c r="A1016" s="13">
        <v>72440</v>
      </c>
      <c r="B1016" s="44">
        <f t="shared" si="6"/>
        <v>30</v>
      </c>
      <c r="C1016" s="35">
        <v>141.29300000000001</v>
      </c>
      <c r="D1016" s="35">
        <v>267.99299999999999</v>
      </c>
      <c r="E1016" s="41">
        <v>829.71400000000006</v>
      </c>
      <c r="F1016" s="35">
        <v>1239</v>
      </c>
      <c r="G1016" s="35">
        <v>100</v>
      </c>
      <c r="H1016" s="43">
        <v>600</v>
      </c>
      <c r="I1016" s="35">
        <v>695</v>
      </c>
      <c r="J1016" s="35">
        <v>50</v>
      </c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</row>
    <row r="1017" spans="1:20" ht="15.75">
      <c r="A1017" s="13">
        <v>72471</v>
      </c>
      <c r="B1017" s="44">
        <f t="shared" si="6"/>
        <v>31</v>
      </c>
      <c r="C1017" s="35">
        <v>194.20500000000001</v>
      </c>
      <c r="D1017" s="35">
        <v>267.46600000000001</v>
      </c>
      <c r="E1017" s="41">
        <v>812.32899999999995</v>
      </c>
      <c r="F1017" s="35">
        <v>1274</v>
      </c>
      <c r="G1017" s="35">
        <v>75</v>
      </c>
      <c r="H1017" s="43">
        <v>600</v>
      </c>
      <c r="I1017" s="35">
        <v>695</v>
      </c>
      <c r="J1017" s="35">
        <v>50</v>
      </c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</row>
    <row r="1018" spans="1:20" ht="15.75">
      <c r="A1018" s="13">
        <v>72501</v>
      </c>
      <c r="B1018" s="44">
        <f t="shared" si="6"/>
        <v>30</v>
      </c>
      <c r="C1018" s="35">
        <v>194.20500000000001</v>
      </c>
      <c r="D1018" s="35">
        <v>267.46600000000001</v>
      </c>
      <c r="E1018" s="41">
        <v>812.32899999999995</v>
      </c>
      <c r="F1018" s="35">
        <v>1274</v>
      </c>
      <c r="G1018" s="35">
        <v>50</v>
      </c>
      <c r="H1018" s="43">
        <v>600</v>
      </c>
      <c r="I1018" s="35">
        <v>695</v>
      </c>
      <c r="J1018" s="35">
        <v>50</v>
      </c>
      <c r="K1018" s="36"/>
      <c r="L1018" s="36"/>
      <c r="M1018" s="36"/>
      <c r="N1018" s="36"/>
      <c r="O1018" s="36"/>
      <c r="P1018" s="36"/>
      <c r="Q1018" s="36"/>
      <c r="R1018" s="36"/>
      <c r="S1018" s="36"/>
      <c r="T1018" s="36"/>
    </row>
    <row r="1019" spans="1:20" ht="15.75">
      <c r="A1019" s="13">
        <v>72532</v>
      </c>
      <c r="B1019" s="44">
        <f t="shared" si="6"/>
        <v>31</v>
      </c>
      <c r="C1019" s="35">
        <v>194.20500000000001</v>
      </c>
      <c r="D1019" s="35">
        <v>267.46600000000001</v>
      </c>
      <c r="E1019" s="41">
        <v>812.32899999999995</v>
      </c>
      <c r="F1019" s="35">
        <v>1274</v>
      </c>
      <c r="G1019" s="35">
        <v>50</v>
      </c>
      <c r="H1019" s="43">
        <v>600</v>
      </c>
      <c r="I1019" s="35">
        <v>695</v>
      </c>
      <c r="J1019" s="35">
        <v>0</v>
      </c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</row>
    <row r="1020" spans="1:20" ht="15.75">
      <c r="A1020" s="13">
        <v>72563</v>
      </c>
      <c r="B1020" s="44">
        <f t="shared" si="6"/>
        <v>31</v>
      </c>
      <c r="C1020" s="35">
        <v>194.20500000000001</v>
      </c>
      <c r="D1020" s="35">
        <v>267.46600000000001</v>
      </c>
      <c r="E1020" s="41">
        <v>812.32899999999995</v>
      </c>
      <c r="F1020" s="35">
        <v>1274</v>
      </c>
      <c r="G1020" s="35">
        <v>50</v>
      </c>
      <c r="H1020" s="43">
        <v>600</v>
      </c>
      <c r="I1020" s="35">
        <v>695</v>
      </c>
      <c r="J1020" s="35">
        <v>0</v>
      </c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</row>
    <row r="1021" spans="1:20" ht="15.75">
      <c r="A1021" s="13">
        <v>72593</v>
      </c>
      <c r="B1021" s="44">
        <f t="shared" si="6"/>
        <v>30</v>
      </c>
      <c r="C1021" s="35">
        <v>194.20500000000001</v>
      </c>
      <c r="D1021" s="35">
        <v>267.46600000000001</v>
      </c>
      <c r="E1021" s="41">
        <v>812.32899999999995</v>
      </c>
      <c r="F1021" s="35">
        <v>1274</v>
      </c>
      <c r="G1021" s="35">
        <v>50</v>
      </c>
      <c r="H1021" s="43">
        <v>600</v>
      </c>
      <c r="I1021" s="35">
        <v>695</v>
      </c>
      <c r="J1021" s="35">
        <v>0</v>
      </c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</row>
    <row r="1022" spans="1:20" ht="15.75">
      <c r="A1022" s="13">
        <v>72624</v>
      </c>
      <c r="B1022" s="44">
        <f t="shared" si="6"/>
        <v>31</v>
      </c>
      <c r="C1022" s="35">
        <v>131.881</v>
      </c>
      <c r="D1022" s="35">
        <v>277.16699999999997</v>
      </c>
      <c r="E1022" s="41">
        <v>829.952</v>
      </c>
      <c r="F1022" s="35">
        <v>1239</v>
      </c>
      <c r="G1022" s="35">
        <v>75</v>
      </c>
      <c r="H1022" s="43">
        <v>600</v>
      </c>
      <c r="I1022" s="35">
        <v>695</v>
      </c>
      <c r="J1022" s="35">
        <v>0</v>
      </c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</row>
    <row r="1023" spans="1:20" ht="15.75">
      <c r="A1023" s="13">
        <v>72654</v>
      </c>
      <c r="B1023" s="44">
        <f t="shared" si="6"/>
        <v>30</v>
      </c>
      <c r="C1023" s="35">
        <v>122.58</v>
      </c>
      <c r="D1023" s="35">
        <v>297.94099999999997</v>
      </c>
      <c r="E1023" s="41">
        <v>729.47900000000004</v>
      </c>
      <c r="F1023" s="35">
        <v>1150</v>
      </c>
      <c r="G1023" s="35">
        <v>100</v>
      </c>
      <c r="H1023" s="43">
        <v>600</v>
      </c>
      <c r="I1023" s="35">
        <v>695</v>
      </c>
      <c r="J1023" s="35">
        <v>50</v>
      </c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</row>
    <row r="1024" spans="1:20" ht="15.75">
      <c r="A1024" s="13">
        <v>72685</v>
      </c>
      <c r="B1024" s="44">
        <f t="shared" si="6"/>
        <v>31</v>
      </c>
      <c r="C1024" s="35">
        <v>122.58</v>
      </c>
      <c r="D1024" s="35">
        <v>297.94099999999997</v>
      </c>
      <c r="E1024" s="41">
        <v>729.47900000000004</v>
      </c>
      <c r="F1024" s="35">
        <v>1150</v>
      </c>
      <c r="G1024" s="35">
        <v>100</v>
      </c>
      <c r="H1024" s="43">
        <v>600</v>
      </c>
      <c r="I1024" s="35">
        <v>695</v>
      </c>
      <c r="J1024" s="35">
        <v>50</v>
      </c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</row>
    <row r="1025" spans="1:20" ht="15.75">
      <c r="A1025" s="13">
        <v>72716</v>
      </c>
      <c r="B1025" s="44">
        <f t="shared" si="6"/>
        <v>31</v>
      </c>
      <c r="C1025" s="35">
        <v>122.58</v>
      </c>
      <c r="D1025" s="35">
        <v>297.94099999999997</v>
      </c>
      <c r="E1025" s="41">
        <v>729.47900000000004</v>
      </c>
      <c r="F1025" s="35">
        <v>1150</v>
      </c>
      <c r="G1025" s="35">
        <v>100</v>
      </c>
      <c r="H1025" s="43">
        <v>600</v>
      </c>
      <c r="I1025" s="35">
        <v>695</v>
      </c>
      <c r="J1025" s="35">
        <v>50</v>
      </c>
      <c r="K1025" s="36"/>
      <c r="L1025" s="36"/>
      <c r="M1025" s="36"/>
      <c r="N1025" s="36"/>
      <c r="O1025" s="36"/>
      <c r="P1025" s="36"/>
      <c r="Q1025" s="36"/>
      <c r="R1025" s="36"/>
      <c r="S1025" s="36"/>
      <c r="T1025" s="36"/>
    </row>
    <row r="1026" spans="1:20" ht="15.75">
      <c r="A1026" s="13">
        <v>72744</v>
      </c>
      <c r="B1026" s="44">
        <f t="shared" si="6"/>
        <v>28</v>
      </c>
      <c r="C1026" s="35">
        <v>122.58</v>
      </c>
      <c r="D1026" s="35">
        <v>297.94099999999997</v>
      </c>
      <c r="E1026" s="41">
        <v>729.47900000000004</v>
      </c>
      <c r="F1026" s="35">
        <v>1150</v>
      </c>
      <c r="G1026" s="35">
        <v>100</v>
      </c>
      <c r="H1026" s="43">
        <v>600</v>
      </c>
      <c r="I1026" s="35">
        <v>695</v>
      </c>
      <c r="J1026" s="35">
        <v>50</v>
      </c>
      <c r="K1026" s="36"/>
      <c r="L1026" s="36"/>
      <c r="M1026" s="36"/>
      <c r="N1026" s="36"/>
      <c r="O1026" s="36"/>
      <c r="P1026" s="36"/>
      <c r="Q1026" s="36"/>
      <c r="R1026" s="36"/>
      <c r="S1026" s="36"/>
      <c r="T1026" s="36"/>
    </row>
    <row r="1027" spans="1:20" ht="15.75">
      <c r="A1027" s="13">
        <v>72775</v>
      </c>
      <c r="B1027" s="44">
        <f t="shared" si="6"/>
        <v>31</v>
      </c>
      <c r="C1027" s="35">
        <v>122.58</v>
      </c>
      <c r="D1027" s="35">
        <v>297.94099999999997</v>
      </c>
      <c r="E1027" s="41">
        <v>729.47900000000004</v>
      </c>
      <c r="F1027" s="35">
        <v>1150</v>
      </c>
      <c r="G1027" s="35">
        <v>100</v>
      </c>
      <c r="H1027" s="43">
        <v>600</v>
      </c>
      <c r="I1027" s="35">
        <v>695</v>
      </c>
      <c r="J1027" s="35">
        <v>50</v>
      </c>
      <c r="K1027" s="36"/>
      <c r="L1027" s="36"/>
      <c r="M1027" s="36"/>
      <c r="N1027" s="36"/>
      <c r="O1027" s="36"/>
      <c r="P1027" s="36"/>
      <c r="Q1027" s="36"/>
      <c r="R1027" s="36"/>
      <c r="S1027" s="36"/>
      <c r="T1027" s="36"/>
    </row>
    <row r="1028" spans="1:20" ht="15.75">
      <c r="A1028" s="13">
        <v>72805</v>
      </c>
      <c r="B1028" s="44">
        <f t="shared" si="6"/>
        <v>30</v>
      </c>
      <c r="C1028" s="35">
        <v>141.29300000000001</v>
      </c>
      <c r="D1028" s="35">
        <v>267.99299999999999</v>
      </c>
      <c r="E1028" s="41">
        <v>829.71400000000006</v>
      </c>
      <c r="F1028" s="35">
        <v>1239</v>
      </c>
      <c r="G1028" s="35">
        <v>100</v>
      </c>
      <c r="H1028" s="43">
        <v>600</v>
      </c>
      <c r="I1028" s="35">
        <v>695</v>
      </c>
      <c r="J1028" s="35">
        <v>50</v>
      </c>
      <c r="K1028" s="36"/>
      <c r="L1028" s="36"/>
      <c r="M1028" s="36"/>
      <c r="N1028" s="36"/>
      <c r="O1028" s="36"/>
      <c r="P1028" s="36"/>
      <c r="Q1028" s="36"/>
      <c r="R1028" s="36"/>
      <c r="S1028" s="36"/>
      <c r="T1028" s="36"/>
    </row>
    <row r="1029" spans="1:20" ht="15.75">
      <c r="A1029" s="13">
        <v>72836</v>
      </c>
      <c r="B1029" s="44">
        <f t="shared" ref="B1029:B1048" si="7">EOMONTH(A1029,0)-EOMONTH(A1029,-1)</f>
        <v>31</v>
      </c>
      <c r="C1029" s="35">
        <v>194.20500000000001</v>
      </c>
      <c r="D1029" s="35">
        <v>267.46600000000001</v>
      </c>
      <c r="E1029" s="41">
        <v>812.32899999999995</v>
      </c>
      <c r="F1029" s="35">
        <v>1274</v>
      </c>
      <c r="G1029" s="35">
        <v>75</v>
      </c>
      <c r="H1029" s="43">
        <v>600</v>
      </c>
      <c r="I1029" s="35">
        <v>695</v>
      </c>
      <c r="J1029" s="35">
        <v>50</v>
      </c>
      <c r="K1029" s="36"/>
      <c r="L1029" s="36"/>
      <c r="M1029" s="36"/>
      <c r="N1029" s="36"/>
      <c r="O1029" s="36"/>
      <c r="P1029" s="36"/>
      <c r="Q1029" s="36"/>
      <c r="R1029" s="36"/>
      <c r="S1029" s="36"/>
      <c r="T1029" s="36"/>
    </row>
    <row r="1030" spans="1:20" ht="15.75">
      <c r="A1030" s="13">
        <v>72866</v>
      </c>
      <c r="B1030" s="44">
        <f t="shared" si="7"/>
        <v>30</v>
      </c>
      <c r="C1030" s="35">
        <v>194.20500000000001</v>
      </c>
      <c r="D1030" s="35">
        <v>267.46600000000001</v>
      </c>
      <c r="E1030" s="41">
        <v>812.32899999999995</v>
      </c>
      <c r="F1030" s="35">
        <v>1274</v>
      </c>
      <c r="G1030" s="35">
        <v>50</v>
      </c>
      <c r="H1030" s="43">
        <v>600</v>
      </c>
      <c r="I1030" s="35">
        <v>695</v>
      </c>
      <c r="J1030" s="35">
        <v>50</v>
      </c>
      <c r="K1030" s="36"/>
      <c r="L1030" s="36"/>
      <c r="M1030" s="36"/>
      <c r="N1030" s="36"/>
      <c r="O1030" s="36"/>
      <c r="P1030" s="36"/>
      <c r="Q1030" s="36"/>
      <c r="R1030" s="36"/>
      <c r="S1030" s="36"/>
      <c r="T1030" s="36"/>
    </row>
    <row r="1031" spans="1:20" ht="15.75">
      <c r="A1031" s="13">
        <v>72897</v>
      </c>
      <c r="B1031" s="44">
        <f t="shared" si="7"/>
        <v>31</v>
      </c>
      <c r="C1031" s="35">
        <v>194.20500000000001</v>
      </c>
      <c r="D1031" s="35">
        <v>267.46600000000001</v>
      </c>
      <c r="E1031" s="41">
        <v>812.32899999999995</v>
      </c>
      <c r="F1031" s="35">
        <v>1274</v>
      </c>
      <c r="G1031" s="35">
        <v>50</v>
      </c>
      <c r="H1031" s="43">
        <v>600</v>
      </c>
      <c r="I1031" s="35">
        <v>695</v>
      </c>
      <c r="J1031" s="35">
        <v>0</v>
      </c>
      <c r="K1031" s="36"/>
      <c r="L1031" s="36"/>
      <c r="M1031" s="36"/>
      <c r="N1031" s="36"/>
      <c r="O1031" s="36"/>
      <c r="P1031" s="36"/>
      <c r="Q1031" s="36"/>
      <c r="R1031" s="36"/>
      <c r="S1031" s="36"/>
      <c r="T1031" s="36"/>
    </row>
    <row r="1032" spans="1:20" ht="15.75">
      <c r="A1032" s="13">
        <v>72928</v>
      </c>
      <c r="B1032" s="44">
        <f t="shared" si="7"/>
        <v>31</v>
      </c>
      <c r="C1032" s="35">
        <v>194.20500000000001</v>
      </c>
      <c r="D1032" s="35">
        <v>267.46600000000001</v>
      </c>
      <c r="E1032" s="41">
        <v>812.32899999999995</v>
      </c>
      <c r="F1032" s="35">
        <v>1274</v>
      </c>
      <c r="G1032" s="35">
        <v>50</v>
      </c>
      <c r="H1032" s="43">
        <v>600</v>
      </c>
      <c r="I1032" s="35">
        <v>695</v>
      </c>
      <c r="J1032" s="35">
        <v>0</v>
      </c>
      <c r="K1032" s="36"/>
      <c r="L1032" s="36"/>
      <c r="M1032" s="36"/>
      <c r="N1032" s="36"/>
      <c r="O1032" s="36"/>
      <c r="P1032" s="36"/>
      <c r="Q1032" s="36"/>
      <c r="R1032" s="36"/>
      <c r="S1032" s="36"/>
      <c r="T1032" s="36"/>
    </row>
    <row r="1033" spans="1:20" ht="15.75">
      <c r="A1033" s="13">
        <v>72958</v>
      </c>
      <c r="B1033" s="44">
        <f t="shared" si="7"/>
        <v>30</v>
      </c>
      <c r="C1033" s="35">
        <v>194.20500000000001</v>
      </c>
      <c r="D1033" s="35">
        <v>267.46600000000001</v>
      </c>
      <c r="E1033" s="41">
        <v>812.32899999999995</v>
      </c>
      <c r="F1033" s="35">
        <v>1274</v>
      </c>
      <c r="G1033" s="35">
        <v>50</v>
      </c>
      <c r="H1033" s="43">
        <v>600</v>
      </c>
      <c r="I1033" s="35">
        <v>695</v>
      </c>
      <c r="J1033" s="35">
        <v>0</v>
      </c>
      <c r="K1033" s="36"/>
      <c r="L1033" s="36"/>
      <c r="M1033" s="36"/>
      <c r="N1033" s="36"/>
      <c r="O1033" s="36"/>
      <c r="P1033" s="36"/>
      <c r="Q1033" s="36"/>
      <c r="R1033" s="36"/>
      <c r="S1033" s="36"/>
      <c r="T1033" s="36"/>
    </row>
    <row r="1034" spans="1:20" ht="15.75">
      <c r="A1034" s="13">
        <v>72989</v>
      </c>
      <c r="B1034" s="44">
        <f t="shared" si="7"/>
        <v>31</v>
      </c>
      <c r="C1034" s="35">
        <v>131.881</v>
      </c>
      <c r="D1034" s="35">
        <v>277.16699999999997</v>
      </c>
      <c r="E1034" s="41">
        <v>829.952</v>
      </c>
      <c r="F1034" s="35">
        <v>1239</v>
      </c>
      <c r="G1034" s="35">
        <v>75</v>
      </c>
      <c r="H1034" s="43">
        <v>600</v>
      </c>
      <c r="I1034" s="35">
        <v>695</v>
      </c>
      <c r="J1034" s="35">
        <v>0</v>
      </c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</row>
    <row r="1035" spans="1:20" ht="15.75">
      <c r="A1035" s="13">
        <v>73019</v>
      </c>
      <c r="B1035" s="44">
        <f t="shared" si="7"/>
        <v>30</v>
      </c>
      <c r="C1035" s="35">
        <v>122.58</v>
      </c>
      <c r="D1035" s="35">
        <v>297.94099999999997</v>
      </c>
      <c r="E1035" s="41">
        <v>729.47900000000004</v>
      </c>
      <c r="F1035" s="35">
        <v>1150</v>
      </c>
      <c r="G1035" s="35">
        <v>100</v>
      </c>
      <c r="H1035" s="43">
        <v>600</v>
      </c>
      <c r="I1035" s="35">
        <v>695</v>
      </c>
      <c r="J1035" s="35">
        <v>50</v>
      </c>
      <c r="K1035" s="36"/>
      <c r="L1035" s="36"/>
      <c r="M1035" s="36"/>
      <c r="N1035" s="36"/>
      <c r="O1035" s="36"/>
      <c r="P1035" s="36"/>
      <c r="Q1035" s="36"/>
      <c r="R1035" s="36"/>
      <c r="S1035" s="36"/>
      <c r="T1035" s="36"/>
    </row>
    <row r="1036" spans="1:20" ht="15.75">
      <c r="A1036" s="13">
        <v>73050</v>
      </c>
      <c r="B1036" s="44">
        <f t="shared" si="7"/>
        <v>31</v>
      </c>
      <c r="C1036" s="35">
        <v>122.58</v>
      </c>
      <c r="D1036" s="35">
        <v>297.94099999999997</v>
      </c>
      <c r="E1036" s="41">
        <v>729.47900000000004</v>
      </c>
      <c r="F1036" s="35">
        <v>1150</v>
      </c>
      <c r="G1036" s="35">
        <v>100</v>
      </c>
      <c r="H1036" s="43">
        <v>600</v>
      </c>
      <c r="I1036" s="35">
        <v>695</v>
      </c>
      <c r="J1036" s="35">
        <v>50</v>
      </c>
      <c r="K1036" s="36"/>
      <c r="L1036" s="36"/>
      <c r="M1036" s="36"/>
      <c r="N1036" s="36"/>
      <c r="O1036" s="36"/>
      <c r="P1036" s="36"/>
      <c r="Q1036" s="36"/>
      <c r="R1036" s="36"/>
      <c r="S1036" s="36"/>
      <c r="T1036" s="36"/>
    </row>
    <row r="1037" spans="1:20" ht="15.75">
      <c r="A1037" s="13">
        <v>73081</v>
      </c>
      <c r="B1037" s="44">
        <f t="shared" si="7"/>
        <v>31</v>
      </c>
      <c r="C1037" s="35">
        <v>122.58</v>
      </c>
      <c r="D1037" s="35">
        <v>297.94099999999997</v>
      </c>
      <c r="E1037" s="41">
        <v>729.47900000000004</v>
      </c>
      <c r="F1037" s="35">
        <v>1150</v>
      </c>
      <c r="G1037" s="35">
        <v>100</v>
      </c>
      <c r="H1037" s="43">
        <v>600</v>
      </c>
      <c r="I1037" s="35">
        <v>695</v>
      </c>
      <c r="J1037" s="35">
        <v>50</v>
      </c>
      <c r="K1037" s="36"/>
      <c r="L1037" s="36"/>
      <c r="M1037" s="36"/>
      <c r="N1037" s="36"/>
      <c r="O1037" s="36"/>
      <c r="P1037" s="36"/>
      <c r="Q1037" s="36"/>
      <c r="R1037" s="36"/>
      <c r="S1037" s="36"/>
      <c r="T1037" s="36"/>
    </row>
    <row r="1038" spans="1:20" ht="15.75">
      <c r="A1038" s="13">
        <v>73109</v>
      </c>
      <c r="B1038" s="44">
        <f t="shared" si="7"/>
        <v>28</v>
      </c>
      <c r="C1038" s="35">
        <v>122.58</v>
      </c>
      <c r="D1038" s="35">
        <v>297.94099999999997</v>
      </c>
      <c r="E1038" s="41">
        <v>729.47900000000004</v>
      </c>
      <c r="F1038" s="35">
        <v>1150</v>
      </c>
      <c r="G1038" s="35">
        <v>100</v>
      </c>
      <c r="H1038" s="43">
        <v>600</v>
      </c>
      <c r="I1038" s="35">
        <v>695</v>
      </c>
      <c r="J1038" s="35">
        <v>50</v>
      </c>
      <c r="K1038" s="36"/>
      <c r="L1038" s="36"/>
      <c r="M1038" s="36"/>
      <c r="N1038" s="36"/>
      <c r="O1038" s="36"/>
      <c r="P1038" s="36"/>
      <c r="Q1038" s="36"/>
      <c r="R1038" s="36"/>
      <c r="S1038" s="36"/>
      <c r="T1038" s="36"/>
    </row>
    <row r="1039" spans="1:20" ht="15.75">
      <c r="A1039" s="13">
        <v>73140</v>
      </c>
      <c r="B1039" s="44">
        <f t="shared" si="7"/>
        <v>31</v>
      </c>
      <c r="C1039" s="35">
        <v>122.58</v>
      </c>
      <c r="D1039" s="35">
        <v>297.94099999999997</v>
      </c>
      <c r="E1039" s="41">
        <v>729.47900000000004</v>
      </c>
      <c r="F1039" s="35">
        <v>1150</v>
      </c>
      <c r="G1039" s="35">
        <v>100</v>
      </c>
      <c r="H1039" s="43">
        <v>600</v>
      </c>
      <c r="I1039" s="35">
        <v>695</v>
      </c>
      <c r="J1039" s="35">
        <v>50</v>
      </c>
      <c r="K1039" s="36"/>
      <c r="L1039" s="36"/>
      <c r="M1039" s="36"/>
      <c r="N1039" s="36"/>
      <c r="O1039" s="36"/>
      <c r="P1039" s="36"/>
      <c r="Q1039" s="36"/>
      <c r="R1039" s="36"/>
      <c r="S1039" s="36"/>
      <c r="T1039" s="36"/>
    </row>
    <row r="1040" spans="1:20" ht="15.75">
      <c r="A1040" s="13">
        <v>73170</v>
      </c>
      <c r="B1040" s="44">
        <f t="shared" si="7"/>
        <v>30</v>
      </c>
      <c r="C1040" s="35">
        <v>141.29300000000001</v>
      </c>
      <c r="D1040" s="35">
        <v>267.99299999999999</v>
      </c>
      <c r="E1040" s="41">
        <v>829.71400000000006</v>
      </c>
      <c r="F1040" s="35">
        <v>1239</v>
      </c>
      <c r="G1040" s="35">
        <v>100</v>
      </c>
      <c r="H1040" s="43">
        <v>600</v>
      </c>
      <c r="I1040" s="35">
        <v>695</v>
      </c>
      <c r="J1040" s="35">
        <v>50</v>
      </c>
      <c r="K1040" s="36"/>
      <c r="L1040" s="36"/>
      <c r="M1040" s="36"/>
      <c r="N1040" s="36"/>
      <c r="O1040" s="36"/>
      <c r="P1040" s="36"/>
      <c r="Q1040" s="36"/>
      <c r="R1040" s="36"/>
      <c r="S1040" s="36"/>
      <c r="T1040" s="36"/>
    </row>
    <row r="1041" spans="1:20" ht="15.75">
      <c r="A1041" s="13">
        <v>73201</v>
      </c>
      <c r="B1041" s="44">
        <f t="shared" si="7"/>
        <v>31</v>
      </c>
      <c r="C1041" s="35">
        <v>194.20500000000001</v>
      </c>
      <c r="D1041" s="35">
        <v>267.46600000000001</v>
      </c>
      <c r="E1041" s="41">
        <v>812.32899999999995</v>
      </c>
      <c r="F1041" s="35">
        <v>1274</v>
      </c>
      <c r="G1041" s="35">
        <v>75</v>
      </c>
      <c r="H1041" s="43">
        <v>600</v>
      </c>
      <c r="I1041" s="35">
        <v>695</v>
      </c>
      <c r="J1041" s="35">
        <v>50</v>
      </c>
      <c r="K1041" s="36"/>
      <c r="L1041" s="36"/>
      <c r="M1041" s="36"/>
      <c r="N1041" s="36"/>
      <c r="O1041" s="36"/>
      <c r="P1041" s="36"/>
      <c r="Q1041" s="36"/>
      <c r="R1041" s="36"/>
      <c r="S1041" s="36"/>
      <c r="T1041" s="36"/>
    </row>
    <row r="1042" spans="1:20" ht="15.75">
      <c r="A1042" s="13">
        <v>73231</v>
      </c>
      <c r="B1042" s="44">
        <f t="shared" si="7"/>
        <v>30</v>
      </c>
      <c r="C1042" s="35">
        <v>194.20500000000001</v>
      </c>
      <c r="D1042" s="35">
        <v>267.46600000000001</v>
      </c>
      <c r="E1042" s="41">
        <v>812.32899999999995</v>
      </c>
      <c r="F1042" s="35">
        <v>1274</v>
      </c>
      <c r="G1042" s="35">
        <v>50</v>
      </c>
      <c r="H1042" s="43">
        <v>600</v>
      </c>
      <c r="I1042" s="35">
        <v>695</v>
      </c>
      <c r="J1042" s="35">
        <v>50</v>
      </c>
      <c r="K1042" s="36"/>
      <c r="L1042" s="36"/>
      <c r="M1042" s="36"/>
      <c r="N1042" s="36"/>
      <c r="O1042" s="36"/>
      <c r="P1042" s="36"/>
      <c r="Q1042" s="36"/>
      <c r="R1042" s="36"/>
      <c r="S1042" s="36"/>
      <c r="T1042" s="36"/>
    </row>
    <row r="1043" spans="1:20" ht="15.75">
      <c r="A1043" s="13">
        <v>73262</v>
      </c>
      <c r="B1043" s="44">
        <f t="shared" si="7"/>
        <v>31</v>
      </c>
      <c r="C1043" s="35">
        <v>194.20500000000001</v>
      </c>
      <c r="D1043" s="35">
        <v>267.46600000000001</v>
      </c>
      <c r="E1043" s="41">
        <v>812.32899999999995</v>
      </c>
      <c r="F1043" s="35">
        <v>1274</v>
      </c>
      <c r="G1043" s="35">
        <v>50</v>
      </c>
      <c r="H1043" s="43">
        <v>600</v>
      </c>
      <c r="I1043" s="35">
        <v>695</v>
      </c>
      <c r="J1043" s="35">
        <v>0</v>
      </c>
      <c r="K1043" s="36"/>
      <c r="L1043" s="36"/>
      <c r="M1043" s="36"/>
      <c r="N1043" s="36"/>
      <c r="O1043" s="36"/>
      <c r="P1043" s="36"/>
      <c r="Q1043" s="36"/>
      <c r="R1043" s="36"/>
      <c r="S1043" s="36"/>
      <c r="T1043" s="36"/>
    </row>
    <row r="1044" spans="1:20" ht="15.75">
      <c r="A1044" s="13">
        <v>73293</v>
      </c>
      <c r="B1044" s="44">
        <f t="shared" si="7"/>
        <v>31</v>
      </c>
      <c r="C1044" s="35">
        <v>194.20500000000001</v>
      </c>
      <c r="D1044" s="35">
        <v>267.46600000000001</v>
      </c>
      <c r="E1044" s="41">
        <v>812.32899999999995</v>
      </c>
      <c r="F1044" s="35">
        <v>1274</v>
      </c>
      <c r="G1044" s="35">
        <v>50</v>
      </c>
      <c r="H1044" s="43">
        <v>600</v>
      </c>
      <c r="I1044" s="35">
        <v>695</v>
      </c>
      <c r="J1044" s="35">
        <v>0</v>
      </c>
      <c r="K1044" s="36"/>
      <c r="L1044" s="36"/>
      <c r="M1044" s="36"/>
      <c r="N1044" s="36"/>
      <c r="O1044" s="36"/>
      <c r="P1044" s="36"/>
      <c r="Q1044" s="36"/>
      <c r="R1044" s="36"/>
      <c r="S1044" s="36"/>
      <c r="T1044" s="36"/>
    </row>
    <row r="1045" spans="1:20" ht="15.75">
      <c r="A1045" s="13">
        <v>73323</v>
      </c>
      <c r="B1045" s="44">
        <f t="shared" si="7"/>
        <v>30</v>
      </c>
      <c r="C1045" s="35">
        <v>194.20500000000001</v>
      </c>
      <c r="D1045" s="35">
        <v>267.46600000000001</v>
      </c>
      <c r="E1045" s="41">
        <v>812.32899999999995</v>
      </c>
      <c r="F1045" s="35">
        <v>1274</v>
      </c>
      <c r="G1045" s="35">
        <v>50</v>
      </c>
      <c r="H1045" s="43">
        <v>600</v>
      </c>
      <c r="I1045" s="35">
        <v>695</v>
      </c>
      <c r="J1045" s="35">
        <v>0</v>
      </c>
      <c r="K1045" s="36"/>
      <c r="L1045" s="36"/>
      <c r="M1045" s="36"/>
      <c r="N1045" s="36"/>
      <c r="O1045" s="36"/>
      <c r="P1045" s="36"/>
      <c r="Q1045" s="36"/>
      <c r="R1045" s="36"/>
      <c r="S1045" s="36"/>
      <c r="T1045" s="36"/>
    </row>
    <row r="1046" spans="1:20" ht="15.75">
      <c r="A1046" s="13">
        <v>73354</v>
      </c>
      <c r="B1046" s="44">
        <f t="shared" si="7"/>
        <v>31</v>
      </c>
      <c r="C1046" s="35">
        <v>131.881</v>
      </c>
      <c r="D1046" s="35">
        <v>277.16699999999997</v>
      </c>
      <c r="E1046" s="41">
        <v>829.952</v>
      </c>
      <c r="F1046" s="35">
        <v>1239</v>
      </c>
      <c r="G1046" s="35">
        <v>75</v>
      </c>
      <c r="H1046" s="43">
        <v>600</v>
      </c>
      <c r="I1046" s="35">
        <v>695</v>
      </c>
      <c r="J1046" s="35">
        <v>0</v>
      </c>
      <c r="K1046" s="36"/>
      <c r="L1046" s="36"/>
      <c r="M1046" s="36"/>
      <c r="N1046" s="36"/>
      <c r="O1046" s="36"/>
      <c r="P1046" s="36"/>
      <c r="Q1046" s="36"/>
      <c r="R1046" s="36"/>
      <c r="S1046" s="36"/>
      <c r="T1046" s="36"/>
    </row>
    <row r="1047" spans="1:20" ht="15.75">
      <c r="A1047" s="13">
        <v>73384</v>
      </c>
      <c r="B1047" s="44">
        <f t="shared" si="7"/>
        <v>30</v>
      </c>
      <c r="C1047" s="35">
        <v>122.58</v>
      </c>
      <c r="D1047" s="35">
        <v>297.94099999999997</v>
      </c>
      <c r="E1047" s="41">
        <v>729.47900000000004</v>
      </c>
      <c r="F1047" s="35">
        <v>1150</v>
      </c>
      <c r="G1047" s="35">
        <v>100</v>
      </c>
      <c r="H1047" s="43">
        <v>600</v>
      </c>
      <c r="I1047" s="35">
        <v>695</v>
      </c>
      <c r="J1047" s="35">
        <v>50</v>
      </c>
      <c r="K1047" s="36"/>
      <c r="L1047" s="36"/>
      <c r="M1047" s="36"/>
      <c r="N1047" s="36"/>
      <c r="O1047" s="36"/>
      <c r="P1047" s="36"/>
      <c r="Q1047" s="36"/>
      <c r="R1047" s="36"/>
      <c r="S1047" s="36"/>
      <c r="T1047" s="36"/>
    </row>
    <row r="1048" spans="1:20" ht="15.75">
      <c r="A1048" s="13">
        <v>73415</v>
      </c>
      <c r="B1048" s="44">
        <f t="shared" si="7"/>
        <v>31</v>
      </c>
      <c r="C1048" s="35">
        <v>122.58</v>
      </c>
      <c r="D1048" s="35">
        <v>297.94099999999997</v>
      </c>
      <c r="E1048" s="41">
        <v>729.47900000000004</v>
      </c>
      <c r="F1048" s="35">
        <v>1150</v>
      </c>
      <c r="G1048" s="35">
        <v>100</v>
      </c>
      <c r="H1048" s="43">
        <v>600</v>
      </c>
      <c r="I1048" s="35">
        <v>695</v>
      </c>
      <c r="J1048" s="35">
        <v>50</v>
      </c>
      <c r="K1048" s="36"/>
      <c r="L1048" s="36"/>
      <c r="M1048" s="36"/>
      <c r="N1048" s="36"/>
      <c r="O1048" s="36"/>
      <c r="P1048" s="36"/>
      <c r="Q1048" s="36"/>
      <c r="R1048" s="36"/>
      <c r="S1048" s="36"/>
      <c r="T1048" s="36"/>
    </row>
    <row r="1049" spans="1:20" ht="15">
      <c r="A1049" s="10"/>
      <c r="B1049" s="42"/>
      <c r="C1049" s="35"/>
      <c r="D1049" s="35"/>
      <c r="E1049" s="41"/>
      <c r="F1049" s="35"/>
      <c r="G1049" s="35"/>
      <c r="H1049" s="35"/>
      <c r="I1049" s="35"/>
      <c r="J1049" s="35"/>
      <c r="K1049" s="36"/>
      <c r="L1049" s="36"/>
      <c r="M1049" s="36"/>
      <c r="N1049" s="36"/>
      <c r="O1049" s="36"/>
      <c r="P1049" s="36"/>
      <c r="Q1049" s="36"/>
      <c r="R1049" s="36"/>
      <c r="S1049" s="36"/>
      <c r="T1049" s="36"/>
    </row>
    <row r="1050" spans="1:20" ht="15.75">
      <c r="A1050" s="3">
        <v>2015</v>
      </c>
      <c r="B1050" s="3">
        <f t="shared" ref="B1050:B1081" si="8">DATE(A1050+1,1,1)-DATE(A1050,1,1)</f>
        <v>365</v>
      </c>
      <c r="C1050" s="38">
        <f>AVERAGE(C17:C28)</f>
        <v>154.75825</v>
      </c>
      <c r="D1050" s="38">
        <f>AVERAGE(D17:D28)</f>
        <v>281.0162499999999</v>
      </c>
      <c r="E1050" s="38">
        <f>AVERAGE(E17:E28)</f>
        <v>822.39216666666641</v>
      </c>
      <c r="F1050" s="38">
        <f>AVERAGE(F17:F28)</f>
        <v>1258.1666666666667</v>
      </c>
      <c r="G1050" s="38">
        <f>AVERAGE(G17:G28)</f>
        <v>79.166666666666671</v>
      </c>
      <c r="H1050" s="40"/>
      <c r="I1050" s="38">
        <f>AVERAGE(I17:I28)</f>
        <v>695</v>
      </c>
      <c r="J1050" s="38">
        <f>AVERAGE(J17:J28)</f>
        <v>33.333333333333336</v>
      </c>
      <c r="K1050" s="36"/>
      <c r="L1050" s="36"/>
      <c r="M1050" s="36"/>
      <c r="N1050" s="36"/>
      <c r="O1050" s="36"/>
      <c r="P1050" s="36"/>
      <c r="Q1050" s="36"/>
      <c r="R1050" s="36"/>
      <c r="S1050" s="36"/>
      <c r="T1050" s="36"/>
    </row>
    <row r="1051" spans="1:20" ht="15.75">
      <c r="A1051" s="3">
        <v>2016</v>
      </c>
      <c r="B1051" s="3">
        <f t="shared" si="8"/>
        <v>366</v>
      </c>
      <c r="C1051" s="38">
        <f>AVERAGE(C29:C40)</f>
        <v>154.75825</v>
      </c>
      <c r="D1051" s="38">
        <f>AVERAGE(D29:D40)</f>
        <v>281.0162499999999</v>
      </c>
      <c r="E1051" s="38">
        <f>AVERAGE(E29:E40)</f>
        <v>822.39216666666641</v>
      </c>
      <c r="F1051" s="38">
        <f>AVERAGE(F29:F40)</f>
        <v>1258.1666666666667</v>
      </c>
      <c r="G1051" s="38">
        <f>AVERAGE(G29:G40)</f>
        <v>79.166666666666671</v>
      </c>
      <c r="H1051" s="40"/>
      <c r="I1051" s="38">
        <f>AVERAGE(I29:I40)</f>
        <v>695</v>
      </c>
      <c r="J1051" s="38">
        <f>AVERAGE(J29:J40)</f>
        <v>33.333333333333336</v>
      </c>
      <c r="K1051" s="36"/>
      <c r="L1051" s="36"/>
      <c r="M1051" s="36"/>
      <c r="N1051" s="36"/>
      <c r="O1051" s="36"/>
      <c r="P1051" s="36"/>
      <c r="Q1051" s="36"/>
      <c r="R1051" s="36"/>
      <c r="S1051" s="36"/>
      <c r="T1051" s="36"/>
    </row>
    <row r="1052" spans="1:20" ht="15">
      <c r="A1052" s="3">
        <v>2017</v>
      </c>
      <c r="B1052" s="3">
        <f t="shared" si="8"/>
        <v>365</v>
      </c>
      <c r="C1052" s="38">
        <f t="shared" ref="C1052:J1052" si="9">AVERAGE(C41:C52)</f>
        <v>154.75825</v>
      </c>
      <c r="D1052" s="38">
        <f t="shared" si="9"/>
        <v>281.0162499999999</v>
      </c>
      <c r="E1052" s="38">
        <f t="shared" si="9"/>
        <v>780.7254999999999</v>
      </c>
      <c r="F1052" s="38">
        <f t="shared" si="9"/>
        <v>1216.5</v>
      </c>
      <c r="G1052" s="38">
        <f t="shared" si="9"/>
        <v>79.166666666666671</v>
      </c>
      <c r="H1052" s="39">
        <f t="shared" si="9"/>
        <v>400</v>
      </c>
      <c r="I1052" s="38">
        <f t="shared" si="9"/>
        <v>695</v>
      </c>
      <c r="J1052" s="38">
        <f t="shared" si="9"/>
        <v>33.333333333333336</v>
      </c>
      <c r="K1052" s="36"/>
      <c r="L1052" s="36"/>
      <c r="M1052" s="36"/>
      <c r="N1052" s="36"/>
      <c r="O1052" s="36"/>
      <c r="P1052" s="36"/>
      <c r="Q1052" s="36"/>
      <c r="R1052" s="36"/>
      <c r="S1052" s="36"/>
      <c r="T1052" s="36"/>
    </row>
    <row r="1053" spans="1:20" ht="15">
      <c r="A1053" s="3">
        <v>2018</v>
      </c>
      <c r="B1053" s="3">
        <f t="shared" si="8"/>
        <v>365</v>
      </c>
      <c r="C1053" s="38">
        <f t="shared" ref="C1053:J1053" si="10">AVERAGE(C53:C64)</f>
        <v>154.75825</v>
      </c>
      <c r="D1053" s="38">
        <f t="shared" si="10"/>
        <v>281.0162499999999</v>
      </c>
      <c r="E1053" s="38">
        <f t="shared" si="10"/>
        <v>780.7254999999999</v>
      </c>
      <c r="F1053" s="38">
        <f t="shared" si="10"/>
        <v>1216.5</v>
      </c>
      <c r="G1053" s="38">
        <f t="shared" si="10"/>
        <v>79.166666666666671</v>
      </c>
      <c r="H1053" s="39">
        <f t="shared" si="10"/>
        <v>400</v>
      </c>
      <c r="I1053" s="38">
        <f t="shared" si="10"/>
        <v>695</v>
      </c>
      <c r="J1053" s="38">
        <f t="shared" si="10"/>
        <v>33.333333333333336</v>
      </c>
      <c r="K1053" s="36"/>
      <c r="L1053" s="36"/>
      <c r="M1053" s="36"/>
      <c r="N1053" s="36"/>
      <c r="O1053" s="36"/>
      <c r="P1053" s="36"/>
      <c r="Q1053" s="36"/>
      <c r="R1053" s="36"/>
      <c r="S1053" s="36"/>
      <c r="T1053" s="36"/>
    </row>
    <row r="1054" spans="1:20" ht="15">
      <c r="A1054" s="3">
        <v>2019</v>
      </c>
      <c r="B1054" s="3">
        <f t="shared" si="8"/>
        <v>365</v>
      </c>
      <c r="C1054" s="38">
        <f t="shared" ref="C1054:J1054" si="11">AVERAGE(C65:C76)</f>
        <v>154.75825</v>
      </c>
      <c r="D1054" s="38">
        <f t="shared" si="11"/>
        <v>281.0162499999999</v>
      </c>
      <c r="E1054" s="38">
        <f t="shared" si="11"/>
        <v>780.7254999999999</v>
      </c>
      <c r="F1054" s="38">
        <f t="shared" si="11"/>
        <v>1216.5</v>
      </c>
      <c r="G1054" s="38">
        <f t="shared" si="11"/>
        <v>79.166666666666671</v>
      </c>
      <c r="H1054" s="39">
        <f t="shared" si="11"/>
        <v>400</v>
      </c>
      <c r="I1054" s="38">
        <f t="shared" si="11"/>
        <v>695</v>
      </c>
      <c r="J1054" s="38">
        <f t="shared" si="11"/>
        <v>33.333333333333336</v>
      </c>
      <c r="K1054" s="36"/>
      <c r="L1054" s="36"/>
      <c r="M1054" s="36"/>
      <c r="N1054" s="36"/>
      <c r="O1054" s="36"/>
      <c r="P1054" s="36"/>
      <c r="Q1054" s="36"/>
      <c r="R1054" s="36"/>
      <c r="S1054" s="36"/>
      <c r="T1054" s="36"/>
    </row>
    <row r="1055" spans="1:20" ht="15">
      <c r="A1055" s="3">
        <v>2020</v>
      </c>
      <c r="B1055" s="3">
        <f t="shared" si="8"/>
        <v>366</v>
      </c>
      <c r="C1055" s="38">
        <f t="shared" ref="C1055:J1055" si="12">AVERAGE(C77:C88)</f>
        <v>154.75825</v>
      </c>
      <c r="D1055" s="38">
        <f t="shared" si="12"/>
        <v>281.0162499999999</v>
      </c>
      <c r="E1055" s="38">
        <f t="shared" si="12"/>
        <v>780.7254999999999</v>
      </c>
      <c r="F1055" s="38">
        <f t="shared" si="12"/>
        <v>1216.5</v>
      </c>
      <c r="G1055" s="38">
        <f t="shared" si="12"/>
        <v>79.166666666666671</v>
      </c>
      <c r="H1055" s="39">
        <f t="shared" si="12"/>
        <v>533.33333333333337</v>
      </c>
      <c r="I1055" s="38">
        <f t="shared" si="12"/>
        <v>695</v>
      </c>
      <c r="J1055" s="38">
        <f t="shared" si="12"/>
        <v>33.333333333333336</v>
      </c>
      <c r="K1055" s="36"/>
      <c r="L1055" s="36"/>
      <c r="M1055" s="36"/>
      <c r="N1055" s="36"/>
      <c r="O1055" s="36"/>
      <c r="P1055" s="36"/>
      <c r="Q1055" s="36"/>
      <c r="R1055" s="36"/>
      <c r="S1055" s="36"/>
      <c r="T1055" s="36"/>
    </row>
    <row r="1056" spans="1:20" ht="15">
      <c r="A1056" s="3">
        <v>2021</v>
      </c>
      <c r="B1056" s="3">
        <f t="shared" si="8"/>
        <v>365</v>
      </c>
      <c r="C1056" s="38">
        <f t="shared" ref="C1056:J1056" si="13">AVERAGE(C89:C100)</f>
        <v>154.75825</v>
      </c>
      <c r="D1056" s="38">
        <f t="shared" si="13"/>
        <v>281.0162499999999</v>
      </c>
      <c r="E1056" s="38">
        <f t="shared" si="13"/>
        <v>780.7254999999999</v>
      </c>
      <c r="F1056" s="38">
        <f t="shared" si="13"/>
        <v>1216.5</v>
      </c>
      <c r="G1056" s="38">
        <f t="shared" si="13"/>
        <v>79.166666666666671</v>
      </c>
      <c r="H1056" s="39">
        <f t="shared" si="13"/>
        <v>600</v>
      </c>
      <c r="I1056" s="38">
        <f t="shared" si="13"/>
        <v>695</v>
      </c>
      <c r="J1056" s="38">
        <f t="shared" si="13"/>
        <v>33.333333333333336</v>
      </c>
      <c r="K1056" s="36"/>
      <c r="L1056" s="36"/>
      <c r="M1056" s="36"/>
      <c r="N1056" s="36"/>
      <c r="O1056" s="36"/>
      <c r="P1056" s="36"/>
      <c r="Q1056" s="36"/>
      <c r="R1056" s="36"/>
      <c r="S1056" s="36"/>
      <c r="T1056" s="36"/>
    </row>
    <row r="1057" spans="1:20" ht="15">
      <c r="A1057" s="3">
        <v>2022</v>
      </c>
      <c r="B1057" s="3">
        <f t="shared" si="8"/>
        <v>365</v>
      </c>
      <c r="C1057" s="38">
        <f t="shared" ref="C1057:J1057" si="14">AVERAGE(C101:C112)</f>
        <v>154.75825</v>
      </c>
      <c r="D1057" s="38">
        <f t="shared" si="14"/>
        <v>281.0162499999999</v>
      </c>
      <c r="E1057" s="38">
        <f t="shared" si="14"/>
        <v>780.7254999999999</v>
      </c>
      <c r="F1057" s="38">
        <f t="shared" si="14"/>
        <v>1216.5</v>
      </c>
      <c r="G1057" s="38">
        <f t="shared" si="14"/>
        <v>79.166666666666671</v>
      </c>
      <c r="H1057" s="39">
        <f t="shared" si="14"/>
        <v>600</v>
      </c>
      <c r="I1057" s="38">
        <f t="shared" si="14"/>
        <v>695</v>
      </c>
      <c r="J1057" s="38">
        <f t="shared" si="14"/>
        <v>33.333333333333336</v>
      </c>
      <c r="K1057" s="36"/>
      <c r="L1057" s="36"/>
      <c r="M1057" s="36"/>
      <c r="N1057" s="36"/>
      <c r="O1057" s="36"/>
      <c r="P1057" s="36"/>
      <c r="Q1057" s="36"/>
      <c r="R1057" s="36"/>
      <c r="S1057" s="36"/>
      <c r="T1057" s="36"/>
    </row>
    <row r="1058" spans="1:20" ht="15">
      <c r="A1058" s="3">
        <v>2023</v>
      </c>
      <c r="B1058" s="3">
        <f t="shared" si="8"/>
        <v>365</v>
      </c>
      <c r="C1058" s="38">
        <f t="shared" ref="C1058:J1058" si="15">AVERAGE(C113:C124)</f>
        <v>154.75825</v>
      </c>
      <c r="D1058" s="38">
        <f t="shared" si="15"/>
        <v>281.0162499999999</v>
      </c>
      <c r="E1058" s="38">
        <f t="shared" si="15"/>
        <v>780.7254999999999</v>
      </c>
      <c r="F1058" s="38">
        <f t="shared" si="15"/>
        <v>1216.5</v>
      </c>
      <c r="G1058" s="38">
        <f t="shared" si="15"/>
        <v>79.166666666666671</v>
      </c>
      <c r="H1058" s="39">
        <f t="shared" si="15"/>
        <v>600</v>
      </c>
      <c r="I1058" s="38">
        <f t="shared" si="15"/>
        <v>695</v>
      </c>
      <c r="J1058" s="38">
        <f t="shared" si="15"/>
        <v>33.333333333333336</v>
      </c>
      <c r="K1058" s="36"/>
      <c r="L1058" s="36"/>
      <c r="M1058" s="36"/>
      <c r="N1058" s="36"/>
      <c r="O1058" s="36"/>
      <c r="P1058" s="36"/>
      <c r="Q1058" s="36"/>
      <c r="R1058" s="36"/>
      <c r="S1058" s="36"/>
      <c r="T1058" s="36"/>
    </row>
    <row r="1059" spans="1:20" ht="15">
      <c r="A1059" s="3">
        <v>2024</v>
      </c>
      <c r="B1059" s="3">
        <f t="shared" si="8"/>
        <v>366</v>
      </c>
      <c r="C1059" s="38">
        <f t="shared" ref="C1059:J1059" si="16">AVERAGE(C125:C136)</f>
        <v>154.75825</v>
      </c>
      <c r="D1059" s="38">
        <f t="shared" si="16"/>
        <v>281.0162499999999</v>
      </c>
      <c r="E1059" s="38">
        <f t="shared" si="16"/>
        <v>780.7254999999999</v>
      </c>
      <c r="F1059" s="38">
        <f t="shared" si="16"/>
        <v>1216.5</v>
      </c>
      <c r="G1059" s="38">
        <f t="shared" si="16"/>
        <v>79.166666666666671</v>
      </c>
      <c r="H1059" s="39">
        <f t="shared" si="16"/>
        <v>600</v>
      </c>
      <c r="I1059" s="38">
        <f t="shared" si="16"/>
        <v>695</v>
      </c>
      <c r="J1059" s="38">
        <f t="shared" si="16"/>
        <v>33.333333333333336</v>
      </c>
      <c r="K1059" s="36"/>
      <c r="L1059" s="36"/>
      <c r="M1059" s="36"/>
      <c r="N1059" s="36"/>
      <c r="O1059" s="36"/>
      <c r="P1059" s="36"/>
      <c r="Q1059" s="36"/>
      <c r="R1059" s="36"/>
      <c r="S1059" s="36"/>
      <c r="T1059" s="36"/>
    </row>
    <row r="1060" spans="1:20" ht="15">
      <c r="A1060" s="3">
        <v>2025</v>
      </c>
      <c r="B1060" s="3">
        <f t="shared" si="8"/>
        <v>365</v>
      </c>
      <c r="C1060" s="38">
        <f t="shared" ref="C1060:J1060" si="17">AVERAGE(C137:C148)</f>
        <v>154.75825</v>
      </c>
      <c r="D1060" s="38">
        <f t="shared" si="17"/>
        <v>281.0162499999999</v>
      </c>
      <c r="E1060" s="38">
        <f t="shared" si="17"/>
        <v>780.7254999999999</v>
      </c>
      <c r="F1060" s="38">
        <f t="shared" si="17"/>
        <v>1216.5</v>
      </c>
      <c r="G1060" s="38">
        <f t="shared" si="17"/>
        <v>79.166666666666671</v>
      </c>
      <c r="H1060" s="39">
        <f t="shared" si="17"/>
        <v>600</v>
      </c>
      <c r="I1060" s="38">
        <f t="shared" si="17"/>
        <v>695</v>
      </c>
      <c r="J1060" s="38">
        <f t="shared" si="17"/>
        <v>33.333333333333336</v>
      </c>
      <c r="K1060" s="36"/>
      <c r="L1060" s="36"/>
      <c r="M1060" s="36"/>
      <c r="N1060" s="36"/>
      <c r="O1060" s="36"/>
      <c r="P1060" s="36"/>
      <c r="Q1060" s="36"/>
      <c r="R1060" s="36"/>
      <c r="S1060" s="36"/>
      <c r="T1060" s="36"/>
    </row>
    <row r="1061" spans="1:20" ht="15">
      <c r="A1061" s="3">
        <v>2026</v>
      </c>
      <c r="B1061" s="3">
        <f t="shared" si="8"/>
        <v>365</v>
      </c>
      <c r="C1061" s="38">
        <f t="shared" ref="C1061:J1061" si="18">AVERAGE(C149:C160)</f>
        <v>154.75825</v>
      </c>
      <c r="D1061" s="38">
        <f t="shared" si="18"/>
        <v>281.0162499999999</v>
      </c>
      <c r="E1061" s="38">
        <f t="shared" si="18"/>
        <v>780.7254999999999</v>
      </c>
      <c r="F1061" s="38">
        <f t="shared" si="18"/>
        <v>1216.5</v>
      </c>
      <c r="G1061" s="38">
        <f t="shared" si="18"/>
        <v>79.166666666666671</v>
      </c>
      <c r="H1061" s="39">
        <f t="shared" si="18"/>
        <v>600</v>
      </c>
      <c r="I1061" s="38">
        <f t="shared" si="18"/>
        <v>695</v>
      </c>
      <c r="J1061" s="38">
        <f t="shared" si="18"/>
        <v>33.333333333333336</v>
      </c>
      <c r="K1061" s="36"/>
      <c r="L1061" s="36"/>
      <c r="M1061" s="36"/>
      <c r="N1061" s="36"/>
      <c r="O1061" s="36"/>
      <c r="P1061" s="36"/>
      <c r="Q1061" s="36"/>
      <c r="R1061" s="36"/>
      <c r="S1061" s="36"/>
      <c r="T1061" s="36"/>
    </row>
    <row r="1062" spans="1:20" ht="15">
      <c r="A1062" s="3">
        <v>2027</v>
      </c>
      <c r="B1062" s="3">
        <f t="shared" si="8"/>
        <v>365</v>
      </c>
      <c r="C1062" s="38">
        <f t="shared" ref="C1062:J1062" si="19">AVERAGE(C161:C172)</f>
        <v>154.75825</v>
      </c>
      <c r="D1062" s="38">
        <f t="shared" si="19"/>
        <v>281.0162499999999</v>
      </c>
      <c r="E1062" s="38">
        <f t="shared" si="19"/>
        <v>780.7254999999999</v>
      </c>
      <c r="F1062" s="38">
        <f t="shared" si="19"/>
        <v>1216.5</v>
      </c>
      <c r="G1062" s="38">
        <f t="shared" si="19"/>
        <v>79.166666666666671</v>
      </c>
      <c r="H1062" s="39">
        <f t="shared" si="19"/>
        <v>600</v>
      </c>
      <c r="I1062" s="38">
        <f t="shared" si="19"/>
        <v>695</v>
      </c>
      <c r="J1062" s="38">
        <f t="shared" si="19"/>
        <v>33.333333333333336</v>
      </c>
      <c r="K1062" s="36"/>
      <c r="L1062" s="36"/>
      <c r="M1062" s="36"/>
      <c r="N1062" s="36"/>
      <c r="O1062" s="36"/>
      <c r="P1062" s="36"/>
      <c r="Q1062" s="36"/>
      <c r="R1062" s="36"/>
      <c r="S1062" s="36"/>
      <c r="T1062" s="36"/>
    </row>
    <row r="1063" spans="1:20" ht="15">
      <c r="A1063" s="3">
        <v>2028</v>
      </c>
      <c r="B1063" s="3">
        <f t="shared" si="8"/>
        <v>366</v>
      </c>
      <c r="C1063" s="38">
        <f t="shared" ref="C1063:J1063" si="20">AVERAGE(C173:C184)</f>
        <v>154.75825</v>
      </c>
      <c r="D1063" s="38">
        <f t="shared" si="20"/>
        <v>281.0162499999999</v>
      </c>
      <c r="E1063" s="38">
        <f t="shared" si="20"/>
        <v>780.7254999999999</v>
      </c>
      <c r="F1063" s="38">
        <f t="shared" si="20"/>
        <v>1216.5</v>
      </c>
      <c r="G1063" s="38">
        <f t="shared" si="20"/>
        <v>79.166666666666671</v>
      </c>
      <c r="H1063" s="39">
        <f t="shared" si="20"/>
        <v>600</v>
      </c>
      <c r="I1063" s="38">
        <f t="shared" si="20"/>
        <v>695</v>
      </c>
      <c r="J1063" s="38">
        <f t="shared" si="20"/>
        <v>33.333333333333336</v>
      </c>
      <c r="K1063" s="36"/>
      <c r="L1063" s="36"/>
      <c r="M1063" s="36"/>
      <c r="N1063" s="36"/>
      <c r="O1063" s="36"/>
      <c r="P1063" s="36"/>
      <c r="Q1063" s="36"/>
      <c r="R1063" s="36"/>
      <c r="S1063" s="36"/>
      <c r="T1063" s="36"/>
    </row>
    <row r="1064" spans="1:20" ht="15">
      <c r="A1064" s="3">
        <v>2029</v>
      </c>
      <c r="B1064" s="3">
        <f t="shared" si="8"/>
        <v>365</v>
      </c>
      <c r="C1064" s="38">
        <f t="shared" ref="C1064:J1064" si="21">AVERAGE(C185:C196)</f>
        <v>154.75825</v>
      </c>
      <c r="D1064" s="38">
        <f t="shared" si="21"/>
        <v>281.0162499999999</v>
      </c>
      <c r="E1064" s="38">
        <f t="shared" si="21"/>
        <v>780.7254999999999</v>
      </c>
      <c r="F1064" s="38">
        <f t="shared" si="21"/>
        <v>1216.5</v>
      </c>
      <c r="G1064" s="38">
        <f t="shared" si="21"/>
        <v>79.166666666666671</v>
      </c>
      <c r="H1064" s="39">
        <f t="shared" si="21"/>
        <v>600</v>
      </c>
      <c r="I1064" s="38">
        <f t="shared" si="21"/>
        <v>695</v>
      </c>
      <c r="J1064" s="38">
        <f t="shared" si="21"/>
        <v>33.333333333333336</v>
      </c>
      <c r="K1064" s="36"/>
      <c r="L1064" s="36"/>
      <c r="M1064" s="36"/>
      <c r="N1064" s="36"/>
      <c r="O1064" s="36"/>
      <c r="P1064" s="36"/>
      <c r="Q1064" s="36"/>
      <c r="R1064" s="36"/>
      <c r="S1064" s="36"/>
      <c r="T1064" s="36"/>
    </row>
    <row r="1065" spans="1:20" ht="15">
      <c r="A1065" s="3">
        <v>2030</v>
      </c>
      <c r="B1065" s="3">
        <f t="shared" si="8"/>
        <v>365</v>
      </c>
      <c r="C1065" s="38">
        <f t="shared" ref="C1065:J1065" si="22">AVERAGE(C197:C208)</f>
        <v>154.75825</v>
      </c>
      <c r="D1065" s="38">
        <f t="shared" si="22"/>
        <v>281.0162499999999</v>
      </c>
      <c r="E1065" s="38">
        <f t="shared" si="22"/>
        <v>780.7254999999999</v>
      </c>
      <c r="F1065" s="38">
        <f t="shared" si="22"/>
        <v>1216.5</v>
      </c>
      <c r="G1065" s="38">
        <f t="shared" si="22"/>
        <v>79.166666666666671</v>
      </c>
      <c r="H1065" s="39">
        <f t="shared" si="22"/>
        <v>600</v>
      </c>
      <c r="I1065" s="38">
        <f t="shared" si="22"/>
        <v>695</v>
      </c>
      <c r="J1065" s="38">
        <f t="shared" si="22"/>
        <v>33.333333333333336</v>
      </c>
      <c r="K1065" s="36"/>
      <c r="L1065" s="36"/>
      <c r="M1065" s="36"/>
      <c r="N1065" s="36"/>
      <c r="O1065" s="36"/>
      <c r="P1065" s="36"/>
      <c r="Q1065" s="36"/>
      <c r="R1065" s="36"/>
      <c r="S1065" s="36"/>
      <c r="T1065" s="36"/>
    </row>
    <row r="1066" spans="1:20" ht="15">
      <c r="A1066" s="3">
        <v>2031</v>
      </c>
      <c r="B1066" s="3">
        <f t="shared" si="8"/>
        <v>365</v>
      </c>
      <c r="C1066" s="38">
        <f t="shared" ref="C1066:J1066" si="23">AVERAGE(C209:C220)</f>
        <v>154.75825</v>
      </c>
      <c r="D1066" s="38">
        <f t="shared" si="23"/>
        <v>281.0162499999999</v>
      </c>
      <c r="E1066" s="38">
        <f t="shared" si="23"/>
        <v>780.7254999999999</v>
      </c>
      <c r="F1066" s="38">
        <f t="shared" si="23"/>
        <v>1216.5</v>
      </c>
      <c r="G1066" s="38">
        <f t="shared" si="23"/>
        <v>79.166666666666671</v>
      </c>
      <c r="H1066" s="39">
        <f t="shared" si="23"/>
        <v>600</v>
      </c>
      <c r="I1066" s="38">
        <f t="shared" si="23"/>
        <v>695</v>
      </c>
      <c r="J1066" s="38">
        <f t="shared" si="23"/>
        <v>33.333333333333336</v>
      </c>
      <c r="K1066" s="36"/>
      <c r="L1066" s="36"/>
      <c r="M1066" s="36"/>
      <c r="N1066" s="36"/>
      <c r="O1066" s="36"/>
      <c r="P1066" s="36"/>
      <c r="Q1066" s="36"/>
      <c r="R1066" s="36"/>
      <c r="S1066" s="36"/>
      <c r="T1066" s="36"/>
    </row>
    <row r="1067" spans="1:20" ht="15">
      <c r="A1067" s="3">
        <v>2032</v>
      </c>
      <c r="B1067" s="3">
        <f t="shared" si="8"/>
        <v>366</v>
      </c>
      <c r="C1067" s="38">
        <f t="shared" ref="C1067:J1067" si="24">AVERAGE(C221:C232)</f>
        <v>154.75825</v>
      </c>
      <c r="D1067" s="38">
        <f t="shared" si="24"/>
        <v>281.0162499999999</v>
      </c>
      <c r="E1067" s="38">
        <f t="shared" si="24"/>
        <v>780.7254999999999</v>
      </c>
      <c r="F1067" s="38">
        <f t="shared" si="24"/>
        <v>1216.5</v>
      </c>
      <c r="G1067" s="38">
        <f t="shared" si="24"/>
        <v>79.166666666666671</v>
      </c>
      <c r="H1067" s="39">
        <f t="shared" si="24"/>
        <v>600</v>
      </c>
      <c r="I1067" s="38">
        <f t="shared" si="24"/>
        <v>695</v>
      </c>
      <c r="J1067" s="38">
        <f t="shared" si="24"/>
        <v>33.333333333333336</v>
      </c>
      <c r="K1067" s="36"/>
      <c r="L1067" s="36"/>
      <c r="M1067" s="36"/>
      <c r="N1067" s="36"/>
      <c r="O1067" s="36"/>
      <c r="P1067" s="36"/>
      <c r="Q1067" s="36"/>
      <c r="R1067" s="36"/>
      <c r="S1067" s="36"/>
      <c r="T1067" s="36"/>
    </row>
    <row r="1068" spans="1:20" ht="15">
      <c r="A1068" s="3">
        <v>2033</v>
      </c>
      <c r="B1068" s="3">
        <f t="shared" si="8"/>
        <v>365</v>
      </c>
      <c r="C1068" s="38">
        <f t="shared" ref="C1068:J1068" si="25">AVERAGE(C233:C244)</f>
        <v>154.75825</v>
      </c>
      <c r="D1068" s="38">
        <f t="shared" si="25"/>
        <v>281.0162499999999</v>
      </c>
      <c r="E1068" s="38">
        <f t="shared" si="25"/>
        <v>780.7254999999999</v>
      </c>
      <c r="F1068" s="38">
        <f t="shared" si="25"/>
        <v>1216.5</v>
      </c>
      <c r="G1068" s="38">
        <f t="shared" si="25"/>
        <v>79.166666666666671</v>
      </c>
      <c r="H1068" s="39">
        <f t="shared" si="25"/>
        <v>600</v>
      </c>
      <c r="I1068" s="38">
        <f t="shared" si="25"/>
        <v>695</v>
      </c>
      <c r="J1068" s="38">
        <f t="shared" si="25"/>
        <v>33.333333333333336</v>
      </c>
      <c r="K1068" s="36"/>
      <c r="L1068" s="36"/>
      <c r="M1068" s="36"/>
      <c r="N1068" s="36"/>
      <c r="O1068" s="36"/>
      <c r="P1068" s="36"/>
      <c r="Q1068" s="36"/>
      <c r="R1068" s="36"/>
      <c r="S1068" s="36"/>
      <c r="T1068" s="36"/>
    </row>
    <row r="1069" spans="1:20" ht="15">
      <c r="A1069" s="3">
        <v>2034</v>
      </c>
      <c r="B1069" s="3">
        <f t="shared" si="8"/>
        <v>365</v>
      </c>
      <c r="C1069" s="38">
        <f t="shared" ref="C1069:J1069" si="26">AVERAGE(C245:C256)</f>
        <v>154.75825</v>
      </c>
      <c r="D1069" s="38">
        <f t="shared" si="26"/>
        <v>281.0162499999999</v>
      </c>
      <c r="E1069" s="38">
        <f t="shared" si="26"/>
        <v>780.7254999999999</v>
      </c>
      <c r="F1069" s="38">
        <f t="shared" si="26"/>
        <v>1216.5</v>
      </c>
      <c r="G1069" s="38">
        <f t="shared" si="26"/>
        <v>79.166666666666671</v>
      </c>
      <c r="H1069" s="39">
        <f t="shared" si="26"/>
        <v>600</v>
      </c>
      <c r="I1069" s="38">
        <f t="shared" si="26"/>
        <v>695</v>
      </c>
      <c r="J1069" s="38">
        <f t="shared" si="26"/>
        <v>33.333333333333336</v>
      </c>
      <c r="K1069" s="36"/>
      <c r="L1069" s="36"/>
      <c r="M1069" s="36"/>
      <c r="N1069" s="36"/>
      <c r="O1069" s="36"/>
      <c r="P1069" s="36"/>
      <c r="Q1069" s="36"/>
      <c r="R1069" s="36"/>
      <c r="S1069" s="36"/>
      <c r="T1069" s="36"/>
    </row>
    <row r="1070" spans="1:20" ht="15">
      <c r="A1070" s="3">
        <v>2035</v>
      </c>
      <c r="B1070" s="3">
        <f t="shared" si="8"/>
        <v>365</v>
      </c>
      <c r="C1070" s="38">
        <f t="shared" ref="C1070:J1070" si="27">AVERAGE(C257:C268)</f>
        <v>154.75825</v>
      </c>
      <c r="D1070" s="38">
        <f t="shared" si="27"/>
        <v>281.0162499999999</v>
      </c>
      <c r="E1070" s="38">
        <f t="shared" si="27"/>
        <v>780.7254999999999</v>
      </c>
      <c r="F1070" s="38">
        <f t="shared" si="27"/>
        <v>1216.5</v>
      </c>
      <c r="G1070" s="38">
        <f t="shared" si="27"/>
        <v>79.166666666666671</v>
      </c>
      <c r="H1070" s="39">
        <f t="shared" si="27"/>
        <v>600</v>
      </c>
      <c r="I1070" s="38">
        <f t="shared" si="27"/>
        <v>695</v>
      </c>
      <c r="J1070" s="38">
        <f t="shared" si="27"/>
        <v>33.333333333333336</v>
      </c>
      <c r="K1070" s="36"/>
      <c r="L1070" s="36"/>
      <c r="M1070" s="36"/>
      <c r="N1070" s="36"/>
      <c r="O1070" s="36"/>
      <c r="P1070" s="36"/>
      <c r="Q1070" s="36"/>
      <c r="R1070" s="36"/>
      <c r="S1070" s="36"/>
      <c r="T1070" s="36"/>
    </row>
    <row r="1071" spans="1:20" ht="15">
      <c r="A1071" s="3">
        <v>2036</v>
      </c>
      <c r="B1071" s="3">
        <f t="shared" si="8"/>
        <v>366</v>
      </c>
      <c r="C1071" s="38">
        <f t="shared" ref="C1071:J1071" si="28">AVERAGE(C269:C280)</f>
        <v>154.75825</v>
      </c>
      <c r="D1071" s="38">
        <f t="shared" si="28"/>
        <v>281.0162499999999</v>
      </c>
      <c r="E1071" s="38">
        <f t="shared" si="28"/>
        <v>780.7254999999999</v>
      </c>
      <c r="F1071" s="38">
        <f t="shared" si="28"/>
        <v>1216.5</v>
      </c>
      <c r="G1071" s="38">
        <f t="shared" si="28"/>
        <v>79.166666666666671</v>
      </c>
      <c r="H1071" s="39">
        <f t="shared" si="28"/>
        <v>600</v>
      </c>
      <c r="I1071" s="38">
        <f t="shared" si="28"/>
        <v>695</v>
      </c>
      <c r="J1071" s="38">
        <f t="shared" si="28"/>
        <v>33.333333333333336</v>
      </c>
      <c r="K1071" s="36"/>
      <c r="L1071" s="36"/>
      <c r="M1071" s="36"/>
      <c r="N1071" s="36"/>
      <c r="O1071" s="36"/>
      <c r="P1071" s="36"/>
      <c r="Q1071" s="36"/>
      <c r="R1071" s="36"/>
      <c r="S1071" s="36"/>
      <c r="T1071" s="36"/>
    </row>
    <row r="1072" spans="1:20" ht="15">
      <c r="A1072" s="3">
        <v>2037</v>
      </c>
      <c r="B1072" s="3">
        <f t="shared" si="8"/>
        <v>365</v>
      </c>
      <c r="C1072" s="38">
        <f t="shared" ref="C1072:J1072" si="29">AVERAGE(C281:C292)</f>
        <v>154.75825</v>
      </c>
      <c r="D1072" s="38">
        <f t="shared" si="29"/>
        <v>281.0162499999999</v>
      </c>
      <c r="E1072" s="38">
        <f t="shared" si="29"/>
        <v>780.7254999999999</v>
      </c>
      <c r="F1072" s="38">
        <f t="shared" si="29"/>
        <v>1216.5</v>
      </c>
      <c r="G1072" s="38">
        <f t="shared" si="29"/>
        <v>79.166666666666671</v>
      </c>
      <c r="H1072" s="39">
        <f t="shared" si="29"/>
        <v>600</v>
      </c>
      <c r="I1072" s="38">
        <f t="shared" si="29"/>
        <v>695</v>
      </c>
      <c r="J1072" s="38">
        <f t="shared" si="29"/>
        <v>33.333333333333336</v>
      </c>
      <c r="K1072" s="36"/>
      <c r="L1072" s="36"/>
      <c r="M1072" s="36"/>
      <c r="N1072" s="36"/>
      <c r="O1072" s="36"/>
      <c r="P1072" s="36"/>
      <c r="Q1072" s="36"/>
      <c r="R1072" s="36"/>
      <c r="S1072" s="36"/>
      <c r="T1072" s="36"/>
    </row>
    <row r="1073" spans="1:20" ht="15">
      <c r="A1073" s="3">
        <f t="shared" ref="A1073:A1104" si="30">A1072+1</f>
        <v>2038</v>
      </c>
      <c r="B1073" s="3">
        <f t="shared" si="8"/>
        <v>365</v>
      </c>
      <c r="C1073" s="35">
        <f t="shared" ref="C1073:J1073" si="31">AVERAGE(C293:C304)</f>
        <v>154.75825</v>
      </c>
      <c r="D1073" s="35">
        <f t="shared" si="31"/>
        <v>281.0162499999999</v>
      </c>
      <c r="E1073" s="35">
        <f t="shared" si="31"/>
        <v>780.7254999999999</v>
      </c>
      <c r="F1073" s="35">
        <f t="shared" si="31"/>
        <v>1216.5</v>
      </c>
      <c r="G1073" s="35">
        <f t="shared" si="31"/>
        <v>79.166666666666671</v>
      </c>
      <c r="H1073" s="37">
        <f t="shared" si="31"/>
        <v>600</v>
      </c>
      <c r="I1073" s="35">
        <f t="shared" si="31"/>
        <v>695</v>
      </c>
      <c r="J1073" s="35">
        <f t="shared" si="31"/>
        <v>33.333333333333336</v>
      </c>
      <c r="K1073" s="36"/>
      <c r="L1073" s="36"/>
      <c r="M1073" s="36"/>
      <c r="N1073" s="36"/>
      <c r="O1073" s="36"/>
      <c r="P1073" s="36"/>
      <c r="Q1073" s="36"/>
      <c r="R1073" s="36"/>
      <c r="S1073" s="36"/>
      <c r="T1073" s="36"/>
    </row>
    <row r="1074" spans="1:20" ht="15">
      <c r="A1074" s="3">
        <f t="shared" si="30"/>
        <v>2039</v>
      </c>
      <c r="B1074" s="3">
        <f t="shared" si="8"/>
        <v>365</v>
      </c>
      <c r="C1074" s="35">
        <f t="shared" ref="C1074:J1074" si="32">AVERAGE(C305:C316)</f>
        <v>154.75825</v>
      </c>
      <c r="D1074" s="35">
        <f t="shared" si="32"/>
        <v>281.0162499999999</v>
      </c>
      <c r="E1074" s="35">
        <f t="shared" si="32"/>
        <v>780.7254999999999</v>
      </c>
      <c r="F1074" s="35">
        <f t="shared" si="32"/>
        <v>1216.5</v>
      </c>
      <c r="G1074" s="35">
        <f t="shared" si="32"/>
        <v>79.166666666666671</v>
      </c>
      <c r="H1074" s="37">
        <f t="shared" si="32"/>
        <v>600</v>
      </c>
      <c r="I1074" s="35">
        <f t="shared" si="32"/>
        <v>695</v>
      </c>
      <c r="J1074" s="35">
        <f t="shared" si="32"/>
        <v>33.333333333333336</v>
      </c>
      <c r="K1074" s="36"/>
      <c r="L1074" s="36"/>
      <c r="M1074" s="36"/>
      <c r="N1074" s="36"/>
      <c r="O1074" s="36"/>
      <c r="P1074" s="36"/>
      <c r="Q1074" s="36"/>
      <c r="R1074" s="36"/>
      <c r="S1074" s="36"/>
      <c r="T1074" s="36"/>
    </row>
    <row r="1075" spans="1:20" ht="15">
      <c r="A1075" s="3">
        <f t="shared" si="30"/>
        <v>2040</v>
      </c>
      <c r="B1075" s="3">
        <f t="shared" si="8"/>
        <v>366</v>
      </c>
      <c r="C1075" s="35">
        <f t="shared" ref="C1075:J1075" si="33">AVERAGE(C317:C328)</f>
        <v>154.75825</v>
      </c>
      <c r="D1075" s="35">
        <f t="shared" si="33"/>
        <v>281.0162499999999</v>
      </c>
      <c r="E1075" s="35">
        <f t="shared" si="33"/>
        <v>780.7254999999999</v>
      </c>
      <c r="F1075" s="35">
        <f t="shared" si="33"/>
        <v>1216.5</v>
      </c>
      <c r="G1075" s="35">
        <f t="shared" si="33"/>
        <v>79.166666666666671</v>
      </c>
      <c r="H1075" s="37">
        <f t="shared" si="33"/>
        <v>600</v>
      </c>
      <c r="I1075" s="35">
        <f t="shared" si="33"/>
        <v>695</v>
      </c>
      <c r="J1075" s="35">
        <f t="shared" si="33"/>
        <v>33.333333333333336</v>
      </c>
      <c r="K1075" s="36"/>
      <c r="L1075" s="36"/>
      <c r="M1075" s="36"/>
      <c r="N1075" s="36"/>
      <c r="O1075" s="36"/>
      <c r="P1075" s="36"/>
      <c r="Q1075" s="36"/>
      <c r="R1075" s="36"/>
      <c r="S1075" s="36"/>
      <c r="T1075" s="36"/>
    </row>
    <row r="1076" spans="1:20" ht="15">
      <c r="A1076" s="3">
        <f t="shared" si="30"/>
        <v>2041</v>
      </c>
      <c r="B1076" s="3">
        <f t="shared" si="8"/>
        <v>365</v>
      </c>
      <c r="C1076" s="35">
        <f t="shared" ref="C1076:J1076" si="34">AVERAGE(C329:C340)</f>
        <v>154.75825</v>
      </c>
      <c r="D1076" s="35">
        <f t="shared" si="34"/>
        <v>281.0162499999999</v>
      </c>
      <c r="E1076" s="35">
        <f t="shared" si="34"/>
        <v>780.7254999999999</v>
      </c>
      <c r="F1076" s="35">
        <f t="shared" si="34"/>
        <v>1216.5</v>
      </c>
      <c r="G1076" s="35">
        <f t="shared" si="34"/>
        <v>79.166666666666671</v>
      </c>
      <c r="H1076" s="37">
        <f t="shared" si="34"/>
        <v>600</v>
      </c>
      <c r="I1076" s="35">
        <f t="shared" si="34"/>
        <v>695</v>
      </c>
      <c r="J1076" s="35">
        <f t="shared" si="34"/>
        <v>33.333333333333336</v>
      </c>
      <c r="K1076" s="36"/>
      <c r="L1076" s="36"/>
      <c r="M1076" s="36"/>
      <c r="N1076" s="36"/>
      <c r="O1076" s="36"/>
      <c r="P1076" s="36"/>
      <c r="Q1076" s="36"/>
      <c r="R1076" s="36"/>
      <c r="S1076" s="36"/>
      <c r="T1076" s="36"/>
    </row>
    <row r="1077" spans="1:20" ht="15">
      <c r="A1077" s="3">
        <f t="shared" si="30"/>
        <v>2042</v>
      </c>
      <c r="B1077" s="3">
        <f t="shared" si="8"/>
        <v>365</v>
      </c>
      <c r="C1077" s="35">
        <f t="shared" ref="C1077:J1077" si="35">AVERAGE(C341:C352)</f>
        <v>154.75825</v>
      </c>
      <c r="D1077" s="35">
        <f t="shared" si="35"/>
        <v>281.0162499999999</v>
      </c>
      <c r="E1077" s="35">
        <f t="shared" si="35"/>
        <v>780.7254999999999</v>
      </c>
      <c r="F1077" s="35">
        <f t="shared" si="35"/>
        <v>1216.5</v>
      </c>
      <c r="G1077" s="35">
        <f t="shared" si="35"/>
        <v>79.166666666666671</v>
      </c>
      <c r="H1077" s="37">
        <f t="shared" si="35"/>
        <v>600</v>
      </c>
      <c r="I1077" s="35">
        <f t="shared" si="35"/>
        <v>695</v>
      </c>
      <c r="J1077" s="35">
        <f t="shared" si="35"/>
        <v>33.333333333333336</v>
      </c>
      <c r="K1077" s="36"/>
      <c r="L1077" s="36"/>
      <c r="M1077" s="36"/>
      <c r="N1077" s="36"/>
      <c r="O1077" s="36"/>
      <c r="P1077" s="36"/>
      <c r="Q1077" s="36"/>
      <c r="R1077" s="36"/>
      <c r="S1077" s="36"/>
      <c r="T1077" s="36"/>
    </row>
    <row r="1078" spans="1:20" ht="15">
      <c r="A1078" s="3">
        <f t="shared" si="30"/>
        <v>2043</v>
      </c>
      <c r="B1078" s="3">
        <f t="shared" si="8"/>
        <v>365</v>
      </c>
      <c r="C1078" s="35">
        <f t="shared" ref="C1078:J1078" si="36">AVERAGE(C353:C364)</f>
        <v>154.75825</v>
      </c>
      <c r="D1078" s="35">
        <f t="shared" si="36"/>
        <v>281.0162499999999</v>
      </c>
      <c r="E1078" s="35">
        <f t="shared" si="36"/>
        <v>780.7254999999999</v>
      </c>
      <c r="F1078" s="35">
        <f t="shared" si="36"/>
        <v>1216.5</v>
      </c>
      <c r="G1078" s="35">
        <f t="shared" si="36"/>
        <v>79.166666666666671</v>
      </c>
      <c r="H1078" s="37">
        <f t="shared" si="36"/>
        <v>600</v>
      </c>
      <c r="I1078" s="35">
        <f t="shared" si="36"/>
        <v>695</v>
      </c>
      <c r="J1078" s="35">
        <f t="shared" si="36"/>
        <v>33.333333333333336</v>
      </c>
      <c r="K1078" s="36"/>
      <c r="L1078" s="36"/>
      <c r="M1078" s="36"/>
      <c r="N1078" s="36"/>
      <c r="O1078" s="36"/>
      <c r="P1078" s="36"/>
      <c r="Q1078" s="36"/>
      <c r="R1078" s="36"/>
      <c r="S1078" s="36"/>
      <c r="T1078" s="36"/>
    </row>
    <row r="1079" spans="1:20" ht="15">
      <c r="A1079" s="3">
        <f t="shared" si="30"/>
        <v>2044</v>
      </c>
      <c r="B1079" s="3">
        <f t="shared" si="8"/>
        <v>366</v>
      </c>
      <c r="C1079" s="35">
        <f t="shared" ref="C1079:J1079" si="37">AVERAGE(C365:C376)</f>
        <v>154.75825</v>
      </c>
      <c r="D1079" s="35">
        <f t="shared" si="37"/>
        <v>281.0162499999999</v>
      </c>
      <c r="E1079" s="35">
        <f t="shared" si="37"/>
        <v>780.7254999999999</v>
      </c>
      <c r="F1079" s="35">
        <f t="shared" si="37"/>
        <v>1216.5</v>
      </c>
      <c r="G1079" s="35">
        <f t="shared" si="37"/>
        <v>79.166666666666671</v>
      </c>
      <c r="H1079" s="37">
        <f t="shared" si="37"/>
        <v>600</v>
      </c>
      <c r="I1079" s="35">
        <f t="shared" si="37"/>
        <v>695</v>
      </c>
      <c r="J1079" s="35">
        <f t="shared" si="37"/>
        <v>33.333333333333336</v>
      </c>
      <c r="K1079" s="36"/>
      <c r="L1079" s="36"/>
      <c r="M1079" s="36"/>
      <c r="N1079" s="36"/>
      <c r="O1079" s="36"/>
      <c r="P1079" s="36"/>
      <c r="Q1079" s="36"/>
      <c r="R1079" s="36"/>
      <c r="S1079" s="36"/>
      <c r="T1079" s="36"/>
    </row>
    <row r="1080" spans="1:20" ht="15">
      <c r="A1080" s="3">
        <f t="shared" si="30"/>
        <v>2045</v>
      </c>
      <c r="B1080" s="3">
        <f t="shared" si="8"/>
        <v>365</v>
      </c>
      <c r="C1080" s="35">
        <f t="shared" ref="C1080:J1080" si="38">AVERAGE(C377:C388)</f>
        <v>154.75825</v>
      </c>
      <c r="D1080" s="35">
        <f t="shared" si="38"/>
        <v>281.0162499999999</v>
      </c>
      <c r="E1080" s="35">
        <f t="shared" si="38"/>
        <v>780.7254999999999</v>
      </c>
      <c r="F1080" s="35">
        <f t="shared" si="38"/>
        <v>1216.5</v>
      </c>
      <c r="G1080" s="35">
        <f t="shared" si="38"/>
        <v>79.166666666666671</v>
      </c>
      <c r="H1080" s="37">
        <f t="shared" si="38"/>
        <v>600</v>
      </c>
      <c r="I1080" s="35">
        <f t="shared" si="38"/>
        <v>695</v>
      </c>
      <c r="J1080" s="35">
        <f t="shared" si="38"/>
        <v>33.333333333333336</v>
      </c>
      <c r="K1080" s="36"/>
      <c r="L1080" s="36"/>
      <c r="M1080" s="36"/>
      <c r="N1080" s="36"/>
      <c r="O1080" s="36"/>
      <c r="P1080" s="36"/>
      <c r="Q1080" s="36"/>
      <c r="R1080" s="36"/>
      <c r="S1080" s="36"/>
      <c r="T1080" s="36"/>
    </row>
    <row r="1081" spans="1:20" ht="15">
      <c r="A1081" s="3">
        <f t="shared" si="30"/>
        <v>2046</v>
      </c>
      <c r="B1081" s="3">
        <f t="shared" si="8"/>
        <v>365</v>
      </c>
      <c r="C1081" s="35">
        <f t="shared" ref="C1081:J1081" si="39">AVERAGE(C389:C400)</f>
        <v>154.75825</v>
      </c>
      <c r="D1081" s="35">
        <f t="shared" si="39"/>
        <v>281.0162499999999</v>
      </c>
      <c r="E1081" s="35">
        <f t="shared" si="39"/>
        <v>780.7254999999999</v>
      </c>
      <c r="F1081" s="35">
        <f t="shared" si="39"/>
        <v>1216.5</v>
      </c>
      <c r="G1081" s="35">
        <f t="shared" si="39"/>
        <v>79.166666666666671</v>
      </c>
      <c r="H1081" s="37">
        <f t="shared" si="39"/>
        <v>600</v>
      </c>
      <c r="I1081" s="35">
        <f t="shared" si="39"/>
        <v>695</v>
      </c>
      <c r="J1081" s="35">
        <f t="shared" si="39"/>
        <v>33.333333333333336</v>
      </c>
      <c r="K1081" s="36"/>
      <c r="L1081" s="36"/>
      <c r="M1081" s="36"/>
      <c r="N1081" s="36"/>
      <c r="O1081" s="36"/>
      <c r="P1081" s="36"/>
      <c r="Q1081" s="36"/>
      <c r="R1081" s="36"/>
      <c r="S1081" s="36"/>
      <c r="T1081" s="36"/>
    </row>
    <row r="1082" spans="1:20" ht="15">
      <c r="A1082" s="3">
        <f t="shared" si="30"/>
        <v>2047</v>
      </c>
      <c r="B1082" s="3">
        <f t="shared" ref="B1082:B1113" si="40">DATE(A1082+1,1,1)-DATE(A1082,1,1)</f>
        <v>365</v>
      </c>
      <c r="C1082" s="35">
        <f t="shared" ref="C1082:J1082" si="41">AVERAGE(C401:C412)</f>
        <v>154.75825</v>
      </c>
      <c r="D1082" s="35">
        <f t="shared" si="41"/>
        <v>281.0162499999999</v>
      </c>
      <c r="E1082" s="35">
        <f t="shared" si="41"/>
        <v>780.7254999999999</v>
      </c>
      <c r="F1082" s="35">
        <f t="shared" si="41"/>
        <v>1216.5</v>
      </c>
      <c r="G1082" s="35">
        <f t="shared" si="41"/>
        <v>79.166666666666671</v>
      </c>
      <c r="H1082" s="37">
        <f t="shared" si="41"/>
        <v>600</v>
      </c>
      <c r="I1082" s="35">
        <f t="shared" si="41"/>
        <v>695</v>
      </c>
      <c r="J1082" s="35">
        <f t="shared" si="41"/>
        <v>33.333333333333336</v>
      </c>
      <c r="K1082" s="36"/>
      <c r="L1082" s="36"/>
      <c r="M1082" s="36"/>
      <c r="N1082" s="36"/>
      <c r="O1082" s="36"/>
      <c r="P1082" s="36"/>
      <c r="Q1082" s="36"/>
      <c r="R1082" s="36"/>
      <c r="S1082" s="36"/>
      <c r="T1082" s="36"/>
    </row>
    <row r="1083" spans="1:20" ht="15">
      <c r="A1083" s="3">
        <f t="shared" si="30"/>
        <v>2048</v>
      </c>
      <c r="B1083" s="3">
        <f t="shared" si="40"/>
        <v>366</v>
      </c>
      <c r="C1083" s="35">
        <f t="shared" ref="C1083:J1083" si="42">AVERAGE(C413:C424)</f>
        <v>154.75825</v>
      </c>
      <c r="D1083" s="35">
        <f t="shared" si="42"/>
        <v>281.0162499999999</v>
      </c>
      <c r="E1083" s="35">
        <f t="shared" si="42"/>
        <v>780.7254999999999</v>
      </c>
      <c r="F1083" s="35">
        <f t="shared" si="42"/>
        <v>1216.5</v>
      </c>
      <c r="G1083" s="35">
        <f t="shared" si="42"/>
        <v>79.166666666666671</v>
      </c>
      <c r="H1083" s="37">
        <f t="shared" si="42"/>
        <v>600</v>
      </c>
      <c r="I1083" s="35">
        <f t="shared" si="42"/>
        <v>695</v>
      </c>
      <c r="J1083" s="35">
        <f t="shared" si="42"/>
        <v>33.333333333333336</v>
      </c>
      <c r="K1083" s="36"/>
      <c r="L1083" s="36"/>
      <c r="M1083" s="36"/>
      <c r="N1083" s="36"/>
      <c r="O1083" s="36"/>
      <c r="P1083" s="36"/>
      <c r="Q1083" s="36"/>
      <c r="R1083" s="36"/>
      <c r="S1083" s="36"/>
      <c r="T1083" s="36"/>
    </row>
    <row r="1084" spans="1:20" ht="15">
      <c r="A1084" s="3">
        <f t="shared" si="30"/>
        <v>2049</v>
      </c>
      <c r="B1084" s="3">
        <f t="shared" si="40"/>
        <v>365</v>
      </c>
      <c r="C1084" s="35">
        <f t="shared" ref="C1084:J1084" si="43">AVERAGE(C425:C436)</f>
        <v>154.75825</v>
      </c>
      <c r="D1084" s="35">
        <f t="shared" si="43"/>
        <v>281.0162499999999</v>
      </c>
      <c r="E1084" s="35">
        <f t="shared" si="43"/>
        <v>780.7254999999999</v>
      </c>
      <c r="F1084" s="35">
        <f t="shared" si="43"/>
        <v>1216.5</v>
      </c>
      <c r="G1084" s="35">
        <f t="shared" si="43"/>
        <v>79.166666666666671</v>
      </c>
      <c r="H1084" s="37">
        <f t="shared" si="43"/>
        <v>600</v>
      </c>
      <c r="I1084" s="35">
        <f t="shared" si="43"/>
        <v>695</v>
      </c>
      <c r="J1084" s="35">
        <f t="shared" si="43"/>
        <v>33.333333333333336</v>
      </c>
      <c r="K1084" s="36"/>
      <c r="L1084" s="36"/>
      <c r="M1084" s="36"/>
      <c r="N1084" s="36"/>
      <c r="O1084" s="36"/>
      <c r="P1084" s="36"/>
      <c r="Q1084" s="36"/>
      <c r="R1084" s="36"/>
      <c r="S1084" s="36"/>
      <c r="T1084" s="36"/>
    </row>
    <row r="1085" spans="1:20" ht="15">
      <c r="A1085" s="3">
        <f t="shared" si="30"/>
        <v>2050</v>
      </c>
      <c r="B1085" s="3">
        <f t="shared" si="40"/>
        <v>365</v>
      </c>
      <c r="C1085" s="35">
        <f t="shared" ref="C1085:J1085" si="44">AVERAGE(C437:C448)</f>
        <v>154.75825</v>
      </c>
      <c r="D1085" s="35">
        <f t="shared" si="44"/>
        <v>281.0162499999999</v>
      </c>
      <c r="E1085" s="35">
        <f t="shared" si="44"/>
        <v>780.7254999999999</v>
      </c>
      <c r="F1085" s="35">
        <f t="shared" si="44"/>
        <v>1216.5</v>
      </c>
      <c r="G1085" s="35">
        <f t="shared" si="44"/>
        <v>79.166666666666671</v>
      </c>
      <c r="H1085" s="37">
        <f t="shared" si="44"/>
        <v>600</v>
      </c>
      <c r="I1085" s="35">
        <f t="shared" si="44"/>
        <v>695</v>
      </c>
      <c r="J1085" s="35">
        <f t="shared" si="44"/>
        <v>33.333333333333336</v>
      </c>
      <c r="K1085" s="36"/>
      <c r="L1085" s="36"/>
      <c r="M1085" s="36"/>
      <c r="N1085" s="36"/>
      <c r="O1085" s="36"/>
      <c r="P1085" s="36"/>
      <c r="Q1085" s="36"/>
      <c r="R1085" s="36"/>
      <c r="S1085" s="36"/>
      <c r="T1085" s="36"/>
    </row>
    <row r="1086" spans="1:20" ht="15">
      <c r="A1086" s="3">
        <f t="shared" si="30"/>
        <v>2051</v>
      </c>
      <c r="B1086" s="3">
        <f t="shared" si="40"/>
        <v>365</v>
      </c>
      <c r="C1086" s="35">
        <f t="shared" ref="C1086:J1086" si="45">AVERAGE(C449:C460)</f>
        <v>154.75825</v>
      </c>
      <c r="D1086" s="35">
        <f t="shared" si="45"/>
        <v>281.0162499999999</v>
      </c>
      <c r="E1086" s="35">
        <f t="shared" si="45"/>
        <v>780.7254999999999</v>
      </c>
      <c r="F1086" s="35">
        <f t="shared" si="45"/>
        <v>1216.5</v>
      </c>
      <c r="G1086" s="35">
        <f t="shared" si="45"/>
        <v>79.166666666666671</v>
      </c>
      <c r="H1086" s="37">
        <f t="shared" si="45"/>
        <v>600</v>
      </c>
      <c r="I1086" s="35">
        <f t="shared" si="45"/>
        <v>695</v>
      </c>
      <c r="J1086" s="35">
        <f t="shared" si="45"/>
        <v>33.333333333333336</v>
      </c>
      <c r="K1086" s="36"/>
      <c r="L1086" s="36"/>
      <c r="M1086" s="36"/>
      <c r="N1086" s="36"/>
      <c r="O1086" s="36"/>
      <c r="P1086" s="36"/>
      <c r="Q1086" s="36"/>
      <c r="R1086" s="36"/>
      <c r="S1086" s="36"/>
      <c r="T1086" s="36"/>
    </row>
    <row r="1087" spans="1:20" ht="15">
      <c r="A1087" s="3">
        <f t="shared" si="30"/>
        <v>2052</v>
      </c>
      <c r="B1087" s="3">
        <f t="shared" si="40"/>
        <v>366</v>
      </c>
      <c r="C1087" s="35">
        <f t="shared" ref="C1087:J1087" si="46">AVERAGE(C461:C472)</f>
        <v>154.75825</v>
      </c>
      <c r="D1087" s="35">
        <f t="shared" si="46"/>
        <v>281.0162499999999</v>
      </c>
      <c r="E1087" s="35">
        <f t="shared" si="46"/>
        <v>780.7254999999999</v>
      </c>
      <c r="F1087" s="35">
        <f t="shared" si="46"/>
        <v>1216.5</v>
      </c>
      <c r="G1087" s="35">
        <f t="shared" si="46"/>
        <v>79.166666666666671</v>
      </c>
      <c r="H1087" s="37">
        <f t="shared" si="46"/>
        <v>600</v>
      </c>
      <c r="I1087" s="35">
        <f t="shared" si="46"/>
        <v>695</v>
      </c>
      <c r="J1087" s="35">
        <f t="shared" si="46"/>
        <v>33.333333333333336</v>
      </c>
      <c r="K1087" s="36"/>
      <c r="L1087" s="36"/>
      <c r="M1087" s="36"/>
      <c r="N1087" s="36"/>
      <c r="O1087" s="36"/>
      <c r="P1087" s="36"/>
      <c r="Q1087" s="36"/>
      <c r="R1087" s="36"/>
      <c r="S1087" s="36"/>
      <c r="T1087" s="36"/>
    </row>
    <row r="1088" spans="1:20" ht="15">
      <c r="A1088" s="3">
        <f t="shared" si="30"/>
        <v>2053</v>
      </c>
      <c r="B1088" s="3">
        <f t="shared" si="40"/>
        <v>365</v>
      </c>
      <c r="C1088" s="35">
        <f t="shared" ref="C1088:J1088" si="47">AVERAGE(C473:C484)</f>
        <v>154.75825</v>
      </c>
      <c r="D1088" s="35">
        <f t="shared" si="47"/>
        <v>281.0162499999999</v>
      </c>
      <c r="E1088" s="35">
        <f t="shared" si="47"/>
        <v>780.7254999999999</v>
      </c>
      <c r="F1088" s="35">
        <f t="shared" si="47"/>
        <v>1216.5</v>
      </c>
      <c r="G1088" s="35">
        <f t="shared" si="47"/>
        <v>79.166666666666671</v>
      </c>
      <c r="H1088" s="37">
        <f t="shared" si="47"/>
        <v>600</v>
      </c>
      <c r="I1088" s="35">
        <f t="shared" si="47"/>
        <v>695</v>
      </c>
      <c r="J1088" s="35">
        <f t="shared" si="47"/>
        <v>33.333333333333336</v>
      </c>
      <c r="K1088" s="36"/>
      <c r="L1088" s="36"/>
      <c r="M1088" s="36"/>
      <c r="N1088" s="36"/>
      <c r="O1088" s="36"/>
      <c r="P1088" s="36"/>
      <c r="Q1088" s="36"/>
      <c r="R1088" s="36"/>
      <c r="S1088" s="36"/>
      <c r="T1088" s="36"/>
    </row>
    <row r="1089" spans="1:20" ht="15">
      <c r="A1089" s="3">
        <f t="shared" si="30"/>
        <v>2054</v>
      </c>
      <c r="B1089" s="3">
        <f t="shared" si="40"/>
        <v>365</v>
      </c>
      <c r="C1089" s="35">
        <f t="shared" ref="C1089:J1096" si="48">AVERAGE(C485:C496)</f>
        <v>154.75825</v>
      </c>
      <c r="D1089" s="35">
        <f t="shared" si="48"/>
        <v>281.0162499999999</v>
      </c>
      <c r="E1089" s="35">
        <f t="shared" si="48"/>
        <v>780.7254999999999</v>
      </c>
      <c r="F1089" s="35">
        <f t="shared" si="48"/>
        <v>1216.5</v>
      </c>
      <c r="G1089" s="35">
        <f t="shared" si="48"/>
        <v>79.166666666666671</v>
      </c>
      <c r="H1089" s="37">
        <f t="shared" si="48"/>
        <v>600</v>
      </c>
      <c r="I1089" s="35">
        <f t="shared" si="48"/>
        <v>695</v>
      </c>
      <c r="J1089" s="35">
        <f t="shared" si="48"/>
        <v>33.333333333333336</v>
      </c>
      <c r="K1089" s="36"/>
      <c r="L1089" s="36"/>
      <c r="M1089" s="36"/>
      <c r="N1089" s="36"/>
      <c r="O1089" s="36"/>
      <c r="P1089" s="36"/>
      <c r="Q1089" s="36"/>
      <c r="R1089" s="36"/>
      <c r="S1089" s="36"/>
      <c r="T1089" s="36"/>
    </row>
    <row r="1090" spans="1:20" ht="15">
      <c r="A1090" s="3">
        <f t="shared" si="30"/>
        <v>2055</v>
      </c>
      <c r="B1090" s="3">
        <f t="shared" si="40"/>
        <v>365</v>
      </c>
      <c r="C1090" s="35">
        <f t="shared" si="48"/>
        <v>154.75825</v>
      </c>
      <c r="D1090" s="35">
        <f t="shared" si="48"/>
        <v>281.0162499999999</v>
      </c>
      <c r="E1090" s="35">
        <f t="shared" si="48"/>
        <v>780.7254999999999</v>
      </c>
      <c r="F1090" s="35">
        <f t="shared" si="48"/>
        <v>1216.5</v>
      </c>
      <c r="G1090" s="35">
        <f t="shared" si="48"/>
        <v>79.166666666666671</v>
      </c>
      <c r="H1090" s="37">
        <f t="shared" si="48"/>
        <v>600</v>
      </c>
      <c r="I1090" s="35">
        <f t="shared" si="48"/>
        <v>695</v>
      </c>
      <c r="J1090" s="35">
        <f t="shared" si="48"/>
        <v>33.333333333333336</v>
      </c>
      <c r="K1090" s="36"/>
      <c r="L1090" s="36"/>
      <c r="M1090" s="36"/>
      <c r="N1090" s="36"/>
      <c r="O1090" s="36"/>
      <c r="P1090" s="36"/>
      <c r="Q1090" s="36"/>
      <c r="R1090" s="36"/>
      <c r="S1090" s="36"/>
      <c r="T1090" s="36"/>
    </row>
    <row r="1091" spans="1:20" ht="15">
      <c r="A1091" s="3">
        <f t="shared" si="30"/>
        <v>2056</v>
      </c>
      <c r="B1091" s="3">
        <f t="shared" si="40"/>
        <v>366</v>
      </c>
      <c r="C1091" s="35">
        <f t="shared" si="48"/>
        <v>154.75824999999998</v>
      </c>
      <c r="D1091" s="35">
        <f t="shared" si="48"/>
        <v>281.0162499999999</v>
      </c>
      <c r="E1091" s="35">
        <f t="shared" si="48"/>
        <v>780.7254999999999</v>
      </c>
      <c r="F1091" s="35">
        <f t="shared" si="48"/>
        <v>1216.5</v>
      </c>
      <c r="G1091" s="35">
        <f t="shared" si="48"/>
        <v>79.166666666666671</v>
      </c>
      <c r="H1091" s="37">
        <f t="shared" si="48"/>
        <v>600</v>
      </c>
      <c r="I1091" s="35">
        <f t="shared" si="48"/>
        <v>695</v>
      </c>
      <c r="J1091" s="35">
        <f t="shared" si="48"/>
        <v>33.333333333333336</v>
      </c>
      <c r="K1091" s="36"/>
      <c r="L1091" s="36"/>
      <c r="M1091" s="36"/>
      <c r="N1091" s="36"/>
      <c r="O1091" s="36"/>
      <c r="P1091" s="36"/>
      <c r="Q1091" s="36"/>
      <c r="R1091" s="36"/>
      <c r="S1091" s="36"/>
      <c r="T1091" s="36"/>
    </row>
    <row r="1092" spans="1:20" ht="15">
      <c r="A1092" s="3">
        <f t="shared" si="30"/>
        <v>2057</v>
      </c>
      <c r="B1092" s="3">
        <f t="shared" si="40"/>
        <v>365</v>
      </c>
      <c r="C1092" s="35">
        <f t="shared" si="48"/>
        <v>154.75825</v>
      </c>
      <c r="D1092" s="35">
        <f t="shared" si="48"/>
        <v>281.0162499999999</v>
      </c>
      <c r="E1092" s="35">
        <f t="shared" si="48"/>
        <v>780.72550000000001</v>
      </c>
      <c r="F1092" s="35">
        <f t="shared" si="48"/>
        <v>1216.5</v>
      </c>
      <c r="G1092" s="35">
        <f t="shared" si="48"/>
        <v>79.166666666666671</v>
      </c>
      <c r="H1092" s="37">
        <f t="shared" si="48"/>
        <v>600</v>
      </c>
      <c r="I1092" s="35">
        <f t="shared" si="48"/>
        <v>695</v>
      </c>
      <c r="J1092" s="35">
        <f t="shared" si="48"/>
        <v>33.333333333333336</v>
      </c>
      <c r="K1092" s="36"/>
      <c r="L1092" s="36"/>
      <c r="M1092" s="36"/>
      <c r="N1092" s="36"/>
      <c r="O1092" s="36"/>
      <c r="P1092" s="36"/>
      <c r="Q1092" s="36"/>
      <c r="R1092" s="36"/>
      <c r="S1092" s="36"/>
      <c r="T1092" s="36"/>
    </row>
    <row r="1093" spans="1:20" ht="15">
      <c r="A1093" s="3">
        <f t="shared" si="30"/>
        <v>2058</v>
      </c>
      <c r="B1093" s="3">
        <f t="shared" si="40"/>
        <v>365</v>
      </c>
      <c r="C1093" s="35">
        <f t="shared" si="48"/>
        <v>154.75824999999998</v>
      </c>
      <c r="D1093" s="35">
        <f t="shared" si="48"/>
        <v>281.01624999999996</v>
      </c>
      <c r="E1093" s="35">
        <f t="shared" si="48"/>
        <v>780.72550000000001</v>
      </c>
      <c r="F1093" s="35">
        <f t="shared" si="48"/>
        <v>1216.5</v>
      </c>
      <c r="G1093" s="35">
        <f t="shared" si="48"/>
        <v>79.166666666666671</v>
      </c>
      <c r="H1093" s="37">
        <f t="shared" si="48"/>
        <v>600</v>
      </c>
      <c r="I1093" s="35">
        <f t="shared" si="48"/>
        <v>695</v>
      </c>
      <c r="J1093" s="35">
        <f t="shared" si="48"/>
        <v>33.333333333333336</v>
      </c>
      <c r="K1093" s="36"/>
      <c r="L1093" s="36"/>
      <c r="M1093" s="36"/>
      <c r="N1093" s="36"/>
      <c r="O1093" s="36"/>
      <c r="P1093" s="36"/>
      <c r="Q1093" s="36"/>
      <c r="R1093" s="36"/>
      <c r="S1093" s="36"/>
      <c r="T1093" s="36"/>
    </row>
    <row r="1094" spans="1:20" ht="15">
      <c r="A1094" s="3">
        <f t="shared" si="30"/>
        <v>2059</v>
      </c>
      <c r="B1094" s="3">
        <f t="shared" si="40"/>
        <v>365</v>
      </c>
      <c r="C1094" s="35">
        <f t="shared" si="48"/>
        <v>154.75824999999998</v>
      </c>
      <c r="D1094" s="35">
        <f t="shared" si="48"/>
        <v>281.01624999999996</v>
      </c>
      <c r="E1094" s="35">
        <f t="shared" si="48"/>
        <v>780.72550000000012</v>
      </c>
      <c r="F1094" s="35">
        <f t="shared" si="48"/>
        <v>1216.5</v>
      </c>
      <c r="G1094" s="35">
        <f t="shared" si="48"/>
        <v>79.166666666666671</v>
      </c>
      <c r="H1094" s="37">
        <f t="shared" si="48"/>
        <v>600</v>
      </c>
      <c r="I1094" s="35">
        <f t="shared" si="48"/>
        <v>695</v>
      </c>
      <c r="J1094" s="35">
        <f t="shared" si="48"/>
        <v>33.333333333333336</v>
      </c>
      <c r="K1094" s="36"/>
      <c r="L1094" s="36"/>
      <c r="M1094" s="36"/>
      <c r="N1094" s="36"/>
      <c r="O1094" s="36"/>
      <c r="P1094" s="36"/>
      <c r="Q1094" s="36"/>
      <c r="R1094" s="36"/>
      <c r="S1094" s="36"/>
      <c r="T1094" s="36"/>
    </row>
    <row r="1095" spans="1:20" ht="15">
      <c r="A1095" s="3">
        <f t="shared" si="30"/>
        <v>2060</v>
      </c>
      <c r="B1095" s="3">
        <f t="shared" si="40"/>
        <v>366</v>
      </c>
      <c r="C1095" s="35">
        <f t="shared" si="48"/>
        <v>154.75824999999998</v>
      </c>
      <c r="D1095" s="35">
        <f t="shared" si="48"/>
        <v>281.01624999999996</v>
      </c>
      <c r="E1095" s="35">
        <f t="shared" si="48"/>
        <v>780.72550000000012</v>
      </c>
      <c r="F1095" s="35">
        <f t="shared" si="48"/>
        <v>1216.5</v>
      </c>
      <c r="G1095" s="35">
        <f t="shared" si="48"/>
        <v>79.166666666666671</v>
      </c>
      <c r="H1095" s="37">
        <f t="shared" si="48"/>
        <v>600</v>
      </c>
      <c r="I1095" s="35">
        <f t="shared" si="48"/>
        <v>695</v>
      </c>
      <c r="J1095" s="35">
        <f t="shared" si="48"/>
        <v>33.333333333333336</v>
      </c>
      <c r="K1095" s="36"/>
      <c r="L1095" s="36"/>
      <c r="M1095" s="36"/>
      <c r="N1095" s="36"/>
      <c r="O1095" s="36"/>
      <c r="P1095" s="36"/>
      <c r="Q1095" s="36"/>
      <c r="R1095" s="36"/>
      <c r="S1095" s="36"/>
      <c r="T1095" s="36"/>
    </row>
    <row r="1096" spans="1:20" ht="15">
      <c r="A1096" s="3">
        <f t="shared" si="30"/>
        <v>2061</v>
      </c>
      <c r="B1096" s="3">
        <f t="shared" si="40"/>
        <v>365</v>
      </c>
      <c r="C1096" s="35">
        <f t="shared" si="48"/>
        <v>154.75825</v>
      </c>
      <c r="D1096" s="35">
        <f t="shared" si="48"/>
        <v>281.01624999999996</v>
      </c>
      <c r="E1096" s="35">
        <f t="shared" si="48"/>
        <v>780.72550000000001</v>
      </c>
      <c r="F1096" s="35">
        <f t="shared" si="48"/>
        <v>1216.5</v>
      </c>
      <c r="G1096" s="35">
        <f t="shared" si="48"/>
        <v>79.166666666666671</v>
      </c>
      <c r="H1096" s="37">
        <f t="shared" si="48"/>
        <v>600</v>
      </c>
      <c r="I1096" s="35">
        <f t="shared" si="48"/>
        <v>695</v>
      </c>
      <c r="J1096" s="35">
        <f t="shared" si="48"/>
        <v>33.333333333333336</v>
      </c>
      <c r="K1096" s="36"/>
      <c r="L1096" s="36"/>
      <c r="M1096" s="36"/>
      <c r="N1096" s="36"/>
      <c r="O1096" s="36"/>
      <c r="P1096" s="36"/>
      <c r="Q1096" s="36"/>
      <c r="R1096" s="36"/>
      <c r="S1096" s="36"/>
      <c r="T1096" s="36"/>
    </row>
    <row r="1097" spans="1:20" ht="15">
      <c r="A1097" s="3">
        <f t="shared" si="30"/>
        <v>2062</v>
      </c>
      <c r="B1097" s="3">
        <f t="shared" si="40"/>
        <v>365</v>
      </c>
      <c r="C1097" s="35">
        <f t="shared" ref="C1097:J1106" ca="1" si="49">AVERAGE(OFFSET(C$581,($A1097-$A$1097)*12,0,12,1))</f>
        <v>154.75825</v>
      </c>
      <c r="D1097" s="35">
        <f t="shared" ca="1" si="49"/>
        <v>281.0162499999999</v>
      </c>
      <c r="E1097" s="35">
        <f t="shared" ca="1" si="49"/>
        <v>780.7254999999999</v>
      </c>
      <c r="F1097" s="35">
        <f t="shared" ca="1" si="49"/>
        <v>1216.5</v>
      </c>
      <c r="G1097" s="35">
        <f t="shared" ca="1" si="49"/>
        <v>79.166666666666671</v>
      </c>
      <c r="H1097" s="35">
        <f t="shared" ca="1" si="49"/>
        <v>600</v>
      </c>
      <c r="I1097" s="35">
        <f t="shared" ca="1" si="49"/>
        <v>695</v>
      </c>
      <c r="J1097" s="35">
        <f t="shared" ca="1" si="49"/>
        <v>33.333333333333336</v>
      </c>
      <c r="K1097" s="36"/>
      <c r="L1097" s="36"/>
      <c r="M1097" s="36"/>
      <c r="N1097" s="36"/>
      <c r="O1097" s="36"/>
      <c r="P1097" s="36"/>
      <c r="Q1097" s="36"/>
      <c r="R1097" s="36"/>
      <c r="S1097" s="36"/>
      <c r="T1097" s="36"/>
    </row>
    <row r="1098" spans="1:20" ht="15">
      <c r="A1098" s="3">
        <f t="shared" si="30"/>
        <v>2063</v>
      </c>
      <c r="B1098" s="3">
        <f t="shared" si="40"/>
        <v>365</v>
      </c>
      <c r="C1098" s="35">
        <f t="shared" ca="1" si="49"/>
        <v>154.75825</v>
      </c>
      <c r="D1098" s="35">
        <f t="shared" ca="1" si="49"/>
        <v>281.0162499999999</v>
      </c>
      <c r="E1098" s="35">
        <f t="shared" ca="1" si="49"/>
        <v>780.7254999999999</v>
      </c>
      <c r="F1098" s="35">
        <f t="shared" ca="1" si="49"/>
        <v>1216.5</v>
      </c>
      <c r="G1098" s="35">
        <f t="shared" ca="1" si="49"/>
        <v>79.166666666666671</v>
      </c>
      <c r="H1098" s="35">
        <f t="shared" ca="1" si="49"/>
        <v>600</v>
      </c>
      <c r="I1098" s="35">
        <f t="shared" ca="1" si="49"/>
        <v>695</v>
      </c>
      <c r="J1098" s="35">
        <f t="shared" ca="1" si="49"/>
        <v>33.333333333333336</v>
      </c>
      <c r="K1098" s="36"/>
      <c r="L1098" s="36"/>
      <c r="M1098" s="36"/>
      <c r="N1098" s="36"/>
      <c r="O1098" s="36"/>
      <c r="P1098" s="36"/>
      <c r="Q1098" s="36"/>
      <c r="R1098" s="36"/>
      <c r="S1098" s="36"/>
      <c r="T1098" s="36"/>
    </row>
    <row r="1099" spans="1:20" ht="15">
      <c r="A1099" s="3">
        <f t="shared" si="30"/>
        <v>2064</v>
      </c>
      <c r="B1099" s="3">
        <f t="shared" si="40"/>
        <v>366</v>
      </c>
      <c r="C1099" s="35">
        <f t="shared" ca="1" si="49"/>
        <v>154.75825</v>
      </c>
      <c r="D1099" s="35">
        <f t="shared" ca="1" si="49"/>
        <v>281.0162499999999</v>
      </c>
      <c r="E1099" s="35">
        <f t="shared" ca="1" si="49"/>
        <v>780.7254999999999</v>
      </c>
      <c r="F1099" s="35">
        <f t="shared" ca="1" si="49"/>
        <v>1216.5</v>
      </c>
      <c r="G1099" s="35">
        <f t="shared" ca="1" si="49"/>
        <v>79.166666666666671</v>
      </c>
      <c r="H1099" s="35">
        <f t="shared" ca="1" si="49"/>
        <v>600</v>
      </c>
      <c r="I1099" s="35">
        <f t="shared" ca="1" si="49"/>
        <v>695</v>
      </c>
      <c r="J1099" s="35">
        <f t="shared" ca="1" si="49"/>
        <v>33.333333333333336</v>
      </c>
      <c r="K1099" s="36"/>
      <c r="L1099" s="36"/>
      <c r="M1099" s="36"/>
      <c r="N1099" s="36"/>
      <c r="O1099" s="36"/>
      <c r="P1099" s="36"/>
      <c r="Q1099" s="36"/>
      <c r="R1099" s="36"/>
      <c r="S1099" s="36"/>
      <c r="T1099" s="36"/>
    </row>
    <row r="1100" spans="1:20" ht="15">
      <c r="A1100" s="3">
        <f t="shared" si="30"/>
        <v>2065</v>
      </c>
      <c r="B1100" s="3">
        <f t="shared" si="40"/>
        <v>365</v>
      </c>
      <c r="C1100" s="35">
        <f t="shared" ca="1" si="49"/>
        <v>154.75825</v>
      </c>
      <c r="D1100" s="35">
        <f t="shared" ca="1" si="49"/>
        <v>281.0162499999999</v>
      </c>
      <c r="E1100" s="35">
        <f t="shared" ca="1" si="49"/>
        <v>780.7254999999999</v>
      </c>
      <c r="F1100" s="35">
        <f t="shared" ca="1" si="49"/>
        <v>1216.5</v>
      </c>
      <c r="G1100" s="35">
        <f t="shared" ca="1" si="49"/>
        <v>79.166666666666671</v>
      </c>
      <c r="H1100" s="35">
        <f t="shared" ca="1" si="49"/>
        <v>600</v>
      </c>
      <c r="I1100" s="35">
        <f t="shared" ca="1" si="49"/>
        <v>695</v>
      </c>
      <c r="J1100" s="35">
        <f t="shared" ca="1" si="49"/>
        <v>33.333333333333336</v>
      </c>
      <c r="K1100" s="36"/>
      <c r="L1100" s="36"/>
      <c r="M1100" s="36"/>
      <c r="N1100" s="36"/>
      <c r="O1100" s="36"/>
      <c r="P1100" s="36"/>
      <c r="Q1100" s="36"/>
      <c r="R1100" s="36"/>
      <c r="S1100" s="36"/>
      <c r="T1100" s="36"/>
    </row>
    <row r="1101" spans="1:20" ht="15">
      <c r="A1101" s="3">
        <f t="shared" si="30"/>
        <v>2066</v>
      </c>
      <c r="B1101" s="3">
        <f t="shared" si="40"/>
        <v>365</v>
      </c>
      <c r="C1101" s="35">
        <f t="shared" ca="1" si="49"/>
        <v>154.75825</v>
      </c>
      <c r="D1101" s="35">
        <f t="shared" ca="1" si="49"/>
        <v>281.0162499999999</v>
      </c>
      <c r="E1101" s="35">
        <f t="shared" ca="1" si="49"/>
        <v>780.7254999999999</v>
      </c>
      <c r="F1101" s="35">
        <f t="shared" ca="1" si="49"/>
        <v>1216.5</v>
      </c>
      <c r="G1101" s="35">
        <f t="shared" ca="1" si="49"/>
        <v>79.166666666666671</v>
      </c>
      <c r="H1101" s="35">
        <f t="shared" ca="1" si="49"/>
        <v>600</v>
      </c>
      <c r="I1101" s="35">
        <f t="shared" ca="1" si="49"/>
        <v>695</v>
      </c>
      <c r="J1101" s="35">
        <f t="shared" ca="1" si="49"/>
        <v>33.333333333333336</v>
      </c>
      <c r="K1101" s="36"/>
      <c r="L1101" s="36"/>
      <c r="M1101" s="36"/>
      <c r="N1101" s="36"/>
      <c r="O1101" s="36"/>
      <c r="P1101" s="36"/>
      <c r="Q1101" s="36"/>
      <c r="R1101" s="36"/>
      <c r="S1101" s="36"/>
      <c r="T1101" s="36"/>
    </row>
    <row r="1102" spans="1:20" ht="15">
      <c r="A1102" s="3">
        <f t="shared" si="30"/>
        <v>2067</v>
      </c>
      <c r="B1102" s="3">
        <f t="shared" si="40"/>
        <v>365</v>
      </c>
      <c r="C1102" s="35">
        <f t="shared" ca="1" si="49"/>
        <v>154.75825</v>
      </c>
      <c r="D1102" s="35">
        <f t="shared" ca="1" si="49"/>
        <v>281.0162499999999</v>
      </c>
      <c r="E1102" s="35">
        <f t="shared" ca="1" si="49"/>
        <v>780.7254999999999</v>
      </c>
      <c r="F1102" s="35">
        <f t="shared" ca="1" si="49"/>
        <v>1216.5</v>
      </c>
      <c r="G1102" s="35">
        <f t="shared" ca="1" si="49"/>
        <v>79.166666666666671</v>
      </c>
      <c r="H1102" s="35">
        <f t="shared" ca="1" si="49"/>
        <v>600</v>
      </c>
      <c r="I1102" s="35">
        <f t="shared" ca="1" si="49"/>
        <v>695</v>
      </c>
      <c r="J1102" s="35">
        <f t="shared" ca="1" si="49"/>
        <v>33.333333333333336</v>
      </c>
      <c r="K1102" s="36"/>
      <c r="L1102" s="36"/>
      <c r="M1102" s="36"/>
      <c r="N1102" s="36"/>
      <c r="O1102" s="36"/>
      <c r="P1102" s="36"/>
      <c r="Q1102" s="36"/>
      <c r="R1102" s="36"/>
      <c r="S1102" s="36"/>
      <c r="T1102" s="36"/>
    </row>
    <row r="1103" spans="1:20" ht="15">
      <c r="A1103" s="3">
        <f t="shared" si="30"/>
        <v>2068</v>
      </c>
      <c r="B1103" s="3">
        <f t="shared" si="40"/>
        <v>366</v>
      </c>
      <c r="C1103" s="35">
        <f t="shared" ca="1" si="49"/>
        <v>154.75825</v>
      </c>
      <c r="D1103" s="35">
        <f t="shared" ca="1" si="49"/>
        <v>281.0162499999999</v>
      </c>
      <c r="E1103" s="35">
        <f t="shared" ca="1" si="49"/>
        <v>780.7254999999999</v>
      </c>
      <c r="F1103" s="35">
        <f t="shared" ca="1" si="49"/>
        <v>1216.5</v>
      </c>
      <c r="G1103" s="35">
        <f t="shared" ca="1" si="49"/>
        <v>79.166666666666671</v>
      </c>
      <c r="H1103" s="35">
        <f t="shared" ca="1" si="49"/>
        <v>600</v>
      </c>
      <c r="I1103" s="35">
        <f t="shared" ca="1" si="49"/>
        <v>695</v>
      </c>
      <c r="J1103" s="35">
        <f t="shared" ca="1" si="49"/>
        <v>33.333333333333336</v>
      </c>
      <c r="K1103" s="36"/>
      <c r="L1103" s="36"/>
      <c r="M1103" s="36"/>
      <c r="N1103" s="36"/>
      <c r="O1103" s="36"/>
      <c r="P1103" s="36"/>
      <c r="Q1103" s="36"/>
      <c r="R1103" s="36"/>
      <c r="S1103" s="36"/>
      <c r="T1103" s="36"/>
    </row>
    <row r="1104" spans="1:20" ht="15">
      <c r="A1104" s="3">
        <f t="shared" si="30"/>
        <v>2069</v>
      </c>
      <c r="B1104" s="3">
        <f t="shared" si="40"/>
        <v>365</v>
      </c>
      <c r="C1104" s="35">
        <f t="shared" ca="1" si="49"/>
        <v>154.75825</v>
      </c>
      <c r="D1104" s="35">
        <f t="shared" ca="1" si="49"/>
        <v>281.0162499999999</v>
      </c>
      <c r="E1104" s="35">
        <f t="shared" ca="1" si="49"/>
        <v>780.7254999999999</v>
      </c>
      <c r="F1104" s="35">
        <f t="shared" ca="1" si="49"/>
        <v>1216.5</v>
      </c>
      <c r="G1104" s="35">
        <f t="shared" ca="1" si="49"/>
        <v>79.166666666666671</v>
      </c>
      <c r="H1104" s="35">
        <f t="shared" ca="1" si="49"/>
        <v>600</v>
      </c>
      <c r="I1104" s="35">
        <f t="shared" ca="1" si="49"/>
        <v>695</v>
      </c>
      <c r="J1104" s="35">
        <f t="shared" ca="1" si="49"/>
        <v>33.333333333333336</v>
      </c>
      <c r="K1104" s="36"/>
      <c r="L1104" s="36"/>
      <c r="M1104" s="36"/>
      <c r="N1104" s="36"/>
      <c r="O1104" s="36"/>
      <c r="P1104" s="36"/>
      <c r="Q1104" s="36"/>
      <c r="R1104" s="36"/>
      <c r="S1104" s="36"/>
      <c r="T1104" s="36"/>
    </row>
    <row r="1105" spans="1:20" ht="15">
      <c r="A1105" s="3">
        <f t="shared" ref="A1105:A1135" si="50">A1104+1</f>
        <v>2070</v>
      </c>
      <c r="B1105" s="3">
        <f t="shared" si="40"/>
        <v>365</v>
      </c>
      <c r="C1105" s="35">
        <f t="shared" ca="1" si="49"/>
        <v>154.75825</v>
      </c>
      <c r="D1105" s="35">
        <f t="shared" ca="1" si="49"/>
        <v>281.0162499999999</v>
      </c>
      <c r="E1105" s="35">
        <f t="shared" ca="1" si="49"/>
        <v>780.7254999999999</v>
      </c>
      <c r="F1105" s="35">
        <f t="shared" ca="1" si="49"/>
        <v>1216.5</v>
      </c>
      <c r="G1105" s="35">
        <f t="shared" ca="1" si="49"/>
        <v>79.166666666666671</v>
      </c>
      <c r="H1105" s="35">
        <f t="shared" ca="1" si="49"/>
        <v>600</v>
      </c>
      <c r="I1105" s="35">
        <f t="shared" ca="1" si="49"/>
        <v>695</v>
      </c>
      <c r="J1105" s="35">
        <f t="shared" ca="1" si="49"/>
        <v>33.333333333333336</v>
      </c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</row>
    <row r="1106" spans="1:20" ht="15">
      <c r="A1106" s="3">
        <f t="shared" si="50"/>
        <v>2071</v>
      </c>
      <c r="B1106" s="3">
        <f t="shared" si="40"/>
        <v>365</v>
      </c>
      <c r="C1106" s="35">
        <f t="shared" ca="1" si="49"/>
        <v>154.75825</v>
      </c>
      <c r="D1106" s="35">
        <f t="shared" ca="1" si="49"/>
        <v>281.0162499999999</v>
      </c>
      <c r="E1106" s="35">
        <f t="shared" ca="1" si="49"/>
        <v>780.7254999999999</v>
      </c>
      <c r="F1106" s="35">
        <f t="shared" ca="1" si="49"/>
        <v>1216.5</v>
      </c>
      <c r="G1106" s="35">
        <f t="shared" ca="1" si="49"/>
        <v>79.166666666666671</v>
      </c>
      <c r="H1106" s="35">
        <f t="shared" ca="1" si="49"/>
        <v>600</v>
      </c>
      <c r="I1106" s="35">
        <f t="shared" ca="1" si="49"/>
        <v>695</v>
      </c>
      <c r="J1106" s="35">
        <f t="shared" ca="1" si="49"/>
        <v>33.333333333333336</v>
      </c>
      <c r="K1106" s="36"/>
      <c r="L1106" s="36"/>
      <c r="M1106" s="36"/>
      <c r="N1106" s="36"/>
      <c r="O1106" s="36"/>
      <c r="P1106" s="36"/>
      <c r="Q1106" s="36"/>
      <c r="R1106" s="36"/>
      <c r="S1106" s="36"/>
      <c r="T1106" s="36"/>
    </row>
    <row r="1107" spans="1:20" ht="15">
      <c r="A1107" s="3">
        <f t="shared" si="50"/>
        <v>2072</v>
      </c>
      <c r="B1107" s="3">
        <f t="shared" si="40"/>
        <v>366</v>
      </c>
      <c r="C1107" s="35">
        <f t="shared" ref="C1107:J1116" ca="1" si="51">AVERAGE(OFFSET(C$581,($A1107-$A$1097)*12,0,12,1))</f>
        <v>154.75825</v>
      </c>
      <c r="D1107" s="35">
        <f t="shared" ca="1" si="51"/>
        <v>281.0162499999999</v>
      </c>
      <c r="E1107" s="35">
        <f t="shared" ca="1" si="51"/>
        <v>780.7254999999999</v>
      </c>
      <c r="F1107" s="35">
        <f t="shared" ca="1" si="51"/>
        <v>1216.5</v>
      </c>
      <c r="G1107" s="35">
        <f t="shared" ca="1" si="51"/>
        <v>79.166666666666671</v>
      </c>
      <c r="H1107" s="35">
        <f t="shared" ca="1" si="51"/>
        <v>600</v>
      </c>
      <c r="I1107" s="35">
        <f t="shared" ca="1" si="51"/>
        <v>695</v>
      </c>
      <c r="J1107" s="35">
        <f t="shared" ca="1" si="51"/>
        <v>33.333333333333336</v>
      </c>
      <c r="K1107" s="36"/>
      <c r="L1107" s="36"/>
      <c r="M1107" s="36"/>
      <c r="N1107" s="36"/>
      <c r="O1107" s="36"/>
      <c r="P1107" s="36"/>
      <c r="Q1107" s="36"/>
      <c r="R1107" s="36"/>
      <c r="S1107" s="36"/>
      <c r="T1107" s="36"/>
    </row>
    <row r="1108" spans="1:20" ht="15">
      <c r="A1108" s="3">
        <f t="shared" si="50"/>
        <v>2073</v>
      </c>
      <c r="B1108" s="3">
        <f t="shared" si="40"/>
        <v>365</v>
      </c>
      <c r="C1108" s="35">
        <f t="shared" ca="1" si="51"/>
        <v>154.75825</v>
      </c>
      <c r="D1108" s="35">
        <f t="shared" ca="1" si="51"/>
        <v>281.0162499999999</v>
      </c>
      <c r="E1108" s="35">
        <f t="shared" ca="1" si="51"/>
        <v>780.7254999999999</v>
      </c>
      <c r="F1108" s="35">
        <f t="shared" ca="1" si="51"/>
        <v>1216.5</v>
      </c>
      <c r="G1108" s="35">
        <f t="shared" ca="1" si="51"/>
        <v>79.166666666666671</v>
      </c>
      <c r="H1108" s="35">
        <f t="shared" ca="1" si="51"/>
        <v>600</v>
      </c>
      <c r="I1108" s="35">
        <f t="shared" ca="1" si="51"/>
        <v>695</v>
      </c>
      <c r="J1108" s="35">
        <f t="shared" ca="1" si="51"/>
        <v>33.333333333333336</v>
      </c>
      <c r="K1108" s="36"/>
      <c r="L1108" s="36"/>
      <c r="M1108" s="36"/>
      <c r="N1108" s="36"/>
      <c r="O1108" s="36"/>
      <c r="P1108" s="36"/>
      <c r="Q1108" s="36"/>
      <c r="R1108" s="36"/>
      <c r="S1108" s="36"/>
      <c r="T1108" s="36"/>
    </row>
    <row r="1109" spans="1:20" ht="15">
      <c r="A1109" s="3">
        <f t="shared" si="50"/>
        <v>2074</v>
      </c>
      <c r="B1109" s="3">
        <f t="shared" si="40"/>
        <v>365</v>
      </c>
      <c r="C1109" s="35">
        <f t="shared" ca="1" si="51"/>
        <v>154.75825</v>
      </c>
      <c r="D1109" s="35">
        <f t="shared" ca="1" si="51"/>
        <v>281.0162499999999</v>
      </c>
      <c r="E1109" s="35">
        <f t="shared" ca="1" si="51"/>
        <v>780.7254999999999</v>
      </c>
      <c r="F1109" s="35">
        <f t="shared" ca="1" si="51"/>
        <v>1216.5</v>
      </c>
      <c r="G1109" s="35">
        <f t="shared" ca="1" si="51"/>
        <v>79.166666666666671</v>
      </c>
      <c r="H1109" s="35">
        <f t="shared" ca="1" si="51"/>
        <v>600</v>
      </c>
      <c r="I1109" s="35">
        <f t="shared" ca="1" si="51"/>
        <v>695</v>
      </c>
      <c r="J1109" s="35">
        <f t="shared" ca="1" si="51"/>
        <v>33.333333333333336</v>
      </c>
      <c r="K1109" s="36"/>
      <c r="L1109" s="36"/>
      <c r="M1109" s="36"/>
      <c r="N1109" s="36"/>
      <c r="O1109" s="36"/>
      <c r="P1109" s="36"/>
      <c r="Q1109" s="36"/>
      <c r="R1109" s="36"/>
      <c r="S1109" s="36"/>
      <c r="T1109" s="36"/>
    </row>
    <row r="1110" spans="1:20" ht="15">
      <c r="A1110" s="3">
        <f t="shared" si="50"/>
        <v>2075</v>
      </c>
      <c r="B1110" s="3">
        <f t="shared" si="40"/>
        <v>365</v>
      </c>
      <c r="C1110" s="35">
        <f t="shared" ca="1" si="51"/>
        <v>154.75825</v>
      </c>
      <c r="D1110" s="35">
        <f t="shared" ca="1" si="51"/>
        <v>281.0162499999999</v>
      </c>
      <c r="E1110" s="35">
        <f t="shared" ca="1" si="51"/>
        <v>780.7254999999999</v>
      </c>
      <c r="F1110" s="35">
        <f t="shared" ca="1" si="51"/>
        <v>1216.5</v>
      </c>
      <c r="G1110" s="35">
        <f t="shared" ca="1" si="51"/>
        <v>79.166666666666671</v>
      </c>
      <c r="H1110" s="35">
        <f t="shared" ca="1" si="51"/>
        <v>600</v>
      </c>
      <c r="I1110" s="35">
        <f t="shared" ca="1" si="51"/>
        <v>695</v>
      </c>
      <c r="J1110" s="35">
        <f t="shared" ca="1" si="51"/>
        <v>33.333333333333336</v>
      </c>
      <c r="K1110" s="36"/>
      <c r="L1110" s="36"/>
      <c r="M1110" s="36"/>
      <c r="N1110" s="36"/>
      <c r="O1110" s="36"/>
      <c r="P1110" s="36"/>
      <c r="Q1110" s="36"/>
      <c r="R1110" s="36"/>
      <c r="S1110" s="36"/>
      <c r="T1110" s="36"/>
    </row>
    <row r="1111" spans="1:20" ht="15">
      <c r="A1111" s="3">
        <f t="shared" si="50"/>
        <v>2076</v>
      </c>
      <c r="B1111" s="3">
        <f t="shared" si="40"/>
        <v>366</v>
      </c>
      <c r="C1111" s="35">
        <f t="shared" ca="1" si="51"/>
        <v>154.75825</v>
      </c>
      <c r="D1111" s="35">
        <f t="shared" ca="1" si="51"/>
        <v>281.0162499999999</v>
      </c>
      <c r="E1111" s="35">
        <f t="shared" ca="1" si="51"/>
        <v>780.7254999999999</v>
      </c>
      <c r="F1111" s="35">
        <f t="shared" ca="1" si="51"/>
        <v>1216.5</v>
      </c>
      <c r="G1111" s="35">
        <f t="shared" ca="1" si="51"/>
        <v>79.166666666666671</v>
      </c>
      <c r="H1111" s="35">
        <f t="shared" ca="1" si="51"/>
        <v>600</v>
      </c>
      <c r="I1111" s="35">
        <f t="shared" ca="1" si="51"/>
        <v>695</v>
      </c>
      <c r="J1111" s="35">
        <f t="shared" ca="1" si="51"/>
        <v>33.333333333333336</v>
      </c>
      <c r="K1111" s="36"/>
      <c r="L1111" s="36"/>
      <c r="M1111" s="36"/>
      <c r="N1111" s="36"/>
      <c r="O1111" s="36"/>
      <c r="P1111" s="36"/>
      <c r="Q1111" s="36"/>
      <c r="R1111" s="36"/>
      <c r="S1111" s="36"/>
      <c r="T1111" s="36"/>
    </row>
    <row r="1112" spans="1:20" ht="15">
      <c r="A1112" s="3">
        <f t="shared" si="50"/>
        <v>2077</v>
      </c>
      <c r="B1112" s="3">
        <f t="shared" si="40"/>
        <v>365</v>
      </c>
      <c r="C1112" s="35">
        <f t="shared" ca="1" si="51"/>
        <v>154.75825</v>
      </c>
      <c r="D1112" s="35">
        <f t="shared" ca="1" si="51"/>
        <v>281.0162499999999</v>
      </c>
      <c r="E1112" s="35">
        <f t="shared" ca="1" si="51"/>
        <v>780.7254999999999</v>
      </c>
      <c r="F1112" s="35">
        <f t="shared" ca="1" si="51"/>
        <v>1216.5</v>
      </c>
      <c r="G1112" s="35">
        <f t="shared" ca="1" si="51"/>
        <v>79.166666666666671</v>
      </c>
      <c r="H1112" s="35">
        <f t="shared" ca="1" si="51"/>
        <v>600</v>
      </c>
      <c r="I1112" s="35">
        <f t="shared" ca="1" si="51"/>
        <v>695</v>
      </c>
      <c r="J1112" s="35">
        <f t="shared" ca="1" si="51"/>
        <v>33.333333333333336</v>
      </c>
      <c r="K1112" s="36"/>
      <c r="L1112" s="36"/>
      <c r="M1112" s="36"/>
      <c r="N1112" s="36"/>
      <c r="O1112" s="36"/>
      <c r="P1112" s="36"/>
      <c r="Q1112" s="36"/>
      <c r="R1112" s="36"/>
      <c r="S1112" s="36"/>
      <c r="T1112" s="36"/>
    </row>
    <row r="1113" spans="1:20" ht="15">
      <c r="A1113" s="3">
        <f t="shared" si="50"/>
        <v>2078</v>
      </c>
      <c r="B1113" s="3">
        <f t="shared" si="40"/>
        <v>365</v>
      </c>
      <c r="C1113" s="35">
        <f t="shared" ca="1" si="51"/>
        <v>154.75825</v>
      </c>
      <c r="D1113" s="35">
        <f t="shared" ca="1" si="51"/>
        <v>281.0162499999999</v>
      </c>
      <c r="E1113" s="35">
        <f t="shared" ca="1" si="51"/>
        <v>780.7254999999999</v>
      </c>
      <c r="F1113" s="35">
        <f t="shared" ca="1" si="51"/>
        <v>1216.5</v>
      </c>
      <c r="G1113" s="35">
        <f t="shared" ca="1" si="51"/>
        <v>79.166666666666671</v>
      </c>
      <c r="H1113" s="35">
        <f t="shared" ca="1" si="51"/>
        <v>600</v>
      </c>
      <c r="I1113" s="35">
        <f t="shared" ca="1" si="51"/>
        <v>695</v>
      </c>
      <c r="J1113" s="35">
        <f t="shared" ca="1" si="51"/>
        <v>33.333333333333336</v>
      </c>
      <c r="K1113" s="36"/>
      <c r="L1113" s="36"/>
      <c r="M1113" s="36"/>
      <c r="N1113" s="36"/>
      <c r="O1113" s="36"/>
      <c r="P1113" s="36"/>
      <c r="Q1113" s="36"/>
      <c r="R1113" s="36"/>
      <c r="S1113" s="36"/>
      <c r="T1113" s="36"/>
    </row>
    <row r="1114" spans="1:20" ht="15">
      <c r="A1114" s="3">
        <f t="shared" si="50"/>
        <v>2079</v>
      </c>
      <c r="B1114" s="3">
        <f t="shared" ref="B1114:B1135" si="52">DATE(A1114+1,1,1)-DATE(A1114,1,1)</f>
        <v>365</v>
      </c>
      <c r="C1114" s="35">
        <f t="shared" ca="1" si="51"/>
        <v>154.75825</v>
      </c>
      <c r="D1114" s="35">
        <f t="shared" ca="1" si="51"/>
        <v>281.0162499999999</v>
      </c>
      <c r="E1114" s="35">
        <f t="shared" ca="1" si="51"/>
        <v>780.7254999999999</v>
      </c>
      <c r="F1114" s="35">
        <f t="shared" ca="1" si="51"/>
        <v>1216.5</v>
      </c>
      <c r="G1114" s="35">
        <f t="shared" ca="1" si="51"/>
        <v>79.166666666666671</v>
      </c>
      <c r="H1114" s="35">
        <f t="shared" ca="1" si="51"/>
        <v>600</v>
      </c>
      <c r="I1114" s="35">
        <f t="shared" ca="1" si="51"/>
        <v>695</v>
      </c>
      <c r="J1114" s="35">
        <f t="shared" ca="1" si="51"/>
        <v>33.333333333333336</v>
      </c>
      <c r="K1114" s="36"/>
      <c r="L1114" s="36"/>
      <c r="M1114" s="36"/>
      <c r="N1114" s="36"/>
      <c r="O1114" s="36"/>
      <c r="P1114" s="36"/>
      <c r="Q1114" s="36"/>
      <c r="R1114" s="36"/>
      <c r="S1114" s="36"/>
      <c r="T1114" s="36"/>
    </row>
    <row r="1115" spans="1:20" ht="15">
      <c r="A1115" s="3">
        <f t="shared" si="50"/>
        <v>2080</v>
      </c>
      <c r="B1115" s="3">
        <f t="shared" si="52"/>
        <v>366</v>
      </c>
      <c r="C1115" s="35">
        <f t="shared" ca="1" si="51"/>
        <v>154.75825</v>
      </c>
      <c r="D1115" s="35">
        <f t="shared" ca="1" si="51"/>
        <v>281.0162499999999</v>
      </c>
      <c r="E1115" s="35">
        <f t="shared" ca="1" si="51"/>
        <v>780.7254999999999</v>
      </c>
      <c r="F1115" s="35">
        <f t="shared" ca="1" si="51"/>
        <v>1216.5</v>
      </c>
      <c r="G1115" s="35">
        <f t="shared" ca="1" si="51"/>
        <v>79.166666666666671</v>
      </c>
      <c r="H1115" s="35">
        <f t="shared" ca="1" si="51"/>
        <v>600</v>
      </c>
      <c r="I1115" s="35">
        <f t="shared" ca="1" si="51"/>
        <v>695</v>
      </c>
      <c r="J1115" s="35">
        <f t="shared" ca="1" si="51"/>
        <v>33.333333333333336</v>
      </c>
      <c r="K1115" s="36"/>
      <c r="L1115" s="36"/>
      <c r="M1115" s="36"/>
      <c r="N1115" s="36"/>
      <c r="O1115" s="36"/>
      <c r="P1115" s="36"/>
      <c r="Q1115" s="36"/>
      <c r="R1115" s="36"/>
      <c r="S1115" s="36"/>
      <c r="T1115" s="36"/>
    </row>
    <row r="1116" spans="1:20" ht="15">
      <c r="A1116" s="3">
        <f t="shared" si="50"/>
        <v>2081</v>
      </c>
      <c r="B1116" s="3">
        <f t="shared" si="52"/>
        <v>365</v>
      </c>
      <c r="C1116" s="35">
        <f t="shared" ca="1" si="51"/>
        <v>154.75825</v>
      </c>
      <c r="D1116" s="35">
        <f t="shared" ca="1" si="51"/>
        <v>281.0162499999999</v>
      </c>
      <c r="E1116" s="35">
        <f t="shared" ca="1" si="51"/>
        <v>780.7254999999999</v>
      </c>
      <c r="F1116" s="35">
        <f t="shared" ca="1" si="51"/>
        <v>1216.5</v>
      </c>
      <c r="G1116" s="35">
        <f t="shared" ca="1" si="51"/>
        <v>79.166666666666671</v>
      </c>
      <c r="H1116" s="35">
        <f t="shared" ca="1" si="51"/>
        <v>600</v>
      </c>
      <c r="I1116" s="35">
        <f t="shared" ca="1" si="51"/>
        <v>695</v>
      </c>
      <c r="J1116" s="35">
        <f t="shared" ca="1" si="51"/>
        <v>33.333333333333336</v>
      </c>
      <c r="K1116" s="36"/>
      <c r="L1116" s="36"/>
      <c r="M1116" s="36"/>
      <c r="N1116" s="36"/>
      <c r="O1116" s="36"/>
      <c r="P1116" s="36"/>
      <c r="Q1116" s="36"/>
      <c r="R1116" s="36"/>
      <c r="S1116" s="36"/>
      <c r="T1116" s="36"/>
    </row>
    <row r="1117" spans="1:20" ht="15">
      <c r="A1117" s="3">
        <f t="shared" si="50"/>
        <v>2082</v>
      </c>
      <c r="B1117" s="3">
        <f t="shared" si="52"/>
        <v>365</v>
      </c>
      <c r="C1117" s="35">
        <f t="shared" ref="C1117:J1126" ca="1" si="53">AVERAGE(OFFSET(C$581,($A1117-$A$1097)*12,0,12,1))</f>
        <v>154.75825</v>
      </c>
      <c r="D1117" s="35">
        <f t="shared" ca="1" si="53"/>
        <v>281.0162499999999</v>
      </c>
      <c r="E1117" s="35">
        <f t="shared" ca="1" si="53"/>
        <v>780.7254999999999</v>
      </c>
      <c r="F1117" s="35">
        <f t="shared" ca="1" si="53"/>
        <v>1216.5</v>
      </c>
      <c r="G1117" s="35">
        <f t="shared" ca="1" si="53"/>
        <v>79.166666666666671</v>
      </c>
      <c r="H1117" s="35">
        <f t="shared" ca="1" si="53"/>
        <v>600</v>
      </c>
      <c r="I1117" s="35">
        <f t="shared" ca="1" si="53"/>
        <v>695</v>
      </c>
      <c r="J1117" s="35">
        <f t="shared" ca="1" si="53"/>
        <v>33.333333333333336</v>
      </c>
      <c r="K1117" s="36"/>
      <c r="L1117" s="36"/>
      <c r="M1117" s="36"/>
      <c r="N1117" s="36"/>
      <c r="O1117" s="36"/>
      <c r="P1117" s="36"/>
      <c r="Q1117" s="36"/>
      <c r="R1117" s="36"/>
      <c r="S1117" s="36"/>
      <c r="T1117" s="36"/>
    </row>
    <row r="1118" spans="1:20" ht="15">
      <c r="A1118" s="3">
        <f t="shared" si="50"/>
        <v>2083</v>
      </c>
      <c r="B1118" s="3">
        <f t="shared" si="52"/>
        <v>365</v>
      </c>
      <c r="C1118" s="35">
        <f t="shared" ca="1" si="53"/>
        <v>154.75825</v>
      </c>
      <c r="D1118" s="35">
        <f t="shared" ca="1" si="53"/>
        <v>281.0162499999999</v>
      </c>
      <c r="E1118" s="35">
        <f t="shared" ca="1" si="53"/>
        <v>780.7254999999999</v>
      </c>
      <c r="F1118" s="35">
        <f t="shared" ca="1" si="53"/>
        <v>1216.5</v>
      </c>
      <c r="G1118" s="35">
        <f t="shared" ca="1" si="53"/>
        <v>79.166666666666671</v>
      </c>
      <c r="H1118" s="35">
        <f t="shared" ca="1" si="53"/>
        <v>600</v>
      </c>
      <c r="I1118" s="35">
        <f t="shared" ca="1" si="53"/>
        <v>695</v>
      </c>
      <c r="J1118" s="35">
        <f t="shared" ca="1" si="53"/>
        <v>33.333333333333336</v>
      </c>
      <c r="K1118" s="36"/>
      <c r="L1118" s="36"/>
      <c r="M1118" s="36"/>
      <c r="N1118" s="36"/>
      <c r="O1118" s="36"/>
      <c r="P1118" s="36"/>
      <c r="Q1118" s="36"/>
      <c r="R1118" s="36"/>
      <c r="S1118" s="36"/>
      <c r="T1118" s="36"/>
    </row>
    <row r="1119" spans="1:20" ht="15">
      <c r="A1119" s="3">
        <f t="shared" si="50"/>
        <v>2084</v>
      </c>
      <c r="B1119" s="3">
        <f t="shared" si="52"/>
        <v>366</v>
      </c>
      <c r="C1119" s="35">
        <f t="shared" ca="1" si="53"/>
        <v>154.75825</v>
      </c>
      <c r="D1119" s="35">
        <f t="shared" ca="1" si="53"/>
        <v>281.0162499999999</v>
      </c>
      <c r="E1119" s="35">
        <f t="shared" ca="1" si="53"/>
        <v>780.7254999999999</v>
      </c>
      <c r="F1119" s="35">
        <f t="shared" ca="1" si="53"/>
        <v>1216.5</v>
      </c>
      <c r="G1119" s="35">
        <f t="shared" ca="1" si="53"/>
        <v>79.166666666666671</v>
      </c>
      <c r="H1119" s="35">
        <f t="shared" ca="1" si="53"/>
        <v>600</v>
      </c>
      <c r="I1119" s="35">
        <f t="shared" ca="1" si="53"/>
        <v>695</v>
      </c>
      <c r="J1119" s="35">
        <f t="shared" ca="1" si="53"/>
        <v>33.333333333333336</v>
      </c>
      <c r="K1119" s="36"/>
      <c r="L1119" s="36"/>
      <c r="M1119" s="36"/>
      <c r="N1119" s="36"/>
      <c r="O1119" s="36"/>
      <c r="P1119" s="36"/>
      <c r="Q1119" s="36"/>
      <c r="R1119" s="36"/>
      <c r="S1119" s="36"/>
      <c r="T1119" s="36"/>
    </row>
    <row r="1120" spans="1:20" ht="15">
      <c r="A1120" s="3">
        <f t="shared" si="50"/>
        <v>2085</v>
      </c>
      <c r="B1120" s="3">
        <f t="shared" si="52"/>
        <v>365</v>
      </c>
      <c r="C1120" s="35">
        <f t="shared" ca="1" si="53"/>
        <v>154.75825</v>
      </c>
      <c r="D1120" s="35">
        <f t="shared" ca="1" si="53"/>
        <v>281.0162499999999</v>
      </c>
      <c r="E1120" s="35">
        <f t="shared" ca="1" si="53"/>
        <v>780.7254999999999</v>
      </c>
      <c r="F1120" s="35">
        <f t="shared" ca="1" si="53"/>
        <v>1216.5</v>
      </c>
      <c r="G1120" s="35">
        <f t="shared" ca="1" si="53"/>
        <v>79.166666666666671</v>
      </c>
      <c r="H1120" s="35">
        <f t="shared" ca="1" si="53"/>
        <v>600</v>
      </c>
      <c r="I1120" s="35">
        <f t="shared" ca="1" si="53"/>
        <v>695</v>
      </c>
      <c r="J1120" s="35">
        <f t="shared" ca="1" si="53"/>
        <v>33.333333333333336</v>
      </c>
      <c r="K1120" s="36"/>
      <c r="L1120" s="36"/>
      <c r="M1120" s="36"/>
      <c r="N1120" s="36"/>
      <c r="O1120" s="36"/>
      <c r="P1120" s="36"/>
      <c r="Q1120" s="36"/>
      <c r="R1120" s="36"/>
      <c r="S1120" s="36"/>
      <c r="T1120" s="36"/>
    </row>
    <row r="1121" spans="1:20" ht="15">
      <c r="A1121" s="3">
        <f t="shared" si="50"/>
        <v>2086</v>
      </c>
      <c r="B1121" s="3">
        <f t="shared" si="52"/>
        <v>365</v>
      </c>
      <c r="C1121" s="35">
        <f t="shared" ca="1" si="53"/>
        <v>154.75825</v>
      </c>
      <c r="D1121" s="35">
        <f t="shared" ca="1" si="53"/>
        <v>281.0162499999999</v>
      </c>
      <c r="E1121" s="35">
        <f t="shared" ca="1" si="53"/>
        <v>780.7254999999999</v>
      </c>
      <c r="F1121" s="35">
        <f t="shared" ca="1" si="53"/>
        <v>1216.5</v>
      </c>
      <c r="G1121" s="35">
        <f t="shared" ca="1" si="53"/>
        <v>79.166666666666671</v>
      </c>
      <c r="H1121" s="35">
        <f t="shared" ca="1" si="53"/>
        <v>600</v>
      </c>
      <c r="I1121" s="35">
        <f t="shared" ca="1" si="53"/>
        <v>695</v>
      </c>
      <c r="J1121" s="35">
        <f t="shared" ca="1" si="53"/>
        <v>33.333333333333336</v>
      </c>
      <c r="K1121" s="36"/>
      <c r="L1121" s="36"/>
      <c r="M1121" s="36"/>
      <c r="N1121" s="36"/>
      <c r="O1121" s="36"/>
      <c r="P1121" s="36"/>
      <c r="Q1121" s="36"/>
      <c r="R1121" s="36"/>
      <c r="S1121" s="36"/>
      <c r="T1121" s="36"/>
    </row>
    <row r="1122" spans="1:20" ht="15">
      <c r="A1122" s="3">
        <f t="shared" si="50"/>
        <v>2087</v>
      </c>
      <c r="B1122" s="3">
        <f t="shared" si="52"/>
        <v>365</v>
      </c>
      <c r="C1122" s="35">
        <f t="shared" ca="1" si="53"/>
        <v>154.75825</v>
      </c>
      <c r="D1122" s="35">
        <f t="shared" ca="1" si="53"/>
        <v>281.0162499999999</v>
      </c>
      <c r="E1122" s="35">
        <f t="shared" ca="1" si="53"/>
        <v>780.7254999999999</v>
      </c>
      <c r="F1122" s="35">
        <f t="shared" ca="1" si="53"/>
        <v>1216.5</v>
      </c>
      <c r="G1122" s="35">
        <f t="shared" ca="1" si="53"/>
        <v>79.166666666666671</v>
      </c>
      <c r="H1122" s="35">
        <f t="shared" ca="1" si="53"/>
        <v>600</v>
      </c>
      <c r="I1122" s="35">
        <f t="shared" ca="1" si="53"/>
        <v>695</v>
      </c>
      <c r="J1122" s="35">
        <f t="shared" ca="1" si="53"/>
        <v>33.333333333333336</v>
      </c>
      <c r="K1122" s="36"/>
      <c r="L1122" s="36"/>
      <c r="M1122" s="36"/>
      <c r="N1122" s="36"/>
      <c r="O1122" s="36"/>
      <c r="P1122" s="36"/>
      <c r="Q1122" s="36"/>
      <c r="R1122" s="36"/>
      <c r="S1122" s="36"/>
      <c r="T1122" s="36"/>
    </row>
    <row r="1123" spans="1:20" ht="15">
      <c r="A1123" s="3">
        <f t="shared" si="50"/>
        <v>2088</v>
      </c>
      <c r="B1123" s="3">
        <f t="shared" si="52"/>
        <v>366</v>
      </c>
      <c r="C1123" s="35">
        <f t="shared" ca="1" si="53"/>
        <v>154.75825</v>
      </c>
      <c r="D1123" s="35">
        <f t="shared" ca="1" si="53"/>
        <v>281.0162499999999</v>
      </c>
      <c r="E1123" s="35">
        <f t="shared" ca="1" si="53"/>
        <v>780.7254999999999</v>
      </c>
      <c r="F1123" s="35">
        <f t="shared" ca="1" si="53"/>
        <v>1216.5</v>
      </c>
      <c r="G1123" s="35">
        <f t="shared" ca="1" si="53"/>
        <v>79.166666666666671</v>
      </c>
      <c r="H1123" s="35">
        <f t="shared" ca="1" si="53"/>
        <v>600</v>
      </c>
      <c r="I1123" s="35">
        <f t="shared" ca="1" si="53"/>
        <v>695</v>
      </c>
      <c r="J1123" s="35">
        <f t="shared" ca="1" si="53"/>
        <v>33.333333333333336</v>
      </c>
      <c r="K1123" s="36"/>
      <c r="L1123" s="36"/>
      <c r="M1123" s="36"/>
      <c r="N1123" s="36"/>
      <c r="O1123" s="36"/>
      <c r="P1123" s="36"/>
      <c r="Q1123" s="36"/>
      <c r="R1123" s="36"/>
      <c r="S1123" s="36"/>
      <c r="T1123" s="36"/>
    </row>
    <row r="1124" spans="1:20" ht="15">
      <c r="A1124" s="3">
        <f t="shared" si="50"/>
        <v>2089</v>
      </c>
      <c r="B1124" s="3">
        <f t="shared" si="52"/>
        <v>365</v>
      </c>
      <c r="C1124" s="35">
        <f t="shared" ca="1" si="53"/>
        <v>154.75825</v>
      </c>
      <c r="D1124" s="35">
        <f t="shared" ca="1" si="53"/>
        <v>281.0162499999999</v>
      </c>
      <c r="E1124" s="35">
        <f t="shared" ca="1" si="53"/>
        <v>780.7254999999999</v>
      </c>
      <c r="F1124" s="35">
        <f t="shared" ca="1" si="53"/>
        <v>1216.5</v>
      </c>
      <c r="G1124" s="35">
        <f t="shared" ca="1" si="53"/>
        <v>79.166666666666671</v>
      </c>
      <c r="H1124" s="35">
        <f t="shared" ca="1" si="53"/>
        <v>600</v>
      </c>
      <c r="I1124" s="35">
        <f t="shared" ca="1" si="53"/>
        <v>695</v>
      </c>
      <c r="J1124" s="35">
        <f t="shared" ca="1" si="53"/>
        <v>33.333333333333336</v>
      </c>
      <c r="K1124" s="36"/>
      <c r="L1124" s="36"/>
      <c r="M1124" s="36"/>
      <c r="N1124" s="36"/>
      <c r="O1124" s="36"/>
      <c r="P1124" s="36"/>
      <c r="Q1124" s="36"/>
      <c r="R1124" s="36"/>
      <c r="S1124" s="36"/>
      <c r="T1124" s="36"/>
    </row>
    <row r="1125" spans="1:20" ht="15">
      <c r="A1125" s="3">
        <f t="shared" si="50"/>
        <v>2090</v>
      </c>
      <c r="B1125" s="3">
        <f t="shared" si="52"/>
        <v>365</v>
      </c>
      <c r="C1125" s="35">
        <f t="shared" ca="1" si="53"/>
        <v>154.75825</v>
      </c>
      <c r="D1125" s="35">
        <f t="shared" ca="1" si="53"/>
        <v>281.0162499999999</v>
      </c>
      <c r="E1125" s="35">
        <f t="shared" ca="1" si="53"/>
        <v>780.7254999999999</v>
      </c>
      <c r="F1125" s="35">
        <f t="shared" ca="1" si="53"/>
        <v>1216.5</v>
      </c>
      <c r="G1125" s="35">
        <f t="shared" ca="1" si="53"/>
        <v>79.166666666666671</v>
      </c>
      <c r="H1125" s="35">
        <f t="shared" ca="1" si="53"/>
        <v>600</v>
      </c>
      <c r="I1125" s="35">
        <f t="shared" ca="1" si="53"/>
        <v>695</v>
      </c>
      <c r="J1125" s="35">
        <f t="shared" ca="1" si="53"/>
        <v>33.333333333333336</v>
      </c>
      <c r="K1125" s="36"/>
      <c r="L1125" s="36"/>
      <c r="M1125" s="36"/>
      <c r="N1125" s="36"/>
      <c r="O1125" s="36"/>
      <c r="P1125" s="36"/>
      <c r="Q1125" s="36"/>
      <c r="R1125" s="36"/>
      <c r="S1125" s="36"/>
      <c r="T1125" s="36"/>
    </row>
    <row r="1126" spans="1:20" ht="15">
      <c r="A1126" s="3">
        <f t="shared" si="50"/>
        <v>2091</v>
      </c>
      <c r="B1126" s="3">
        <f t="shared" si="52"/>
        <v>365</v>
      </c>
      <c r="C1126" s="35">
        <f t="shared" ca="1" si="53"/>
        <v>154.75825</v>
      </c>
      <c r="D1126" s="35">
        <f t="shared" ca="1" si="53"/>
        <v>281.0162499999999</v>
      </c>
      <c r="E1126" s="35">
        <f t="shared" ca="1" si="53"/>
        <v>780.7254999999999</v>
      </c>
      <c r="F1126" s="35">
        <f t="shared" ca="1" si="53"/>
        <v>1216.5</v>
      </c>
      <c r="G1126" s="35">
        <f t="shared" ca="1" si="53"/>
        <v>79.166666666666671</v>
      </c>
      <c r="H1126" s="35">
        <f t="shared" ca="1" si="53"/>
        <v>600</v>
      </c>
      <c r="I1126" s="35">
        <f t="shared" ca="1" si="53"/>
        <v>695</v>
      </c>
      <c r="J1126" s="35">
        <f t="shared" ca="1" si="53"/>
        <v>33.333333333333336</v>
      </c>
    </row>
    <row r="1127" spans="1:20" ht="15">
      <c r="A1127" s="3">
        <f t="shared" si="50"/>
        <v>2092</v>
      </c>
      <c r="B1127" s="3">
        <f t="shared" si="52"/>
        <v>366</v>
      </c>
      <c r="C1127" s="35">
        <f t="shared" ref="C1127:J1135" ca="1" si="54">AVERAGE(OFFSET(C$581,($A1127-$A$1097)*12,0,12,1))</f>
        <v>154.75825</v>
      </c>
      <c r="D1127" s="35">
        <f t="shared" ca="1" si="54"/>
        <v>281.0162499999999</v>
      </c>
      <c r="E1127" s="35">
        <f t="shared" ca="1" si="54"/>
        <v>780.7254999999999</v>
      </c>
      <c r="F1127" s="35">
        <f t="shared" ca="1" si="54"/>
        <v>1216.5</v>
      </c>
      <c r="G1127" s="35">
        <f t="shared" ca="1" si="54"/>
        <v>79.166666666666671</v>
      </c>
      <c r="H1127" s="35">
        <f t="shared" ca="1" si="54"/>
        <v>600</v>
      </c>
      <c r="I1127" s="35">
        <f t="shared" ca="1" si="54"/>
        <v>695</v>
      </c>
      <c r="J1127" s="35">
        <f t="shared" ca="1" si="54"/>
        <v>33.333333333333336</v>
      </c>
    </row>
    <row r="1128" spans="1:20" ht="15">
      <c r="A1128" s="3">
        <f t="shared" si="50"/>
        <v>2093</v>
      </c>
      <c r="B1128" s="3">
        <f t="shared" si="52"/>
        <v>365</v>
      </c>
      <c r="C1128" s="35">
        <f t="shared" ca="1" si="54"/>
        <v>154.75825</v>
      </c>
      <c r="D1128" s="35">
        <f t="shared" ca="1" si="54"/>
        <v>281.0162499999999</v>
      </c>
      <c r="E1128" s="35">
        <f t="shared" ca="1" si="54"/>
        <v>780.7254999999999</v>
      </c>
      <c r="F1128" s="35">
        <f t="shared" ca="1" si="54"/>
        <v>1216.5</v>
      </c>
      <c r="G1128" s="35">
        <f t="shared" ca="1" si="54"/>
        <v>79.166666666666671</v>
      </c>
      <c r="H1128" s="35">
        <f t="shared" ca="1" si="54"/>
        <v>600</v>
      </c>
      <c r="I1128" s="35">
        <f t="shared" ca="1" si="54"/>
        <v>695</v>
      </c>
      <c r="J1128" s="35">
        <f t="shared" ca="1" si="54"/>
        <v>33.333333333333336</v>
      </c>
    </row>
    <row r="1129" spans="1:20" ht="15">
      <c r="A1129" s="3">
        <f t="shared" si="50"/>
        <v>2094</v>
      </c>
      <c r="B1129" s="3">
        <f t="shared" si="52"/>
        <v>365</v>
      </c>
      <c r="C1129" s="35">
        <f t="shared" ca="1" si="54"/>
        <v>154.75825</v>
      </c>
      <c r="D1129" s="35">
        <f t="shared" ca="1" si="54"/>
        <v>281.0162499999999</v>
      </c>
      <c r="E1129" s="35">
        <f t="shared" ca="1" si="54"/>
        <v>780.7254999999999</v>
      </c>
      <c r="F1129" s="35">
        <f t="shared" ca="1" si="54"/>
        <v>1216.5</v>
      </c>
      <c r="G1129" s="35">
        <f t="shared" ca="1" si="54"/>
        <v>79.166666666666671</v>
      </c>
      <c r="H1129" s="35">
        <f t="shared" ca="1" si="54"/>
        <v>600</v>
      </c>
      <c r="I1129" s="35">
        <f t="shared" ca="1" si="54"/>
        <v>695</v>
      </c>
      <c r="J1129" s="35">
        <f t="shared" ca="1" si="54"/>
        <v>33.333333333333336</v>
      </c>
    </row>
    <row r="1130" spans="1:20" ht="15">
      <c r="A1130" s="3">
        <f t="shared" si="50"/>
        <v>2095</v>
      </c>
      <c r="B1130" s="3">
        <f t="shared" si="52"/>
        <v>365</v>
      </c>
      <c r="C1130" s="35">
        <f t="shared" ca="1" si="54"/>
        <v>154.75825</v>
      </c>
      <c r="D1130" s="35">
        <f t="shared" ca="1" si="54"/>
        <v>281.0162499999999</v>
      </c>
      <c r="E1130" s="35">
        <f t="shared" ca="1" si="54"/>
        <v>780.7254999999999</v>
      </c>
      <c r="F1130" s="35">
        <f t="shared" ca="1" si="54"/>
        <v>1216.5</v>
      </c>
      <c r="G1130" s="35">
        <f t="shared" ca="1" si="54"/>
        <v>79.166666666666671</v>
      </c>
      <c r="H1130" s="35">
        <f t="shared" ca="1" si="54"/>
        <v>600</v>
      </c>
      <c r="I1130" s="35">
        <f t="shared" ca="1" si="54"/>
        <v>695</v>
      </c>
      <c r="J1130" s="35">
        <f t="shared" ca="1" si="54"/>
        <v>33.333333333333336</v>
      </c>
    </row>
    <row r="1131" spans="1:20" ht="15">
      <c r="A1131" s="3">
        <f t="shared" si="50"/>
        <v>2096</v>
      </c>
      <c r="B1131" s="3">
        <f t="shared" si="52"/>
        <v>366</v>
      </c>
      <c r="C1131" s="35">
        <f t="shared" ca="1" si="54"/>
        <v>154.75825</v>
      </c>
      <c r="D1131" s="35">
        <f t="shared" ca="1" si="54"/>
        <v>281.0162499999999</v>
      </c>
      <c r="E1131" s="35">
        <f t="shared" ca="1" si="54"/>
        <v>780.7254999999999</v>
      </c>
      <c r="F1131" s="35">
        <f t="shared" ca="1" si="54"/>
        <v>1216.5</v>
      </c>
      <c r="G1131" s="35">
        <f t="shared" ca="1" si="54"/>
        <v>79.166666666666671</v>
      </c>
      <c r="H1131" s="35">
        <f t="shared" ca="1" si="54"/>
        <v>600</v>
      </c>
      <c r="I1131" s="35">
        <f t="shared" ca="1" si="54"/>
        <v>695</v>
      </c>
      <c r="J1131" s="35">
        <f t="shared" ca="1" si="54"/>
        <v>33.333333333333336</v>
      </c>
    </row>
    <row r="1132" spans="1:20" ht="15">
      <c r="A1132" s="3">
        <f t="shared" si="50"/>
        <v>2097</v>
      </c>
      <c r="B1132" s="3">
        <f t="shared" si="52"/>
        <v>365</v>
      </c>
      <c r="C1132" s="35">
        <f t="shared" ca="1" si="54"/>
        <v>154.75825</v>
      </c>
      <c r="D1132" s="35">
        <f t="shared" ca="1" si="54"/>
        <v>281.0162499999999</v>
      </c>
      <c r="E1132" s="35">
        <f t="shared" ca="1" si="54"/>
        <v>780.7254999999999</v>
      </c>
      <c r="F1132" s="35">
        <f t="shared" ca="1" si="54"/>
        <v>1216.5</v>
      </c>
      <c r="G1132" s="35">
        <f t="shared" ca="1" si="54"/>
        <v>79.166666666666671</v>
      </c>
      <c r="H1132" s="35">
        <f t="shared" ca="1" si="54"/>
        <v>600</v>
      </c>
      <c r="I1132" s="35">
        <f t="shared" ca="1" si="54"/>
        <v>695</v>
      </c>
      <c r="J1132" s="35">
        <f t="shared" ca="1" si="54"/>
        <v>33.333333333333336</v>
      </c>
    </row>
    <row r="1133" spans="1:20" ht="15">
      <c r="A1133" s="3">
        <f t="shared" si="50"/>
        <v>2098</v>
      </c>
      <c r="B1133" s="3">
        <f t="shared" si="52"/>
        <v>365</v>
      </c>
      <c r="C1133" s="35">
        <f t="shared" ca="1" si="54"/>
        <v>154.75825</v>
      </c>
      <c r="D1133" s="35">
        <f t="shared" ca="1" si="54"/>
        <v>281.0162499999999</v>
      </c>
      <c r="E1133" s="35">
        <f t="shared" ca="1" si="54"/>
        <v>780.7254999999999</v>
      </c>
      <c r="F1133" s="35">
        <f t="shared" ca="1" si="54"/>
        <v>1216.5</v>
      </c>
      <c r="G1133" s="35">
        <f t="shared" ca="1" si="54"/>
        <v>79.166666666666671</v>
      </c>
      <c r="H1133" s="35">
        <f t="shared" ca="1" si="54"/>
        <v>600</v>
      </c>
      <c r="I1133" s="35">
        <f t="shared" ca="1" si="54"/>
        <v>695</v>
      </c>
      <c r="J1133" s="35">
        <f t="shared" ca="1" si="54"/>
        <v>33.333333333333336</v>
      </c>
    </row>
    <row r="1134" spans="1:20" ht="15">
      <c r="A1134" s="3">
        <f t="shared" si="50"/>
        <v>2099</v>
      </c>
      <c r="B1134" s="3">
        <f t="shared" si="52"/>
        <v>365</v>
      </c>
      <c r="C1134" s="35">
        <f t="shared" ca="1" si="54"/>
        <v>154.75825</v>
      </c>
      <c r="D1134" s="35">
        <f t="shared" ca="1" si="54"/>
        <v>281.0162499999999</v>
      </c>
      <c r="E1134" s="35">
        <f t="shared" ca="1" si="54"/>
        <v>780.7254999999999</v>
      </c>
      <c r="F1134" s="35">
        <f t="shared" ca="1" si="54"/>
        <v>1216.5</v>
      </c>
      <c r="G1134" s="35">
        <f t="shared" ca="1" si="54"/>
        <v>79.166666666666671</v>
      </c>
      <c r="H1134" s="35">
        <f t="shared" ca="1" si="54"/>
        <v>600</v>
      </c>
      <c r="I1134" s="35">
        <f t="shared" ca="1" si="54"/>
        <v>695</v>
      </c>
      <c r="J1134" s="35">
        <f t="shared" ca="1" si="54"/>
        <v>33.333333333333336</v>
      </c>
    </row>
    <row r="1135" spans="1:20" ht="15">
      <c r="A1135" s="3">
        <f t="shared" si="50"/>
        <v>2100</v>
      </c>
      <c r="B1135" s="3">
        <f t="shared" si="52"/>
        <v>365</v>
      </c>
      <c r="C1135" s="35">
        <f t="shared" ca="1" si="54"/>
        <v>154.75825</v>
      </c>
      <c r="D1135" s="35">
        <f t="shared" ca="1" si="54"/>
        <v>281.0162499999999</v>
      </c>
      <c r="E1135" s="35">
        <f t="shared" ca="1" si="54"/>
        <v>780.7254999999999</v>
      </c>
      <c r="F1135" s="35">
        <f t="shared" ca="1" si="54"/>
        <v>1216.5</v>
      </c>
      <c r="G1135" s="35">
        <f t="shared" ca="1" si="54"/>
        <v>79.166666666666671</v>
      </c>
      <c r="H1135" s="35">
        <f t="shared" ca="1" si="54"/>
        <v>600</v>
      </c>
      <c r="I1135" s="35">
        <f t="shared" ca="1" si="54"/>
        <v>695</v>
      </c>
      <c r="J1135" s="35">
        <f t="shared" ca="1" si="54"/>
        <v>33.333333333333336</v>
      </c>
    </row>
    <row r="1136" spans="1:20">
      <c r="A1136" s="32"/>
      <c r="B1136" s="32"/>
      <c r="C1136" s="34"/>
      <c r="D1136" s="34"/>
      <c r="E1136" s="34"/>
      <c r="F1136" s="34"/>
      <c r="G1136" s="34"/>
    </row>
    <row r="1137" spans="1:2">
      <c r="A1137" s="32"/>
      <c r="B1137" s="32"/>
    </row>
    <row r="1138" spans="1:2">
      <c r="A1138" s="32"/>
      <c r="B1138" s="32"/>
    </row>
    <row r="1139" spans="1:2">
      <c r="A1139" s="32"/>
      <c r="B1139" s="32"/>
    </row>
    <row r="1140" spans="1:2">
      <c r="A1140" s="32"/>
      <c r="B1140" s="32"/>
    </row>
    <row r="1141" spans="1:2">
      <c r="A1141" s="32"/>
      <c r="B1141" s="32"/>
    </row>
    <row r="1142" spans="1:2">
      <c r="A1142" s="32"/>
      <c r="B1142" s="32"/>
    </row>
    <row r="1143" spans="1:2">
      <c r="A1143" s="32"/>
      <c r="B1143" s="32"/>
    </row>
    <row r="1144" spans="1:2">
      <c r="A1144" s="32"/>
      <c r="B1144" s="32"/>
    </row>
    <row r="1145" spans="1:2">
      <c r="A1145" s="32"/>
      <c r="B1145" s="32"/>
    </row>
    <row r="1146" spans="1:2">
      <c r="A1146" s="32"/>
      <c r="B1146" s="32"/>
    </row>
    <row r="1147" spans="1:2">
      <c r="A1147" s="32"/>
      <c r="B1147" s="32"/>
    </row>
    <row r="1148" spans="1:2">
      <c r="A1148" s="32"/>
      <c r="B1148" s="32"/>
    </row>
    <row r="1149" spans="1:2">
      <c r="A1149" s="32"/>
      <c r="B1149" s="32"/>
    </row>
    <row r="1150" spans="1:2">
      <c r="A1150" s="32"/>
      <c r="B1150" s="32"/>
    </row>
    <row r="1151" spans="1:2">
      <c r="A1151" s="32"/>
      <c r="B1151" s="32"/>
    </row>
    <row r="1152" spans="1:2">
      <c r="A1152" s="32"/>
      <c r="B1152" s="32"/>
    </row>
    <row r="1153" spans="1:2">
      <c r="A1153" s="32"/>
      <c r="B1153" s="32"/>
    </row>
    <row r="1154" spans="1:2">
      <c r="A1154" s="32"/>
      <c r="B1154" s="32"/>
    </row>
    <row r="1155" spans="1:2">
      <c r="A1155" s="32"/>
      <c r="B1155" s="32"/>
    </row>
  </sheetData>
  <mergeCells count="1">
    <mergeCell ref="C14:E14"/>
  </mergeCells>
  <pageMargins left="0.25" right="0.25" top="0.5" bottom="0.5" header="0.25" footer="0.25"/>
  <pageSetup scale="75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G1155"/>
  <sheetViews>
    <sheetView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B17" sqref="B17"/>
    </sheetView>
  </sheetViews>
  <sheetFormatPr defaultColWidth="7.109375" defaultRowHeight="12.75"/>
  <cols>
    <col min="1" max="1" width="7.5546875" style="33" bestFit="1" customWidth="1"/>
    <col min="2" max="2" width="10" style="33" customWidth="1"/>
    <col min="3" max="3" width="12" style="33" customWidth="1"/>
    <col min="4" max="4" width="12.109375" style="33" bestFit="1" customWidth="1"/>
    <col min="5" max="5" width="8.44140625" style="33" bestFit="1" customWidth="1"/>
    <col min="6" max="16384" width="7.109375" style="32"/>
  </cols>
  <sheetData>
    <row r="1" spans="1:7" ht="15.75">
      <c r="A1" s="84" t="s">
        <v>64</v>
      </c>
    </row>
    <row r="2" spans="1:7" ht="15.75">
      <c r="A2" s="84" t="s">
        <v>65</v>
      </c>
    </row>
    <row r="3" spans="1:7" ht="15.75">
      <c r="A3" s="84" t="s">
        <v>66</v>
      </c>
    </row>
    <row r="4" spans="1:7" ht="15.75">
      <c r="A4" s="84" t="s">
        <v>67</v>
      </c>
    </row>
    <row r="5" spans="1:7" ht="15.75">
      <c r="A5" s="84" t="s">
        <v>69</v>
      </c>
    </row>
    <row r="6" spans="1:7" ht="15.75">
      <c r="A6" s="84" t="s">
        <v>71</v>
      </c>
    </row>
    <row r="8" spans="1:7" ht="20.25">
      <c r="A8" s="31" t="s">
        <v>43</v>
      </c>
    </row>
    <row r="9" spans="1:7" ht="15" customHeight="1">
      <c r="A9" s="57" t="s">
        <v>25</v>
      </c>
    </row>
    <row r="10" spans="1:7" ht="15" customHeight="1">
      <c r="A10" s="62"/>
      <c r="F10" s="60"/>
      <c r="G10" s="60"/>
    </row>
    <row r="11" spans="1:7" ht="15" customHeight="1">
      <c r="A11" s="62"/>
      <c r="B11" s="61"/>
      <c r="C11" s="61"/>
      <c r="D11" s="61"/>
      <c r="E11" s="61"/>
      <c r="F11" s="60"/>
      <c r="G11" s="60"/>
    </row>
    <row r="12" spans="1:7" ht="15" customHeight="1"/>
    <row r="13" spans="1:7" ht="15" customHeight="1">
      <c r="B13" s="59" t="s">
        <v>24</v>
      </c>
      <c r="C13" s="58">
        <f>1-0.261</f>
        <v>0.73899999999999999</v>
      </c>
      <c r="D13" s="59" t="s">
        <v>23</v>
      </c>
      <c r="E13" s="58">
        <f>1+0.261</f>
        <v>1.2610000000000001</v>
      </c>
    </row>
    <row r="14" spans="1:7" ht="15" customHeight="1">
      <c r="A14" s="57"/>
      <c r="B14" s="87" t="s">
        <v>42</v>
      </c>
      <c r="C14" s="87"/>
      <c r="D14" s="56" t="s">
        <v>41</v>
      </c>
      <c r="E14" s="51"/>
    </row>
    <row r="15" spans="1:7" s="54" customFormat="1" ht="63">
      <c r="B15" s="55" t="s">
        <v>40</v>
      </c>
      <c r="C15" s="55" t="s">
        <v>39</v>
      </c>
      <c r="D15" s="55" t="s">
        <v>38</v>
      </c>
      <c r="E15" s="23" t="s">
        <v>37</v>
      </c>
    </row>
    <row r="16" spans="1:7" s="54" customFormat="1" ht="21" customHeight="1">
      <c r="A16" s="20" t="s">
        <v>2</v>
      </c>
      <c r="B16" s="46" t="s">
        <v>1</v>
      </c>
      <c r="C16" s="46" t="s">
        <v>1</v>
      </c>
      <c r="D16" s="46" t="s">
        <v>1</v>
      </c>
      <c r="E16" s="20" t="s">
        <v>36</v>
      </c>
    </row>
    <row r="17" spans="1:5" ht="15">
      <c r="A17" s="13">
        <v>42005</v>
      </c>
      <c r="B17" s="4">
        <f>8.0406 * CHOOSE(CONTROL!$C$9, $C$13, 100%, $E$13) + CHOOSE(CONTROL!$C$28, 0.0003, 0)</f>
        <v>8.0408999999999988</v>
      </c>
      <c r="C17" s="4">
        <f>7.6773 * CHOOSE(CONTROL!$C$9, $C$13, 100%, $E$13) + CHOOSE(CONTROL!$C$28, 0.0003, 0)</f>
        <v>7.6776</v>
      </c>
      <c r="D17" s="4">
        <f>15.1549 * CHOOSE(CONTROL!$C$9, $C$13, 100%, $E$13) + CHOOSE(CONTROL!$C$28, 0, 0)</f>
        <v>15.1549</v>
      </c>
      <c r="E17" s="4">
        <f>56.52 * CHOOSE(CONTROL!$C$9, $C$13, 100%, $E$13) + CHOOSE(CONTROL!$C$28, 0, 0)</f>
        <v>56.52</v>
      </c>
    </row>
    <row r="18" spans="1:5" ht="15">
      <c r="A18" s="13">
        <v>42036</v>
      </c>
      <c r="B18" s="4">
        <f>9.525 * CHOOSE(CONTROL!$C$9, $C$13, 100%, $E$13) + CHOOSE(CONTROL!$C$28, 0.0003, 0)</f>
        <v>9.5252999999999997</v>
      </c>
      <c r="C18" s="4">
        <f>9.1617 * CHOOSE(CONTROL!$C$9, $C$13, 100%, $E$13) + CHOOSE(CONTROL!$C$28, 0.0003, 0)</f>
        <v>9.161999999999999</v>
      </c>
      <c r="D18" s="4">
        <f>14.0001 * CHOOSE(CONTROL!$C$9, $C$13, 100%, $E$13) + CHOOSE(CONTROL!$C$28, 0, 0)</f>
        <v>14.0001</v>
      </c>
      <c r="E18" s="4">
        <f>46.39 * CHOOSE(CONTROL!$C$9, $C$13, 100%, $E$13) + CHOOSE(CONTROL!$C$28, 0, 0)</f>
        <v>46.39</v>
      </c>
    </row>
    <row r="19" spans="1:5" ht="15">
      <c r="A19" s="13">
        <v>42064</v>
      </c>
      <c r="B19" s="4">
        <f>8.4906 * CHOOSE(CONTROL!$C$9, $C$13, 100%, $E$13) + CHOOSE(CONTROL!$C$28, 0.0003, 0)</f>
        <v>8.4908999999999999</v>
      </c>
      <c r="C19" s="4">
        <f>8.1273 * CHOOSE(CONTROL!$C$9, $C$13, 100%, $E$13) + CHOOSE(CONTROL!$C$28, 0.0003, 0)</f>
        <v>8.1275999999999993</v>
      </c>
      <c r="D19" s="4">
        <f>18.4133 * CHOOSE(CONTROL!$C$9, $C$13, 100%, $E$13) + CHOOSE(CONTROL!$C$28, 0, 0)</f>
        <v>18.4133</v>
      </c>
      <c r="E19" s="4">
        <f>50.34 * CHOOSE(CONTROL!$C$9, $C$13, 100%, $E$13) + CHOOSE(CONTROL!$C$28, 0, 0)</f>
        <v>50.34</v>
      </c>
    </row>
    <row r="20" spans="1:5" ht="15">
      <c r="A20" s="13">
        <v>42095</v>
      </c>
      <c r="B20" s="4">
        <f>8.1641 * CHOOSE(CONTROL!$C$9, $C$13, 100%, $E$13) + CHOOSE(CONTROL!$C$28, 0.0003, 0)</f>
        <v>8.1643999999999988</v>
      </c>
      <c r="C20" s="4">
        <f>7.8008 * CHOOSE(CONTROL!$C$9, $C$13, 100%, $E$13) + CHOOSE(CONTROL!$C$28, 0.0003, 0)</f>
        <v>7.8010999999999999</v>
      </c>
      <c r="D20" s="4">
        <f>14.2277 * CHOOSE(CONTROL!$C$9, $C$13, 100%, $E$13) + CHOOSE(CONTROL!$C$28, 0, 0)</f>
        <v>14.2277</v>
      </c>
      <c r="E20" s="4">
        <f>45.72 * CHOOSE(CONTROL!$C$9, $C$13, 100%, $E$13) + CHOOSE(CONTROL!$C$28, 0, 0)</f>
        <v>45.72</v>
      </c>
    </row>
    <row r="21" spans="1:5" ht="15">
      <c r="A21" s="13">
        <v>42125</v>
      </c>
      <c r="B21" s="4">
        <f>8.9531 * CHOOSE(CONTROL!$C$9, $C$13, 100%, $E$13) + CHOOSE(CONTROL!$C$28, 0.0136, 0)</f>
        <v>8.9666999999999994</v>
      </c>
      <c r="C21" s="4">
        <f>8.5898 * CHOOSE(CONTROL!$C$9, $C$13, 100%, $E$13) + CHOOSE(CONTROL!$C$28, 0.0136, 0)</f>
        <v>8.6034000000000006</v>
      </c>
      <c r="D21" s="4">
        <f>14.562 * CHOOSE(CONTROL!$C$9, $C$13, 100%, $E$13) + CHOOSE(CONTROL!$C$28, 0, 0)</f>
        <v>14.561999999999999</v>
      </c>
      <c r="E21" s="4">
        <f>52.14 * CHOOSE(CONTROL!$C$9, $C$13, 100%, $E$13) + CHOOSE(CONTROL!$C$28, 0, 0)</f>
        <v>52.14</v>
      </c>
    </row>
    <row r="22" spans="1:5" ht="15">
      <c r="A22" s="13">
        <v>42156</v>
      </c>
      <c r="B22" s="4">
        <f>9.0234 * CHOOSE(CONTROL!$C$9, $C$13, 100%, $E$13) + CHOOSE(CONTROL!$C$28, 0.0136, 0)</f>
        <v>9.0370000000000008</v>
      </c>
      <c r="C22" s="4">
        <f>8.6602 * CHOOSE(CONTROL!$C$9, $C$13, 100%, $E$13) + CHOOSE(CONTROL!$C$28, 0.0136, 0)</f>
        <v>8.6738</v>
      </c>
      <c r="D22" s="4">
        <f>14.6218 * CHOOSE(CONTROL!$C$9, $C$13, 100%, $E$13) + CHOOSE(CONTROL!$C$28, 0, 0)</f>
        <v>14.6218</v>
      </c>
      <c r="E22" s="4">
        <f>53.57 * CHOOSE(CONTROL!$C$9, $C$13, 100%, $E$13) + CHOOSE(CONTROL!$C$28, 0, 0)</f>
        <v>53.57</v>
      </c>
    </row>
    <row r="23" spans="1:5" ht="15">
      <c r="A23" s="13">
        <v>42186</v>
      </c>
      <c r="B23" s="4">
        <f>9.0859 * CHOOSE(CONTROL!$C$9, $C$13, 100%, $E$13) + CHOOSE(CONTROL!$C$28, 0.0136, 0)</f>
        <v>9.0995000000000008</v>
      </c>
      <c r="C23" s="4">
        <f>8.7227 * CHOOSE(CONTROL!$C$9, $C$13, 100%, $E$13) + CHOOSE(CONTROL!$C$28, 0.0136, 0)</f>
        <v>8.7363</v>
      </c>
      <c r="D23" s="4">
        <f>14.7263 * CHOOSE(CONTROL!$C$9, $C$13, 100%, $E$13) + CHOOSE(CONTROL!$C$28, 0, 0)</f>
        <v>14.7263</v>
      </c>
      <c r="E23" s="4">
        <f>54.71 * CHOOSE(CONTROL!$C$9, $C$13, 100%, $E$13) + CHOOSE(CONTROL!$C$28, 0, 0)</f>
        <v>54.71</v>
      </c>
    </row>
    <row r="24" spans="1:5" ht="15">
      <c r="A24" s="13">
        <v>42217</v>
      </c>
      <c r="B24" s="4">
        <f>9.1484 * CHOOSE(CONTROL!$C$9, $C$13, 100%, $E$13) + CHOOSE(CONTROL!$C$28, 0.0136, 0)</f>
        <v>9.1620000000000008</v>
      </c>
      <c r="C24" s="4">
        <f>8.7852 * CHOOSE(CONTROL!$C$9, $C$13, 100%, $E$13) + CHOOSE(CONTROL!$C$28, 0.0136, 0)</f>
        <v>8.7988</v>
      </c>
      <c r="D24" s="4">
        <f>14.8595 * CHOOSE(CONTROL!$C$9, $C$13, 100%, $E$13) + CHOOSE(CONTROL!$C$28, 0, 0)</f>
        <v>14.859500000000001</v>
      </c>
      <c r="E24" s="4">
        <f>55.49 * CHOOSE(CONTROL!$C$9, $C$13, 100%, $E$13) + CHOOSE(CONTROL!$C$28, 0, 0)</f>
        <v>55.49</v>
      </c>
    </row>
    <row r="25" spans="1:5" ht="15">
      <c r="A25" s="13">
        <v>42248</v>
      </c>
      <c r="B25" s="4">
        <f>9.2109 * CHOOSE(CONTROL!$C$9, $C$13, 100%, $E$13) + CHOOSE(CONTROL!$C$28, 0.0136, 0)</f>
        <v>9.2245000000000008</v>
      </c>
      <c r="C25" s="4">
        <f>8.8477 * CHOOSE(CONTROL!$C$9, $C$13, 100%, $E$13) + CHOOSE(CONTROL!$C$28, 0.0136, 0)</f>
        <v>8.8613</v>
      </c>
      <c r="D25" s="4">
        <f>15.0144 * CHOOSE(CONTROL!$C$9, $C$13, 100%, $E$13) + CHOOSE(CONTROL!$C$28, 0, 0)</f>
        <v>15.0144</v>
      </c>
      <c r="E25" s="4">
        <f>56.13 * CHOOSE(CONTROL!$C$9, $C$13, 100%, $E$13) + CHOOSE(CONTROL!$C$28, 0, 0)</f>
        <v>56.13</v>
      </c>
    </row>
    <row r="26" spans="1:5" ht="15">
      <c r="A26" s="13">
        <v>42278</v>
      </c>
      <c r="B26" s="4">
        <f>9.2734 * CHOOSE(CONTROL!$C$9, $C$13, 100%, $E$13) + CHOOSE(CONTROL!$C$28, 0.0003, 0)</f>
        <v>9.2736999999999998</v>
      </c>
      <c r="C26" s="4">
        <f>8.9102 * CHOOSE(CONTROL!$C$9, $C$13, 100%, $E$13) + CHOOSE(CONTROL!$C$28, 0.0003, 0)</f>
        <v>8.910499999999999</v>
      </c>
      <c r="D26" s="4">
        <f>15.1693 * CHOOSE(CONTROL!$C$9, $C$13, 100%, $E$13) + CHOOSE(CONTROL!$C$28, 0, 0)</f>
        <v>15.1693</v>
      </c>
      <c r="E26" s="4">
        <f>56.7 * CHOOSE(CONTROL!$C$9, $C$13, 100%, $E$13) + CHOOSE(CONTROL!$C$28, 0, 0)</f>
        <v>56.7</v>
      </c>
    </row>
    <row r="27" spans="1:5" ht="15">
      <c r="A27" s="13">
        <v>42309</v>
      </c>
      <c r="B27" s="4">
        <f>9.3359 * CHOOSE(CONTROL!$C$9, $C$13, 100%, $E$13) + CHOOSE(CONTROL!$C$28, 0.0003, 0)</f>
        <v>9.3361999999999998</v>
      </c>
      <c r="C27" s="4">
        <f>8.9727 * CHOOSE(CONTROL!$C$9, $C$13, 100%, $E$13) + CHOOSE(CONTROL!$C$28, 0.0003, 0)</f>
        <v>8.972999999999999</v>
      </c>
      <c r="D27" s="4">
        <f>15.3062 * CHOOSE(CONTROL!$C$9, $C$13, 100%, $E$13) + CHOOSE(CONTROL!$C$28, 0, 0)</f>
        <v>15.3062</v>
      </c>
      <c r="E27" s="4">
        <f>57.23 * CHOOSE(CONTROL!$C$9, $C$13, 100%, $E$13) + CHOOSE(CONTROL!$C$28, 0, 0)</f>
        <v>57.23</v>
      </c>
    </row>
    <row r="28" spans="1:5" ht="15">
      <c r="A28" s="13">
        <v>42339</v>
      </c>
      <c r="B28" s="4">
        <f>9.3984 * CHOOSE(CONTROL!$C$9, $C$13, 100%, $E$13) + CHOOSE(CONTROL!$C$28, 0.0003, 0)</f>
        <v>9.3986999999999998</v>
      </c>
      <c r="C28" s="4">
        <f>9.0352 * CHOOSE(CONTROL!$C$9, $C$13, 100%, $E$13) + CHOOSE(CONTROL!$C$28, 0.0003, 0)</f>
        <v>9.035499999999999</v>
      </c>
      <c r="D28" s="4">
        <f>15.4344 * CHOOSE(CONTROL!$C$9, $C$13, 100%, $E$13) + CHOOSE(CONTROL!$C$28, 0, 0)</f>
        <v>15.4344</v>
      </c>
      <c r="E28" s="4">
        <f>57.75 * CHOOSE(CONTROL!$C$9, $C$13, 100%, $E$13) + CHOOSE(CONTROL!$C$28, 0, 0)</f>
        <v>57.75</v>
      </c>
    </row>
    <row r="29" spans="1:5" ht="15">
      <c r="A29" s="13">
        <v>42370</v>
      </c>
      <c r="B29" s="4">
        <f>9.4766 * CHOOSE(CONTROL!$C$9, $C$13, 100%, $E$13) + CHOOSE(CONTROL!$C$28, 0.0003, 0)</f>
        <v>9.4768999999999988</v>
      </c>
      <c r="C29" s="4">
        <f>9.1133 * CHOOSE(CONTROL!$C$9, $C$13, 100%, $E$13) + CHOOSE(CONTROL!$C$28, 0.0003, 0)</f>
        <v>9.1135999999999999</v>
      </c>
      <c r="D29" s="4">
        <f>15.5569 * CHOOSE(CONTROL!$C$9, $C$13, 100%, $E$13) + CHOOSE(CONTROL!$C$28, 0, 0)</f>
        <v>15.556900000000001</v>
      </c>
      <c r="E29" s="4">
        <f>58.19 * CHOOSE(CONTROL!$C$9, $C$13, 100%, $E$13) + CHOOSE(CONTROL!$C$28, 0, 0)</f>
        <v>58.19</v>
      </c>
    </row>
    <row r="30" spans="1:5" ht="15">
      <c r="A30" s="13">
        <v>42401</v>
      </c>
      <c r="B30" s="4">
        <f>9.5469 * CHOOSE(CONTROL!$C$9, $C$13, 100%, $E$13) + CHOOSE(CONTROL!$C$28, 0.0003, 0)</f>
        <v>9.5472000000000001</v>
      </c>
      <c r="C30" s="4">
        <f>9.1836 * CHOOSE(CONTROL!$C$9, $C$13, 100%, $E$13) + CHOOSE(CONTROL!$C$28, 0.0003, 0)</f>
        <v>9.1838999999999995</v>
      </c>
      <c r="D30" s="4">
        <f>15.6088 * CHOOSE(CONTROL!$C$9, $C$13, 100%, $E$13) + CHOOSE(CONTROL!$C$28, 0, 0)</f>
        <v>15.6088</v>
      </c>
      <c r="E30" s="4">
        <f>58.6 * CHOOSE(CONTROL!$C$9, $C$13, 100%, $E$13) + CHOOSE(CONTROL!$C$28, 0, 0)</f>
        <v>58.6</v>
      </c>
    </row>
    <row r="31" spans="1:5" ht="15">
      <c r="A31" s="13">
        <v>42430</v>
      </c>
      <c r="B31" s="4">
        <f>9.6172 * CHOOSE(CONTROL!$C$9, $C$13, 100%, $E$13) + CHOOSE(CONTROL!$C$28, 0.0003, 0)</f>
        <v>9.6174999999999997</v>
      </c>
      <c r="C31" s="4">
        <f>9.2539 * CHOOSE(CONTROL!$C$9, $C$13, 100%, $E$13) + CHOOSE(CONTROL!$C$28, 0.0003, 0)</f>
        <v>9.2541999999999991</v>
      </c>
      <c r="D31" s="4">
        <f>15.6073 * CHOOSE(CONTROL!$C$9, $C$13, 100%, $E$13) + CHOOSE(CONTROL!$C$28, 0, 0)</f>
        <v>15.6073</v>
      </c>
      <c r="E31" s="4">
        <f>58.98 * CHOOSE(CONTROL!$C$9, $C$13, 100%, $E$13) + CHOOSE(CONTROL!$C$28, 0, 0)</f>
        <v>58.98</v>
      </c>
    </row>
    <row r="32" spans="1:5" ht="15">
      <c r="A32" s="13">
        <v>42461</v>
      </c>
      <c r="B32" s="4">
        <f>9.6875 * CHOOSE(CONTROL!$C$9, $C$13, 100%, $E$13) + CHOOSE(CONTROL!$C$28, 0.0003, 0)</f>
        <v>9.6877999999999993</v>
      </c>
      <c r="C32" s="4">
        <f>9.3242 * CHOOSE(CONTROL!$C$9, $C$13, 100%, $E$13) + CHOOSE(CONTROL!$C$28, 0.0003, 0)</f>
        <v>9.3244999999999987</v>
      </c>
      <c r="D32" s="4">
        <f>15.5396 * CHOOSE(CONTROL!$C$9, $C$13, 100%, $E$13) + CHOOSE(CONTROL!$C$28, 0, 0)</f>
        <v>15.5396</v>
      </c>
      <c r="E32" s="4">
        <f>59.34 * CHOOSE(CONTROL!$C$9, $C$13, 100%, $E$13) + CHOOSE(CONTROL!$C$28, 0, 0)</f>
        <v>59.34</v>
      </c>
    </row>
    <row r="33" spans="1:5" ht="15">
      <c r="A33" s="13">
        <v>42491</v>
      </c>
      <c r="B33" s="4">
        <f>9.7578 * CHOOSE(CONTROL!$C$9, $C$13, 100%, $E$13) + CHOOSE(CONTROL!$C$28, 0.0136, 0)</f>
        <v>9.7713999999999999</v>
      </c>
      <c r="C33" s="4">
        <f>9.3945 * CHOOSE(CONTROL!$C$9, $C$13, 100%, $E$13) + CHOOSE(CONTROL!$C$28, 0.0136, 0)</f>
        <v>9.408100000000001</v>
      </c>
      <c r="D33" s="4">
        <f>15.5511 * CHOOSE(CONTROL!$C$9, $C$13, 100%, $E$13) + CHOOSE(CONTROL!$C$28, 0, 0)</f>
        <v>15.5511</v>
      </c>
      <c r="E33" s="4">
        <f>59.65 * CHOOSE(CONTROL!$C$9, $C$13, 100%, $E$13) + CHOOSE(CONTROL!$C$28, 0, 0)</f>
        <v>59.65</v>
      </c>
    </row>
    <row r="34" spans="1:5" ht="15">
      <c r="A34" s="13">
        <v>42522</v>
      </c>
      <c r="B34" s="4">
        <f>9.8281 * CHOOSE(CONTROL!$C$9, $C$13, 100%, $E$13) + CHOOSE(CONTROL!$C$28, 0.0136, 0)</f>
        <v>9.8416999999999994</v>
      </c>
      <c r="C34" s="4">
        <f>9.4648 * CHOOSE(CONTROL!$C$9, $C$13, 100%, $E$13) + CHOOSE(CONTROL!$C$28, 0.0136, 0)</f>
        <v>9.4784000000000006</v>
      </c>
      <c r="D34" s="4">
        <f>15.5944 * CHOOSE(CONTROL!$C$9, $C$13, 100%, $E$13) + CHOOSE(CONTROL!$C$28, 0, 0)</f>
        <v>15.5944</v>
      </c>
      <c r="E34" s="4">
        <f>59.94 * CHOOSE(CONTROL!$C$9, $C$13, 100%, $E$13) + CHOOSE(CONTROL!$C$28, 0, 0)</f>
        <v>59.94</v>
      </c>
    </row>
    <row r="35" spans="1:5" ht="15">
      <c r="A35" s="13">
        <v>42552</v>
      </c>
      <c r="B35" s="4">
        <f>9.8984 * CHOOSE(CONTROL!$C$9, $C$13, 100%, $E$13) + CHOOSE(CONTROL!$C$28, 0.0136, 0)</f>
        <v>9.9120000000000008</v>
      </c>
      <c r="C35" s="4">
        <f>9.5352 * CHOOSE(CONTROL!$C$9, $C$13, 100%, $E$13) + CHOOSE(CONTROL!$C$28, 0.0136, 0)</f>
        <v>9.5488</v>
      </c>
      <c r="D35" s="4">
        <f>15.6736 * CHOOSE(CONTROL!$C$9, $C$13, 100%, $E$13) + CHOOSE(CONTROL!$C$28, 0, 0)</f>
        <v>15.6736</v>
      </c>
      <c r="E35" s="4">
        <f>60.17 * CHOOSE(CONTROL!$C$9, $C$13, 100%, $E$13) + CHOOSE(CONTROL!$C$28, 0, 0)</f>
        <v>60.17</v>
      </c>
    </row>
    <row r="36" spans="1:5" ht="15">
      <c r="A36" s="13">
        <v>42583</v>
      </c>
      <c r="B36" s="4">
        <f>9.9688 * CHOOSE(CONTROL!$C$9, $C$13, 100%, $E$13) + CHOOSE(CONTROL!$C$28, 0.0136, 0)</f>
        <v>9.9824000000000002</v>
      </c>
      <c r="C36" s="4">
        <f>9.6055 * CHOOSE(CONTROL!$C$9, $C$13, 100%, $E$13) + CHOOSE(CONTROL!$C$28, 0.0136, 0)</f>
        <v>9.6190999999999995</v>
      </c>
      <c r="D36" s="4">
        <f>15.7845 * CHOOSE(CONTROL!$C$9, $C$13, 100%, $E$13) + CHOOSE(CONTROL!$C$28, 0, 0)</f>
        <v>15.7845</v>
      </c>
      <c r="E36" s="4">
        <f>60.43 * CHOOSE(CONTROL!$C$9, $C$13, 100%, $E$13) + CHOOSE(CONTROL!$C$28, 0, 0)</f>
        <v>60.43</v>
      </c>
    </row>
    <row r="37" spans="1:5" ht="15">
      <c r="A37" s="13">
        <v>42614</v>
      </c>
      <c r="B37" s="4">
        <f>10.0391 * CHOOSE(CONTROL!$C$9, $C$13, 100%, $E$13) + CHOOSE(CONTROL!$C$28, 0.0136, 0)</f>
        <v>10.0527</v>
      </c>
      <c r="C37" s="4">
        <f>9.6758 * CHOOSE(CONTROL!$C$9, $C$13, 100%, $E$13) + CHOOSE(CONTROL!$C$28, 0.0136, 0)</f>
        <v>9.6894000000000009</v>
      </c>
      <c r="D37" s="4">
        <f>15.9034 * CHOOSE(CONTROL!$C$9, $C$13, 100%, $E$13) + CHOOSE(CONTROL!$C$28, 0, 0)</f>
        <v>15.9034</v>
      </c>
      <c r="E37" s="4">
        <f>60.7 * CHOOSE(CONTROL!$C$9, $C$13, 100%, $E$13) + CHOOSE(CONTROL!$C$28, 0, 0)</f>
        <v>60.7</v>
      </c>
    </row>
    <row r="38" spans="1:5" ht="15">
      <c r="A38" s="13">
        <v>42644</v>
      </c>
      <c r="B38" s="4">
        <f>10.1016 * CHOOSE(CONTROL!$C$9, $C$13, 100%, $E$13) + CHOOSE(CONTROL!$C$28, 0.0003, 0)</f>
        <v>10.101899999999999</v>
      </c>
      <c r="C38" s="4">
        <f>9.7383 * CHOOSE(CONTROL!$C$9, $C$13, 100%, $E$13) + CHOOSE(CONTROL!$C$28, 0.0003, 0)</f>
        <v>9.7385999999999999</v>
      </c>
      <c r="D38" s="4">
        <f>16.0136 * CHOOSE(CONTROL!$C$9, $C$13, 100%, $E$13) + CHOOSE(CONTROL!$C$28, 0, 0)</f>
        <v>16.0136</v>
      </c>
      <c r="E38" s="4">
        <f>60.98 * CHOOSE(CONTROL!$C$9, $C$13, 100%, $E$13) + CHOOSE(CONTROL!$C$28, 0, 0)</f>
        <v>60.98</v>
      </c>
    </row>
    <row r="39" spans="1:5" ht="15">
      <c r="A39" s="13">
        <v>42675</v>
      </c>
      <c r="B39" s="4">
        <f>10.1641 * CHOOSE(CONTROL!$C$9, $C$13, 100%, $E$13) + CHOOSE(CONTROL!$C$28, 0.0003, 0)</f>
        <v>10.164399999999999</v>
      </c>
      <c r="C39" s="4">
        <f>9.8008 * CHOOSE(CONTROL!$C$9, $C$13, 100%, $E$13) + CHOOSE(CONTROL!$C$28, 0.0003, 0)</f>
        <v>9.8010999999999999</v>
      </c>
      <c r="D39" s="4">
        <f>16.1044 * CHOOSE(CONTROL!$C$9, $C$13, 100%, $E$13) + CHOOSE(CONTROL!$C$28, 0, 0)</f>
        <v>16.104399999999998</v>
      </c>
      <c r="E39" s="4">
        <f>61.27 * CHOOSE(CONTROL!$C$9, $C$13, 100%, $E$13) + CHOOSE(CONTROL!$C$28, 0, 0)</f>
        <v>61.27</v>
      </c>
    </row>
    <row r="40" spans="1:5" ht="15">
      <c r="A40" s="13">
        <v>42705</v>
      </c>
      <c r="B40" s="4">
        <f>10.2266 * CHOOSE(CONTROL!$C$9, $C$13, 100%, $E$13) + CHOOSE(CONTROL!$C$28, 0.0003, 0)</f>
        <v>10.226899999999999</v>
      </c>
      <c r="C40" s="4">
        <f>9.8633 * CHOOSE(CONTROL!$C$9, $C$13, 100%, $E$13) + CHOOSE(CONTROL!$C$28, 0.0003, 0)</f>
        <v>9.8635999999999999</v>
      </c>
      <c r="D40" s="4">
        <f>16.1937 * CHOOSE(CONTROL!$C$9, $C$13, 100%, $E$13) + CHOOSE(CONTROL!$C$28, 0, 0)</f>
        <v>16.1937</v>
      </c>
      <c r="E40" s="4">
        <f>61.56 * CHOOSE(CONTROL!$C$9, $C$13, 100%, $E$13) + CHOOSE(CONTROL!$C$28, 0, 0)</f>
        <v>61.56</v>
      </c>
    </row>
    <row r="41" spans="1:5" ht="15">
      <c r="A41" s="13">
        <v>42736</v>
      </c>
      <c r="B41" s="4">
        <f>10.025 * CHOOSE(CONTROL!$C$9, $C$13, 100%, $E$13) + CHOOSE(CONTROL!$C$28, 0.0003, 0)</f>
        <v>10.0253</v>
      </c>
      <c r="C41" s="4">
        <f>9.6617 * CHOOSE(CONTROL!$C$9, $C$13, 100%, $E$13) + CHOOSE(CONTROL!$C$28, 0.0003, 0)</f>
        <v>9.661999999999999</v>
      </c>
      <c r="D41" s="4">
        <f>16.273 * CHOOSE(CONTROL!$C$9, $C$13, 100%, $E$13) + CHOOSE(CONTROL!$C$28, 0, 0)</f>
        <v>16.273</v>
      </c>
      <c r="E41" s="4">
        <f>61.7 * CHOOSE(CONTROL!$C$9, $C$13, 100%, $E$13) + CHOOSE(CONTROL!$C$28, 0, 0)</f>
        <v>61.7</v>
      </c>
    </row>
    <row r="42" spans="1:5" ht="15">
      <c r="A42" s="13">
        <v>42767</v>
      </c>
      <c r="B42" s="4">
        <f>10.0547 * CHOOSE(CONTROL!$C$9, $C$13, 100%, $E$13) + CHOOSE(CONTROL!$C$28, 0.0003, 0)</f>
        <v>10.055</v>
      </c>
      <c r="C42" s="4">
        <f>9.6914 * CHOOSE(CONTROL!$C$9, $C$13, 100%, $E$13) + CHOOSE(CONTROL!$C$28, 0.0003, 0)</f>
        <v>9.6916999999999991</v>
      </c>
      <c r="D42" s="4">
        <f>16.3162 * CHOOSE(CONTROL!$C$9, $C$13, 100%, $E$13) + CHOOSE(CONTROL!$C$28, 0, 0)</f>
        <v>16.316199999999998</v>
      </c>
      <c r="E42" s="4">
        <f>61.85 * CHOOSE(CONTROL!$C$9, $C$13, 100%, $E$13) + CHOOSE(CONTROL!$C$28, 0, 0)</f>
        <v>61.85</v>
      </c>
    </row>
    <row r="43" spans="1:5" ht="15">
      <c r="A43" s="13">
        <v>42795</v>
      </c>
      <c r="B43" s="4">
        <f>10.0906 * CHOOSE(CONTROL!$C$9, $C$13, 100%, $E$13) + CHOOSE(CONTROL!$C$28, 0.0003, 0)</f>
        <v>10.0909</v>
      </c>
      <c r="C43" s="4">
        <f>9.7273 * CHOOSE(CONTROL!$C$9, $C$13, 100%, $E$13) + CHOOSE(CONTROL!$C$28, 0.0003, 0)</f>
        <v>9.7275999999999989</v>
      </c>
      <c r="D43" s="4">
        <f>16.3162 * CHOOSE(CONTROL!$C$9, $C$13, 100%, $E$13) + CHOOSE(CONTROL!$C$28, 0, 0)</f>
        <v>16.316199999999998</v>
      </c>
      <c r="E43" s="4">
        <f>62.01 * CHOOSE(CONTROL!$C$9, $C$13, 100%, $E$13) + CHOOSE(CONTROL!$C$28, 0, 0)</f>
        <v>62.01</v>
      </c>
    </row>
    <row r="44" spans="1:5" ht="15">
      <c r="A44" s="13">
        <v>42826</v>
      </c>
      <c r="B44" s="4">
        <f>10.1312 * CHOOSE(CONTROL!$C$9, $C$13, 100%, $E$13) + CHOOSE(CONTROL!$C$28, 0.0003, 0)</f>
        <v>10.131499999999999</v>
      </c>
      <c r="C44" s="4">
        <f>9.768 * CHOOSE(CONTROL!$C$9, $C$13, 100%, $E$13) + CHOOSE(CONTROL!$C$28, 0.0003, 0)</f>
        <v>9.7683</v>
      </c>
      <c r="D44" s="4">
        <f>16.2514 * CHOOSE(CONTROL!$C$9, $C$13, 100%, $E$13) + CHOOSE(CONTROL!$C$28, 0, 0)</f>
        <v>16.2514</v>
      </c>
      <c r="E44" s="4">
        <f>62.18 * CHOOSE(CONTROL!$C$9, $C$13, 100%, $E$13) + CHOOSE(CONTROL!$C$28, 0, 0)</f>
        <v>62.18</v>
      </c>
    </row>
    <row r="45" spans="1:5" ht="15">
      <c r="A45" s="13">
        <v>42856</v>
      </c>
      <c r="B45" s="4">
        <f>10.1813 * CHOOSE(CONTROL!$C$9, $C$13, 100%, $E$13) + CHOOSE(CONTROL!$C$28, 0.0136, 0)</f>
        <v>10.194900000000001</v>
      </c>
      <c r="C45" s="4">
        <f>9.818 * CHOOSE(CONTROL!$C$9, $C$13, 100%, $E$13) + CHOOSE(CONTROL!$C$28, 0.0136, 0)</f>
        <v>9.8315999999999999</v>
      </c>
      <c r="D45" s="4">
        <f>16.2478 * CHOOSE(CONTROL!$C$9, $C$13, 100%, $E$13) + CHOOSE(CONTROL!$C$28, 0, 0)</f>
        <v>16.247800000000002</v>
      </c>
      <c r="E45" s="4">
        <f>62.36 * CHOOSE(CONTROL!$C$9, $C$13, 100%, $E$13) + CHOOSE(CONTROL!$C$28, 0, 0)</f>
        <v>62.36</v>
      </c>
    </row>
    <row r="46" spans="1:5" ht="15">
      <c r="A46" s="13">
        <v>42887</v>
      </c>
      <c r="B46" s="4">
        <f>10.2391 * CHOOSE(CONTROL!$C$9, $C$13, 100%, $E$13) + CHOOSE(CONTROL!$C$28, 0.0136, 0)</f>
        <v>10.252700000000001</v>
      </c>
      <c r="C46" s="4">
        <f>9.8758 * CHOOSE(CONTROL!$C$9, $C$13, 100%, $E$13) + CHOOSE(CONTROL!$C$28, 0.0136, 0)</f>
        <v>9.8894000000000002</v>
      </c>
      <c r="D46" s="4">
        <f>16.2514 * CHOOSE(CONTROL!$C$9, $C$13, 100%, $E$13) + CHOOSE(CONTROL!$C$28, 0, 0)</f>
        <v>16.2514</v>
      </c>
      <c r="E46" s="4">
        <f>62.57 * CHOOSE(CONTROL!$C$9, $C$13, 100%, $E$13) + CHOOSE(CONTROL!$C$28, 0, 0)</f>
        <v>62.57</v>
      </c>
    </row>
    <row r="47" spans="1:5" ht="15">
      <c r="A47" s="13">
        <v>42917</v>
      </c>
      <c r="B47" s="4">
        <f>10.2875 * CHOOSE(CONTROL!$C$9, $C$13, 100%, $E$13) + CHOOSE(CONTROL!$C$28, 0.0136, 0)</f>
        <v>10.3011</v>
      </c>
      <c r="C47" s="4">
        <f>9.9242 * CHOOSE(CONTROL!$C$9, $C$13, 100%, $E$13) + CHOOSE(CONTROL!$C$28, 0.0136, 0)</f>
        <v>9.9378000000000011</v>
      </c>
      <c r="D47" s="4">
        <f>16.2982 * CHOOSE(CONTROL!$C$9, $C$13, 100%, $E$13) + CHOOSE(CONTROL!$C$28, 0, 0)</f>
        <v>16.298200000000001</v>
      </c>
      <c r="E47" s="4">
        <f>62.66 * CHOOSE(CONTROL!$C$9, $C$13, 100%, $E$13) + CHOOSE(CONTROL!$C$28, 0, 0)</f>
        <v>62.66</v>
      </c>
    </row>
    <row r="48" spans="1:5" ht="15">
      <c r="A48" s="13">
        <v>42948</v>
      </c>
      <c r="B48" s="4">
        <f>10.3391 * CHOOSE(CONTROL!$C$9, $C$13, 100%, $E$13) + CHOOSE(CONTROL!$C$28, 0.0136, 0)</f>
        <v>10.3527</v>
      </c>
      <c r="C48" s="4">
        <f>9.9758 * CHOOSE(CONTROL!$C$9, $C$13, 100%, $E$13) + CHOOSE(CONTROL!$C$28, 0.0136, 0)</f>
        <v>9.9893999999999998</v>
      </c>
      <c r="D48" s="4">
        <f>16.3594 * CHOOSE(CONTROL!$C$9, $C$13, 100%, $E$13) + CHOOSE(CONTROL!$C$28, 0, 0)</f>
        <v>16.359400000000001</v>
      </c>
      <c r="E48" s="4">
        <f>62.8 * CHOOSE(CONTROL!$C$9, $C$13, 100%, $E$13) + CHOOSE(CONTROL!$C$28, 0, 0)</f>
        <v>62.8</v>
      </c>
    </row>
    <row r="49" spans="1:5" ht="15">
      <c r="A49" s="13">
        <v>42979</v>
      </c>
      <c r="B49" s="4">
        <f>10.3937 * CHOOSE(CONTROL!$C$9, $C$13, 100%, $E$13) + CHOOSE(CONTROL!$C$28, 0.0136, 0)</f>
        <v>10.407300000000001</v>
      </c>
      <c r="C49" s="4">
        <f>10.0305 * CHOOSE(CONTROL!$C$9, $C$13, 100%, $E$13) + CHOOSE(CONTROL!$C$28, 0.0136, 0)</f>
        <v>10.0441</v>
      </c>
      <c r="D49" s="4">
        <f>16.4207 * CHOOSE(CONTROL!$C$9, $C$13, 100%, $E$13) + CHOOSE(CONTROL!$C$28, 0, 0)</f>
        <v>16.4207</v>
      </c>
      <c r="E49" s="4">
        <f>62.97 * CHOOSE(CONTROL!$C$9, $C$13, 100%, $E$13) + CHOOSE(CONTROL!$C$28, 0, 0)</f>
        <v>62.97</v>
      </c>
    </row>
    <row r="50" spans="1:5" ht="15">
      <c r="A50" s="13">
        <v>43009</v>
      </c>
      <c r="B50" s="4">
        <f>10.4406 * CHOOSE(CONTROL!$C$9, $C$13, 100%, $E$13) + CHOOSE(CONTROL!$C$28, 0.0003, 0)</f>
        <v>10.440899999999999</v>
      </c>
      <c r="C50" s="4">
        <f>10.0773 * CHOOSE(CONTROL!$C$9, $C$13, 100%, $E$13) + CHOOSE(CONTROL!$C$28, 0.0003, 0)</f>
        <v>10.077599999999999</v>
      </c>
      <c r="D50" s="4">
        <f>16.4783 * CHOOSE(CONTROL!$C$9, $C$13, 100%, $E$13) + CHOOSE(CONTROL!$C$28, 0, 0)</f>
        <v>16.478300000000001</v>
      </c>
      <c r="E50" s="4">
        <f>63.15 * CHOOSE(CONTROL!$C$9, $C$13, 100%, $E$13) + CHOOSE(CONTROL!$C$28, 0, 0)</f>
        <v>63.15</v>
      </c>
    </row>
    <row r="51" spans="1:5" ht="15">
      <c r="A51" s="13">
        <v>43040</v>
      </c>
      <c r="B51" s="4">
        <f>10.4859 * CHOOSE(CONTROL!$C$9, $C$13, 100%, $E$13) + CHOOSE(CONTROL!$C$28, 0.0003, 0)</f>
        <v>10.4862</v>
      </c>
      <c r="C51" s="4">
        <f>10.1227 * CHOOSE(CONTROL!$C$9, $C$13, 100%, $E$13) + CHOOSE(CONTROL!$C$28, 0.0003, 0)</f>
        <v>10.122999999999999</v>
      </c>
      <c r="D51" s="4">
        <f>16.5215 * CHOOSE(CONTROL!$C$9, $C$13, 100%, $E$13) + CHOOSE(CONTROL!$C$28, 0, 0)</f>
        <v>16.5215</v>
      </c>
      <c r="E51" s="4">
        <f>63.33 * CHOOSE(CONTROL!$C$9, $C$13, 100%, $E$13) + CHOOSE(CONTROL!$C$28, 0, 0)</f>
        <v>63.33</v>
      </c>
    </row>
    <row r="52" spans="1:5" ht="15">
      <c r="A52" s="13">
        <v>43070</v>
      </c>
      <c r="B52" s="4">
        <f>10.5328 * CHOOSE(CONTROL!$C$9, $C$13, 100%, $E$13) + CHOOSE(CONTROL!$C$28, 0.0003, 0)</f>
        <v>10.533099999999999</v>
      </c>
      <c r="C52" s="4">
        <f>10.1695 * CHOOSE(CONTROL!$C$9, $C$13, 100%, $E$13) + CHOOSE(CONTROL!$C$28, 0.0003, 0)</f>
        <v>10.169799999999999</v>
      </c>
      <c r="D52" s="4">
        <f>16.5611 * CHOOSE(CONTROL!$C$9, $C$13, 100%, $E$13) + CHOOSE(CONTROL!$C$28, 0, 0)</f>
        <v>16.5611</v>
      </c>
      <c r="E52" s="4">
        <f>63.52 * CHOOSE(CONTROL!$C$9, $C$13, 100%, $E$13) + CHOOSE(CONTROL!$C$28, 0, 0)</f>
        <v>63.52</v>
      </c>
    </row>
    <row r="53" spans="1:5" ht="15">
      <c r="A53" s="13">
        <v>43101</v>
      </c>
      <c r="B53" s="4">
        <f>10.5838 * CHOOSE(CONTROL!$C$9, $C$13, 100%, $E$13) + CHOOSE(CONTROL!$C$28, 0.0003, 0)</f>
        <v>10.584099999999999</v>
      </c>
      <c r="C53" s="4">
        <f>10.2205 * CHOOSE(CONTROL!$C$9, $C$13, 100%, $E$13) + CHOOSE(CONTROL!$C$28, 0.0003, 0)</f>
        <v>10.220799999999999</v>
      </c>
      <c r="D53" s="4">
        <f>16.5387 * CHOOSE(CONTROL!$C$9, $C$13, 100%, $E$13) + CHOOSE(CONTROL!$C$28, 0, 0)</f>
        <v>16.538699999999999</v>
      </c>
      <c r="E53" s="4">
        <f>65.5595705729553 * CHOOSE(CONTROL!$C$9, $C$13, 100%, $E$13) + CHOOSE(CONTROL!$C$28, 0, 0)</f>
        <v>65.559570572955295</v>
      </c>
    </row>
    <row r="54" spans="1:5" ht="15">
      <c r="A54" s="13">
        <v>43132</v>
      </c>
      <c r="B54" s="4">
        <f>10.8167 * CHOOSE(CONTROL!$C$9, $C$13, 100%, $E$13) + CHOOSE(CONTROL!$C$28, 0.0003, 0)</f>
        <v>10.817</v>
      </c>
      <c r="C54" s="4">
        <f>10.4535 * CHOOSE(CONTROL!$C$9, $C$13, 100%, $E$13) + CHOOSE(CONTROL!$C$28, 0.0003, 0)</f>
        <v>10.453799999999999</v>
      </c>
      <c r="D54" s="4">
        <f>17.057 * CHOOSE(CONTROL!$C$9, $C$13, 100%, $E$13) + CHOOSE(CONTROL!$C$28, 0, 0)</f>
        <v>17.056999999999999</v>
      </c>
      <c r="E54" s="4">
        <f>67.1162131426878 * CHOOSE(CONTROL!$C$9, $C$13, 100%, $E$13) + CHOOSE(CONTROL!$C$28, 0, 0)</f>
        <v>67.116213142687798</v>
      </c>
    </row>
    <row r="55" spans="1:5" ht="15">
      <c r="A55" s="13">
        <v>43160</v>
      </c>
      <c r="B55" s="4">
        <f>11.4285 * CHOOSE(CONTROL!$C$9, $C$13, 100%, $E$13) + CHOOSE(CONTROL!$C$28, 0.0003, 0)</f>
        <v>11.428799999999999</v>
      </c>
      <c r="C55" s="4">
        <f>11.0652 * CHOOSE(CONTROL!$C$9, $C$13, 100%, $E$13) + CHOOSE(CONTROL!$C$28, 0.0003, 0)</f>
        <v>11.0655</v>
      </c>
      <c r="D55" s="4">
        <f>17.8685 * CHOOSE(CONTROL!$C$9, $C$13, 100%, $E$13) + CHOOSE(CONTROL!$C$28, 0, 0)</f>
        <v>17.868500000000001</v>
      </c>
      <c r="E55" s="4">
        <f>71.2040392558157 * CHOOSE(CONTROL!$C$9, $C$13, 100%, $E$13) + CHOOSE(CONTROL!$C$28, 0, 0)</f>
        <v>71.204039255815701</v>
      </c>
    </row>
    <row r="56" spans="1:5" ht="15">
      <c r="A56" s="13">
        <v>43191</v>
      </c>
      <c r="B56" s="4">
        <f>11.8631 * CHOOSE(CONTROL!$C$9, $C$13, 100%, $E$13) + CHOOSE(CONTROL!$C$28, 0.0003, 0)</f>
        <v>11.863399999999999</v>
      </c>
      <c r="C56" s="4">
        <f>11.4998 * CHOOSE(CONTROL!$C$9, $C$13, 100%, $E$13) + CHOOSE(CONTROL!$C$28, 0.0003, 0)</f>
        <v>11.5001</v>
      </c>
      <c r="D56" s="4">
        <f>18.3359 * CHOOSE(CONTROL!$C$9, $C$13, 100%, $E$13) + CHOOSE(CONTROL!$C$28, 0, 0)</f>
        <v>18.335899999999999</v>
      </c>
      <c r="E56" s="4">
        <f>74.1084941866388 * CHOOSE(CONTROL!$C$9, $C$13, 100%, $E$13) + CHOOSE(CONTROL!$C$28, 0, 0)</f>
        <v>74.108494186638794</v>
      </c>
    </row>
    <row r="57" spans="1:5" ht="15">
      <c r="A57" s="13">
        <v>43221</v>
      </c>
      <c r="B57" s="4">
        <f>12.1286 * CHOOSE(CONTROL!$C$9, $C$13, 100%, $E$13) + CHOOSE(CONTROL!$C$28, 0.0136, 0)</f>
        <v>12.142200000000001</v>
      </c>
      <c r="C57" s="4">
        <f>11.7653 * CHOOSE(CONTROL!$C$9, $C$13, 100%, $E$13) + CHOOSE(CONTROL!$C$28, 0.0136, 0)</f>
        <v>11.7789</v>
      </c>
      <c r="D57" s="4">
        <f>18.1512 * CHOOSE(CONTROL!$C$9, $C$13, 100%, $E$13) + CHOOSE(CONTROL!$C$28, 0, 0)</f>
        <v>18.151199999999999</v>
      </c>
      <c r="E57" s="4">
        <f>75.8830465393021 * CHOOSE(CONTROL!$C$9, $C$13, 100%, $E$13) + CHOOSE(CONTROL!$C$28, 0, 0)</f>
        <v>75.8830465393021</v>
      </c>
    </row>
    <row r="58" spans="1:5" ht="15">
      <c r="A58" s="13">
        <v>43252</v>
      </c>
      <c r="B58" s="4">
        <f>12.1646 * CHOOSE(CONTROL!$C$9, $C$13, 100%, $E$13) + CHOOSE(CONTROL!$C$28, 0.0136, 0)</f>
        <v>12.1782</v>
      </c>
      <c r="C58" s="4">
        <f>11.8013 * CHOOSE(CONTROL!$C$9, $C$13, 100%, $E$13) + CHOOSE(CONTROL!$C$28, 0.0136, 0)</f>
        <v>11.8149</v>
      </c>
      <c r="D58" s="4">
        <f>18.3016 * CHOOSE(CONTROL!$C$9, $C$13, 100%, $E$13) + CHOOSE(CONTROL!$C$28, 0, 0)</f>
        <v>18.301600000000001</v>
      </c>
      <c r="E58" s="4">
        <f>76.123150837161 * CHOOSE(CONTROL!$C$9, $C$13, 100%, $E$13) + CHOOSE(CONTROL!$C$28, 0, 0)</f>
        <v>76.123150837161006</v>
      </c>
    </row>
    <row r="59" spans="1:5" ht="15">
      <c r="A59" s="13">
        <v>43282</v>
      </c>
      <c r="B59" s="4">
        <f>12.1609 * CHOOSE(CONTROL!$C$9, $C$13, 100%, $E$13) + CHOOSE(CONTROL!$C$28, 0.0136, 0)</f>
        <v>12.1745</v>
      </c>
      <c r="C59" s="4">
        <f>11.7976 * CHOOSE(CONTROL!$C$9, $C$13, 100%, $E$13) + CHOOSE(CONTROL!$C$28, 0.0136, 0)</f>
        <v>11.811199999999999</v>
      </c>
      <c r="D59" s="4">
        <f>18.5731 * CHOOSE(CONTROL!$C$9, $C$13, 100%, $E$13) + CHOOSE(CONTROL!$C$28, 0, 0)</f>
        <v>18.5731</v>
      </c>
      <c r="E59" s="4">
        <f>76.0989386390576 * CHOOSE(CONTROL!$C$9, $C$13, 100%, $E$13) + CHOOSE(CONTROL!$C$28, 0, 0)</f>
        <v>76.098938639057593</v>
      </c>
    </row>
    <row r="60" spans="1:5" ht="15">
      <c r="A60" s="13">
        <v>43313</v>
      </c>
      <c r="B60" s="4">
        <f>12.4336 * CHOOSE(CONTROL!$C$9, $C$13, 100%, $E$13) + CHOOSE(CONTROL!$C$28, 0.0136, 0)</f>
        <v>12.4472</v>
      </c>
      <c r="C60" s="4">
        <f>12.0703 * CHOOSE(CONTROL!$C$9, $C$13, 100%, $E$13) + CHOOSE(CONTROL!$C$28, 0.0136, 0)</f>
        <v>12.0839</v>
      </c>
      <c r="D60" s="4">
        <f>18.3938 * CHOOSE(CONTROL!$C$9, $C$13, 100%, $E$13) + CHOOSE(CONTROL!$C$28, 0, 0)</f>
        <v>18.393799999999999</v>
      </c>
      <c r="E60" s="4">
        <f>77.9209065463402 * CHOOSE(CONTROL!$C$9, $C$13, 100%, $E$13) + CHOOSE(CONTROL!$C$28, 0, 0)</f>
        <v>77.920906546340206</v>
      </c>
    </row>
    <row r="61" spans="1:5" ht="15">
      <c r="A61" s="13">
        <v>43344</v>
      </c>
      <c r="B61" s="4">
        <f>11.9689 * CHOOSE(CONTROL!$C$9, $C$13, 100%, $E$13) + CHOOSE(CONTROL!$C$28, 0.0136, 0)</f>
        <v>11.9825</v>
      </c>
      <c r="C61" s="4">
        <f>11.6056 * CHOOSE(CONTROL!$C$9, $C$13, 100%, $E$13) + CHOOSE(CONTROL!$C$28, 0.0136, 0)</f>
        <v>11.619200000000001</v>
      </c>
      <c r="D61" s="4">
        <f>18.3091 * CHOOSE(CONTROL!$C$9, $C$13, 100%, $E$13) + CHOOSE(CONTROL!$C$28, 0, 0)</f>
        <v>18.309100000000001</v>
      </c>
      <c r="E61" s="4">
        <f>74.8156921395763 * CHOOSE(CONTROL!$C$9, $C$13, 100%, $E$13) + CHOOSE(CONTROL!$C$28, 0, 0)</f>
        <v>74.815692139576299</v>
      </c>
    </row>
    <row r="62" spans="1:5" ht="15">
      <c r="A62" s="13">
        <v>43374</v>
      </c>
      <c r="B62" s="4">
        <f>11.5969 * CHOOSE(CONTROL!$C$9, $C$13, 100%, $E$13) + CHOOSE(CONTROL!$C$28, 0.0003, 0)</f>
        <v>11.597199999999999</v>
      </c>
      <c r="C62" s="4">
        <f>11.2336 * CHOOSE(CONTROL!$C$9, $C$13, 100%, $E$13) + CHOOSE(CONTROL!$C$28, 0.0003, 0)</f>
        <v>11.233899999999998</v>
      </c>
      <c r="D62" s="4">
        <f>18.0824 * CHOOSE(CONTROL!$C$9, $C$13, 100%, $E$13) + CHOOSE(CONTROL!$C$28, 0, 0)</f>
        <v>18.0824</v>
      </c>
      <c r="E62" s="4">
        <f>72.3299064676248 * CHOOSE(CONTROL!$C$9, $C$13, 100%, $E$13) + CHOOSE(CONTROL!$C$28, 0, 0)</f>
        <v>72.329906467624795</v>
      </c>
    </row>
    <row r="63" spans="1:5" ht="15">
      <c r="A63" s="13">
        <v>43405</v>
      </c>
      <c r="B63" s="4">
        <f>11.3573 * CHOOSE(CONTROL!$C$9, $C$13, 100%, $E$13) + CHOOSE(CONTROL!$C$28, 0.0003, 0)</f>
        <v>11.3576</v>
      </c>
      <c r="C63" s="4">
        <f>10.9941 * CHOOSE(CONTROL!$C$9, $C$13, 100%, $E$13) + CHOOSE(CONTROL!$C$28, 0.0003, 0)</f>
        <v>10.994399999999999</v>
      </c>
      <c r="D63" s="4">
        <f>18.0044 * CHOOSE(CONTROL!$C$9, $C$13, 100%, $E$13) + CHOOSE(CONTROL!$C$28, 0, 0)</f>
        <v>18.0044</v>
      </c>
      <c r="E63" s="4">
        <f>70.728874868036 * CHOOSE(CONTROL!$C$9, $C$13, 100%, $E$13) + CHOOSE(CONTROL!$C$28, 0, 0)</f>
        <v>70.728874868036002</v>
      </c>
    </row>
    <row r="64" spans="1:5" ht="15">
      <c r="A64" s="13">
        <v>43435</v>
      </c>
      <c r="B64" s="4">
        <f>11.1916 * CHOOSE(CONTROL!$C$9, $C$13, 100%, $E$13) + CHOOSE(CONTROL!$C$28, 0.0003, 0)</f>
        <v>11.191899999999999</v>
      </c>
      <c r="C64" s="4">
        <f>10.8283 * CHOOSE(CONTROL!$C$9, $C$13, 100%, $E$13) + CHOOSE(CONTROL!$C$28, 0.0003, 0)</f>
        <v>10.8286</v>
      </c>
      <c r="D64" s="4">
        <f>17.4304 * CHOOSE(CONTROL!$C$9, $C$13, 100%, $E$13) + CHOOSE(CONTROL!$C$28, 0, 0)</f>
        <v>17.430399999999999</v>
      </c>
      <c r="E64" s="4">
        <f>69.6211668048044 * CHOOSE(CONTROL!$C$9, $C$13, 100%, $E$13) + CHOOSE(CONTROL!$C$28, 0, 0)</f>
        <v>69.621166804804403</v>
      </c>
    </row>
    <row r="65" spans="1:5" ht="15">
      <c r="A65" s="13">
        <v>43466</v>
      </c>
      <c r="B65" s="4">
        <f>10.9126 * CHOOSE(CONTROL!$C$9, $C$13, 100%, $E$13) + CHOOSE(CONTROL!$C$28, 0.0003, 0)</f>
        <v>10.912899999999999</v>
      </c>
      <c r="C65" s="4">
        <f>10.5493 * CHOOSE(CONTROL!$C$9, $C$13, 100%, $E$13) + CHOOSE(CONTROL!$C$28, 0.0003, 0)</f>
        <v>10.5496</v>
      </c>
      <c r="D65" s="4">
        <f>17.092 * CHOOSE(CONTROL!$C$9, $C$13, 100%, $E$13) + CHOOSE(CONTROL!$C$28, 0, 0)</f>
        <v>17.091999999999999</v>
      </c>
      <c r="E65" s="4">
        <f>68.0168046758623 * CHOOSE(CONTROL!$C$9, $C$13, 100%, $E$13) + CHOOSE(CONTROL!$C$28, 0, 0)</f>
        <v>68.016804675862303</v>
      </c>
    </row>
    <row r="66" spans="1:5" ht="15">
      <c r="A66" s="13">
        <v>43497</v>
      </c>
      <c r="B66" s="4">
        <f>11.1534 * CHOOSE(CONTROL!$C$9, $C$13, 100%, $E$13) + CHOOSE(CONTROL!$C$28, 0.0003, 0)</f>
        <v>11.153699999999999</v>
      </c>
      <c r="C66" s="4">
        <f>10.7901 * CHOOSE(CONTROL!$C$9, $C$13, 100%, $E$13) + CHOOSE(CONTROL!$C$28, 0.0003, 0)</f>
        <v>10.7904</v>
      </c>
      <c r="D66" s="4">
        <f>17.6299 * CHOOSE(CONTROL!$C$9, $C$13, 100%, $E$13) + CHOOSE(CONTROL!$C$28, 0, 0)</f>
        <v>17.629899999999999</v>
      </c>
      <c r="E66" s="4">
        <f>69.631791666935 * CHOOSE(CONTROL!$C$9, $C$13, 100%, $E$13) + CHOOSE(CONTROL!$C$28, 0, 0)</f>
        <v>69.631791666935001</v>
      </c>
    </row>
    <row r="67" spans="1:5" ht="15">
      <c r="A67" s="13">
        <v>43525</v>
      </c>
      <c r="B67" s="4">
        <f>11.7856 * CHOOSE(CONTROL!$C$9, $C$13, 100%, $E$13) + CHOOSE(CONTROL!$C$28, 0.0003, 0)</f>
        <v>11.7859</v>
      </c>
      <c r="C67" s="4">
        <f>11.4223 * CHOOSE(CONTROL!$C$9, $C$13, 100%, $E$13) + CHOOSE(CONTROL!$C$28, 0.0003, 0)</f>
        <v>11.422599999999999</v>
      </c>
      <c r="D67" s="4">
        <f>18.472 * CHOOSE(CONTROL!$C$9, $C$13, 100%, $E$13) + CHOOSE(CONTROL!$C$28, 0, 0)</f>
        <v>18.472000000000001</v>
      </c>
      <c r="E67" s="4">
        <f>73.8728333311128 * CHOOSE(CONTROL!$C$9, $C$13, 100%, $E$13) + CHOOSE(CONTROL!$C$28, 0, 0)</f>
        <v>73.872833331112801</v>
      </c>
    </row>
    <row r="68" spans="1:5" ht="15">
      <c r="A68" s="13">
        <v>43556</v>
      </c>
      <c r="B68" s="4">
        <f>12.2348 * CHOOSE(CONTROL!$C$9, $C$13, 100%, $E$13) + CHOOSE(CONTROL!$C$28, 0.0003, 0)</f>
        <v>12.235099999999999</v>
      </c>
      <c r="C68" s="4">
        <f>11.8715 * CHOOSE(CONTROL!$C$9, $C$13, 100%, $E$13) + CHOOSE(CONTROL!$C$28, 0.0003, 0)</f>
        <v>11.871799999999999</v>
      </c>
      <c r="D68" s="4">
        <f>18.957 * CHOOSE(CONTROL!$C$9, $C$13, 100%, $E$13) + CHOOSE(CONTROL!$C$28, 0, 0)</f>
        <v>18.957000000000001</v>
      </c>
      <c r="E68" s="4">
        <f>76.8861499528225 * CHOOSE(CONTROL!$C$9, $C$13, 100%, $E$13) + CHOOSE(CONTROL!$C$28, 0, 0)</f>
        <v>76.886149952822507</v>
      </c>
    </row>
    <row r="69" spans="1:5" ht="15">
      <c r="A69" s="13">
        <v>43586</v>
      </c>
      <c r="B69" s="4">
        <f>12.5092 * CHOOSE(CONTROL!$C$9, $C$13, 100%, $E$13) + CHOOSE(CONTROL!$C$28, 0.0136, 0)</f>
        <v>12.5228</v>
      </c>
      <c r="C69" s="4">
        <f>12.1459 * CHOOSE(CONTROL!$C$9, $C$13, 100%, $E$13) + CHOOSE(CONTROL!$C$28, 0.0136, 0)</f>
        <v>12.1595</v>
      </c>
      <c r="D69" s="4">
        <f>18.7653 * CHOOSE(CONTROL!$C$9, $C$13, 100%, $E$13) + CHOOSE(CONTROL!$C$28, 0, 0)</f>
        <v>18.7653</v>
      </c>
      <c r="E69" s="4">
        <f>78.727214189567 * CHOOSE(CONTROL!$C$9, $C$13, 100%, $E$13) + CHOOSE(CONTROL!$C$28, 0, 0)</f>
        <v>78.727214189566993</v>
      </c>
    </row>
    <row r="70" spans="1:5" ht="15">
      <c r="A70" s="13">
        <v>43617</v>
      </c>
      <c r="B70" s="4">
        <f>12.5464 * CHOOSE(CONTROL!$C$9, $C$13, 100%, $E$13) + CHOOSE(CONTROL!$C$28, 0.0136, 0)</f>
        <v>12.56</v>
      </c>
      <c r="C70" s="4">
        <f>12.1831 * CHOOSE(CONTROL!$C$9, $C$13, 100%, $E$13) + CHOOSE(CONTROL!$C$28, 0.0136, 0)</f>
        <v>12.1967</v>
      </c>
      <c r="D70" s="4">
        <f>18.9214 * CHOOSE(CONTROL!$C$9, $C$13, 100%, $E$13) + CHOOSE(CONTROL!$C$28, 0, 0)</f>
        <v>18.921399999999998</v>
      </c>
      <c r="E70" s="4">
        <f>78.9763178213721 * CHOOSE(CONTROL!$C$9, $C$13, 100%, $E$13) + CHOOSE(CONTROL!$C$28, 0, 0)</f>
        <v>78.976317821372106</v>
      </c>
    </row>
    <row r="71" spans="1:5" ht="15">
      <c r="A71" s="13">
        <v>43647</v>
      </c>
      <c r="B71" s="4">
        <f>12.5426 * CHOOSE(CONTROL!$C$9, $C$13, 100%, $E$13) + CHOOSE(CONTROL!$C$28, 0.0136, 0)</f>
        <v>12.5562</v>
      </c>
      <c r="C71" s="4">
        <f>12.1793 * CHOOSE(CONTROL!$C$9, $C$13, 100%, $E$13) + CHOOSE(CONTROL!$C$28, 0.0136, 0)</f>
        <v>12.1929</v>
      </c>
      <c r="D71" s="4">
        <f>19.2031 * CHOOSE(CONTROL!$C$9, $C$13, 100%, $E$13) + CHOOSE(CONTROL!$C$28, 0, 0)</f>
        <v>19.203099999999999</v>
      </c>
      <c r="E71" s="4">
        <f>78.9511981274086 * CHOOSE(CONTROL!$C$9, $C$13, 100%, $E$13) + CHOOSE(CONTROL!$C$28, 0, 0)</f>
        <v>78.951198127408603</v>
      </c>
    </row>
    <row r="72" spans="1:5" ht="15">
      <c r="A72" s="13">
        <v>43678</v>
      </c>
      <c r="B72" s="4">
        <f>12.8244 * CHOOSE(CONTROL!$C$9, $C$13, 100%, $E$13) + CHOOSE(CONTROL!$C$28, 0.0136, 0)</f>
        <v>12.838000000000001</v>
      </c>
      <c r="C72" s="4">
        <f>12.4611 * CHOOSE(CONTROL!$C$9, $C$13, 100%, $E$13) + CHOOSE(CONTROL!$C$28, 0.0136, 0)</f>
        <v>12.4747</v>
      </c>
      <c r="D72" s="4">
        <f>19.0171 * CHOOSE(CONTROL!$C$9, $C$13, 100%, $E$13) + CHOOSE(CONTROL!$C$28, 0, 0)</f>
        <v>19.017099999999999</v>
      </c>
      <c r="E72" s="4">
        <f>80.841455098165 * CHOOSE(CONTROL!$C$9, $C$13, 100%, $E$13) + CHOOSE(CONTROL!$C$28, 0, 0)</f>
        <v>80.841455098165</v>
      </c>
    </row>
    <row r="73" spans="1:5" ht="15">
      <c r="A73" s="13">
        <v>43709</v>
      </c>
      <c r="B73" s="4">
        <f>12.3441 * CHOOSE(CONTROL!$C$9, $C$13, 100%, $E$13) + CHOOSE(CONTROL!$C$28, 0.0136, 0)</f>
        <v>12.357699999999999</v>
      </c>
      <c r="C73" s="4">
        <f>11.9809 * CHOOSE(CONTROL!$C$9, $C$13, 100%, $E$13) + CHOOSE(CONTROL!$C$28, 0.0136, 0)</f>
        <v>11.9945</v>
      </c>
      <c r="D73" s="4">
        <f>18.9292 * CHOOSE(CONTROL!$C$9, $C$13, 100%, $E$13) + CHOOSE(CONTROL!$C$28, 0, 0)</f>
        <v>18.929200000000002</v>
      </c>
      <c r="E73" s="4">
        <f>77.6198543473409 * CHOOSE(CONTROL!$C$9, $C$13, 100%, $E$13) + CHOOSE(CONTROL!$C$28, 0, 0)</f>
        <v>77.619854347340905</v>
      </c>
    </row>
    <row r="74" spans="1:5" ht="15">
      <c r="A74" s="13">
        <v>43739</v>
      </c>
      <c r="B74" s="4">
        <f>11.9597 * CHOOSE(CONTROL!$C$9, $C$13, 100%, $E$13) + CHOOSE(CONTROL!$C$28, 0.0003, 0)</f>
        <v>11.959999999999999</v>
      </c>
      <c r="C74" s="4">
        <f>11.5964 * CHOOSE(CONTROL!$C$9, $C$13, 100%, $E$13) + CHOOSE(CONTROL!$C$28, 0.0003, 0)</f>
        <v>11.596699999999998</v>
      </c>
      <c r="D74" s="4">
        <f>18.6939 * CHOOSE(CONTROL!$C$9, $C$13, 100%, $E$13) + CHOOSE(CONTROL!$C$28, 0, 0)</f>
        <v>18.693899999999999</v>
      </c>
      <c r="E74" s="4">
        <f>75.0408991004174 * CHOOSE(CONTROL!$C$9, $C$13, 100%, $E$13) + CHOOSE(CONTROL!$C$28, 0, 0)</f>
        <v>75.040899100417406</v>
      </c>
    </row>
    <row r="75" spans="1:5" ht="15">
      <c r="A75" s="13">
        <v>43770</v>
      </c>
      <c r="B75" s="4">
        <f>11.7121 * CHOOSE(CONTROL!$C$9, $C$13, 100%, $E$13) + CHOOSE(CONTROL!$C$28, 0.0003, 0)</f>
        <v>11.712399999999999</v>
      </c>
      <c r="C75" s="4">
        <f>11.3488 * CHOOSE(CONTROL!$C$9, $C$13, 100%, $E$13) + CHOOSE(CONTROL!$C$28, 0.0003, 0)</f>
        <v>11.3491</v>
      </c>
      <c r="D75" s="4">
        <f>18.613 * CHOOSE(CONTROL!$C$9, $C$13, 100%, $E$13) + CHOOSE(CONTROL!$C$28, 0, 0)</f>
        <v>18.613</v>
      </c>
      <c r="E75" s="4">
        <f>73.3798593370783 * CHOOSE(CONTROL!$C$9, $C$13, 100%, $E$13) + CHOOSE(CONTROL!$C$28, 0, 0)</f>
        <v>73.379859337078301</v>
      </c>
    </row>
    <row r="76" spans="1:5" ht="15">
      <c r="A76" s="13">
        <v>43800</v>
      </c>
      <c r="B76" s="4">
        <f>11.5408 * CHOOSE(CONTROL!$C$9, $C$13, 100%, $E$13) + CHOOSE(CONTROL!$C$28, 0.0003, 0)</f>
        <v>11.5411</v>
      </c>
      <c r="C76" s="4">
        <f>11.1775 * CHOOSE(CONTROL!$C$9, $C$13, 100%, $E$13) + CHOOSE(CONTROL!$C$28, 0.0003, 0)</f>
        <v>11.1778</v>
      </c>
      <c r="D76" s="4">
        <f>18.0174 * CHOOSE(CONTROL!$C$9, $C$13, 100%, $E$13) + CHOOSE(CONTROL!$C$28, 0, 0)</f>
        <v>18.017399999999999</v>
      </c>
      <c r="E76" s="4">
        <f>72.2306333382463 * CHOOSE(CONTROL!$C$9, $C$13, 100%, $E$13) + CHOOSE(CONTROL!$C$28, 0, 0)</f>
        <v>72.230633338246307</v>
      </c>
    </row>
    <row r="77" spans="1:5" ht="15">
      <c r="A77" s="13">
        <v>43831</v>
      </c>
      <c r="B77" s="4">
        <f>12.8082 * CHOOSE(CONTROL!$C$9, $C$13, 100%, $E$13) + CHOOSE(CONTROL!$C$28, 0.0003, 0)</f>
        <v>12.808499999999999</v>
      </c>
      <c r="C77" s="4">
        <f>12.4449 * CHOOSE(CONTROL!$C$9, $C$13, 100%, $E$13) + CHOOSE(CONTROL!$C$28, 0.0003, 0)</f>
        <v>12.4452</v>
      </c>
      <c r="D77" s="4">
        <f>19.2397 * CHOOSE(CONTROL!$C$9, $C$13, 100%, $E$13) + CHOOSE(CONTROL!$C$28, 0, 0)</f>
        <v>19.239699999999999</v>
      </c>
      <c r="E77" s="4">
        <f>82.0078688574678 * CHOOSE(CONTROL!$C$9, $C$13, 100%, $E$13) + CHOOSE(CONTROL!$C$28, 0, 0)</f>
        <v>82.007868857467798</v>
      </c>
    </row>
    <row r="78" spans="1:5" ht="15">
      <c r="A78" s="13">
        <v>43862</v>
      </c>
      <c r="B78" s="4">
        <f>13.0939 * CHOOSE(CONTROL!$C$9, $C$13, 100%, $E$13) + CHOOSE(CONTROL!$C$28, 0.0003, 0)</f>
        <v>13.094199999999999</v>
      </c>
      <c r="C78" s="4">
        <f>12.7307 * CHOOSE(CONTROL!$C$9, $C$13, 100%, $E$13) + CHOOSE(CONTROL!$C$28, 0.0003, 0)</f>
        <v>12.731</v>
      </c>
      <c r="D78" s="4">
        <f>19.8534 * CHOOSE(CONTROL!$C$9, $C$13, 100%, $E$13) + CHOOSE(CONTROL!$C$28, 0, 0)</f>
        <v>19.853400000000001</v>
      </c>
      <c r="E78" s="4">
        <f>83.9550588497287 * CHOOSE(CONTROL!$C$9, $C$13, 100%, $E$13) + CHOOSE(CONTROL!$C$28, 0, 0)</f>
        <v>83.955058849728701</v>
      </c>
    </row>
    <row r="79" spans="1:5" ht="15">
      <c r="A79" s="13">
        <v>43891</v>
      </c>
      <c r="B79" s="4">
        <f>13.8443 * CHOOSE(CONTROL!$C$9, $C$13, 100%, $E$13) + CHOOSE(CONTROL!$C$28, 0.0003, 0)</f>
        <v>13.8446</v>
      </c>
      <c r="C79" s="4">
        <f>13.4811 * CHOOSE(CONTROL!$C$9, $C$13, 100%, $E$13) + CHOOSE(CONTROL!$C$28, 0.0003, 0)</f>
        <v>13.481399999999999</v>
      </c>
      <c r="D79" s="4">
        <f>20.814 * CHOOSE(CONTROL!$C$9, $C$13, 100%, $E$13) + CHOOSE(CONTROL!$C$28, 0, 0)</f>
        <v>20.814</v>
      </c>
      <c r="E79" s="4">
        <f>89.0684832493664 * CHOOSE(CONTROL!$C$9, $C$13, 100%, $E$13) + CHOOSE(CONTROL!$C$28, 0, 0)</f>
        <v>89.068483249366395</v>
      </c>
    </row>
    <row r="80" spans="1:5" ht="15">
      <c r="A80" s="13">
        <v>43922</v>
      </c>
      <c r="B80" s="4">
        <f>14.3775 * CHOOSE(CONTROL!$C$9, $C$13, 100%, $E$13) + CHOOSE(CONTROL!$C$28, 0.0003, 0)</f>
        <v>14.377799999999999</v>
      </c>
      <c r="C80" s="4">
        <f>14.0142 * CHOOSE(CONTROL!$C$9, $C$13, 100%, $E$13) + CHOOSE(CONTROL!$C$28, 0.0003, 0)</f>
        <v>14.0145</v>
      </c>
      <c r="D80" s="4">
        <f>21.3674 * CHOOSE(CONTROL!$C$9, $C$13, 100%, $E$13) + CHOOSE(CONTROL!$C$28, 0, 0)</f>
        <v>21.3674</v>
      </c>
      <c r="E80" s="4">
        <f>92.7016394306491 * CHOOSE(CONTROL!$C$9, $C$13, 100%, $E$13) + CHOOSE(CONTROL!$C$28, 0, 0)</f>
        <v>92.701639430649095</v>
      </c>
    </row>
    <row r="81" spans="1:5" ht="15">
      <c r="A81" s="13">
        <v>43952</v>
      </c>
      <c r="B81" s="4">
        <f>14.7033 * CHOOSE(CONTROL!$C$9, $C$13, 100%, $E$13) + CHOOSE(CONTROL!$C$28, 0.0136, 0)</f>
        <v>14.716900000000001</v>
      </c>
      <c r="C81" s="4">
        <f>14.34 * CHOOSE(CONTROL!$C$9, $C$13, 100%, $E$13) + CHOOSE(CONTROL!$C$28, 0.0136, 0)</f>
        <v>14.3536</v>
      </c>
      <c r="D81" s="4">
        <f>21.1487 * CHOOSE(CONTROL!$C$9, $C$13, 100%, $E$13) + CHOOSE(CONTROL!$C$28, 0, 0)</f>
        <v>21.148700000000002</v>
      </c>
      <c r="E81" s="4">
        <f>94.9214107828116 * CHOOSE(CONTROL!$C$9, $C$13, 100%, $E$13) + CHOOSE(CONTROL!$C$28, 0, 0)</f>
        <v>94.921410782811606</v>
      </c>
    </row>
    <row r="82" spans="1:5" ht="15">
      <c r="A82" s="13">
        <v>43983</v>
      </c>
      <c r="B82" s="4">
        <f>14.7473 * CHOOSE(CONTROL!$C$9, $C$13, 100%, $E$13) + CHOOSE(CONTROL!$C$28, 0.0136, 0)</f>
        <v>14.760899999999999</v>
      </c>
      <c r="C82" s="4">
        <f>14.3841 * CHOOSE(CONTROL!$C$9, $C$13, 100%, $E$13) + CHOOSE(CONTROL!$C$28, 0.0136, 0)</f>
        <v>14.3977</v>
      </c>
      <c r="D82" s="4">
        <f>21.3268 * CHOOSE(CONTROL!$C$9, $C$13, 100%, $E$13) + CHOOSE(CONTROL!$C$28, 0, 0)</f>
        <v>21.326799999999999</v>
      </c>
      <c r="E82" s="4">
        <f>95.2217550589996 * CHOOSE(CONTROL!$C$9, $C$13, 100%, $E$13) + CHOOSE(CONTROL!$C$28, 0, 0)</f>
        <v>95.221755058999605</v>
      </c>
    </row>
    <row r="83" spans="1:5" ht="15">
      <c r="A83" s="13">
        <v>44013</v>
      </c>
      <c r="B83" s="4">
        <f>14.7429 * CHOOSE(CONTROL!$C$9, $C$13, 100%, $E$13) + CHOOSE(CONTROL!$C$28, 0.0136, 0)</f>
        <v>14.756500000000001</v>
      </c>
      <c r="C83" s="4">
        <f>14.3796 * CHOOSE(CONTROL!$C$9, $C$13, 100%, $E$13) + CHOOSE(CONTROL!$C$28, 0.0136, 0)</f>
        <v>14.3932</v>
      </c>
      <c r="D83" s="4">
        <f>21.6482 * CHOOSE(CONTROL!$C$9, $C$13, 100%, $E$13) + CHOOSE(CONTROL!$C$28, 0, 0)</f>
        <v>21.648199999999999</v>
      </c>
      <c r="E83" s="4">
        <f>95.1914682412328 * CHOOSE(CONTROL!$C$9, $C$13, 100%, $E$13) + CHOOSE(CONTROL!$C$28, 0, 0)</f>
        <v>95.191468241232798</v>
      </c>
    </row>
    <row r="84" spans="1:5" ht="15">
      <c r="A84" s="13">
        <v>44044</v>
      </c>
      <c r="B84" s="4">
        <f>15.0774 * CHOOSE(CONTROL!$C$9, $C$13, 100%, $E$13) + CHOOSE(CONTROL!$C$28, 0.0136, 0)</f>
        <v>15.091000000000001</v>
      </c>
      <c r="C84" s="4">
        <f>14.7141 * CHOOSE(CONTROL!$C$9, $C$13, 100%, $E$13) + CHOOSE(CONTROL!$C$28, 0.0136, 0)</f>
        <v>14.7277</v>
      </c>
      <c r="D84" s="4">
        <f>21.436 * CHOOSE(CONTROL!$C$9, $C$13, 100%, $E$13) + CHOOSE(CONTROL!$C$28, 0, 0)</f>
        <v>21.436</v>
      </c>
      <c r="E84" s="4">
        <f>97.4705512781888 * CHOOSE(CONTROL!$C$9, $C$13, 100%, $E$13) + CHOOSE(CONTROL!$C$28, 0, 0)</f>
        <v>97.470551278188793</v>
      </c>
    </row>
    <row r="85" spans="1:5" ht="15">
      <c r="A85" s="13">
        <v>44075</v>
      </c>
      <c r="B85" s="4">
        <f>14.5073 * CHOOSE(CONTROL!$C$9, $C$13, 100%, $E$13) + CHOOSE(CONTROL!$C$28, 0.0136, 0)</f>
        <v>14.520900000000001</v>
      </c>
      <c r="C85" s="4">
        <f>14.144 * CHOOSE(CONTROL!$C$9, $C$13, 100%, $E$13) + CHOOSE(CONTROL!$C$28, 0.0136, 0)</f>
        <v>14.1576</v>
      </c>
      <c r="D85" s="4">
        <f>21.3357 * CHOOSE(CONTROL!$C$9, $C$13, 100%, $E$13) + CHOOSE(CONTROL!$C$28, 0, 0)</f>
        <v>21.335699999999999</v>
      </c>
      <c r="E85" s="4">
        <f>93.5862668995893 * CHOOSE(CONTROL!$C$9, $C$13, 100%, $E$13) + CHOOSE(CONTROL!$C$28, 0, 0)</f>
        <v>93.586266899589305</v>
      </c>
    </row>
    <row r="86" spans="1:5" ht="15">
      <c r="A86" s="13">
        <v>44105</v>
      </c>
      <c r="B86" s="4">
        <f>14.051 * CHOOSE(CONTROL!$C$9, $C$13, 100%, $E$13) + CHOOSE(CONTROL!$C$28, 0.0003, 0)</f>
        <v>14.051299999999999</v>
      </c>
      <c r="C86" s="4">
        <f>13.6877 * CHOOSE(CONTROL!$C$9, $C$13, 100%, $E$13) + CHOOSE(CONTROL!$C$28, 0.0003, 0)</f>
        <v>13.687999999999999</v>
      </c>
      <c r="D86" s="4">
        <f>21.0672 * CHOOSE(CONTROL!$C$9, $C$13, 100%, $E$13) + CHOOSE(CONTROL!$C$28, 0, 0)</f>
        <v>21.0672</v>
      </c>
      <c r="E86" s="4">
        <f>90.4768202755253 * CHOOSE(CONTROL!$C$9, $C$13, 100%, $E$13) + CHOOSE(CONTROL!$C$28, 0, 0)</f>
        <v>90.476820275525299</v>
      </c>
    </row>
    <row r="87" spans="1:5" ht="15">
      <c r="A87" s="13">
        <v>44136</v>
      </c>
      <c r="B87" s="4">
        <f>13.7571 * CHOOSE(CONTROL!$C$9, $C$13, 100%, $E$13) + CHOOSE(CONTROL!$C$28, 0.0003, 0)</f>
        <v>13.757399999999999</v>
      </c>
      <c r="C87" s="4">
        <f>13.3938 * CHOOSE(CONTROL!$C$9, $C$13, 100%, $E$13) + CHOOSE(CONTROL!$C$28, 0.0003, 0)</f>
        <v>13.3941</v>
      </c>
      <c r="D87" s="4">
        <f>20.9749 * CHOOSE(CONTROL!$C$9, $C$13, 100%, $E$13) + CHOOSE(CONTROL!$C$28, 0, 0)</f>
        <v>20.974900000000002</v>
      </c>
      <c r="E87" s="4">
        <f>88.4741044506919 * CHOOSE(CONTROL!$C$9, $C$13, 100%, $E$13) + CHOOSE(CONTROL!$C$28, 0, 0)</f>
        <v>88.474104450691897</v>
      </c>
    </row>
    <row r="88" spans="1:5" ht="15">
      <c r="A88" s="13">
        <v>44166</v>
      </c>
      <c r="B88" s="4">
        <f>13.5538 * CHOOSE(CONTROL!$C$9, $C$13, 100%, $E$13) + CHOOSE(CONTROL!$C$28, 0.0003, 0)</f>
        <v>13.5541</v>
      </c>
      <c r="C88" s="4">
        <f>13.1905 * CHOOSE(CONTROL!$C$9, $C$13, 100%, $E$13) + CHOOSE(CONTROL!$C$28, 0.0003, 0)</f>
        <v>13.190799999999999</v>
      </c>
      <c r="D88" s="4">
        <f>20.2954 * CHOOSE(CONTROL!$C$9, $C$13, 100%, $E$13) + CHOOSE(CONTROL!$C$28, 0, 0)</f>
        <v>20.295400000000001</v>
      </c>
      <c r="E88" s="4">
        <f>87.0884825378581 * CHOOSE(CONTROL!$C$9, $C$13, 100%, $E$13) + CHOOSE(CONTROL!$C$28, 0, 0)</f>
        <v>87.088482537858098</v>
      </c>
    </row>
    <row r="89" spans="1:5" ht="15">
      <c r="A89" s="13">
        <v>44197</v>
      </c>
      <c r="B89" s="4">
        <f>13.3859 * CHOOSE(CONTROL!$C$9, $C$13, 100%, $E$13) + CHOOSE(CONTROL!$C$28, 0.0003, 0)</f>
        <v>13.386199999999999</v>
      </c>
      <c r="C89" s="4">
        <f>13.0226 * CHOOSE(CONTROL!$C$9, $C$13, 100%, $E$13) + CHOOSE(CONTROL!$C$28, 0.0003, 0)</f>
        <v>13.0229</v>
      </c>
      <c r="D89" s="4">
        <f>20.0158 * CHOOSE(CONTROL!$C$9, $C$13, 100%, $E$13) + CHOOSE(CONTROL!$C$28, 0, 0)</f>
        <v>20.015799999999999</v>
      </c>
      <c r="E89" s="4">
        <f>85.4125030956757 * CHOOSE(CONTROL!$C$9, $C$13, 100%, $E$13) + CHOOSE(CONTROL!$C$28, 0, 0)</f>
        <v>85.412503095675703</v>
      </c>
    </row>
    <row r="90" spans="1:5" ht="15">
      <c r="A90" s="13">
        <v>44228</v>
      </c>
      <c r="B90" s="4">
        <f>13.6854 * CHOOSE(CONTROL!$C$9, $C$13, 100%, $E$13) + CHOOSE(CONTROL!$C$28, 0.0003, 0)</f>
        <v>13.685699999999999</v>
      </c>
      <c r="C90" s="4">
        <f>13.3221 * CHOOSE(CONTROL!$C$9, $C$13, 100%, $E$13) + CHOOSE(CONTROL!$C$28, 0.0003, 0)</f>
        <v>13.3224</v>
      </c>
      <c r="D90" s="4">
        <f>20.6569 * CHOOSE(CONTROL!$C$9, $C$13, 100%, $E$13) + CHOOSE(CONTROL!$C$28, 0, 0)</f>
        <v>20.6569</v>
      </c>
      <c r="E90" s="4">
        <f>87.4405325221069 * CHOOSE(CONTROL!$C$9, $C$13, 100%, $E$13) + CHOOSE(CONTROL!$C$28, 0, 0)</f>
        <v>87.440532522106906</v>
      </c>
    </row>
    <row r="91" spans="1:5" ht="15">
      <c r="A91" s="13">
        <v>44256</v>
      </c>
      <c r="B91" s="4">
        <f>14.4718 * CHOOSE(CONTROL!$C$9, $C$13, 100%, $E$13) + CHOOSE(CONTROL!$C$28, 0.0003, 0)</f>
        <v>14.472099999999999</v>
      </c>
      <c r="C91" s="4">
        <f>14.1085 * CHOOSE(CONTROL!$C$9, $C$13, 100%, $E$13) + CHOOSE(CONTROL!$C$28, 0.0003, 0)</f>
        <v>14.108799999999999</v>
      </c>
      <c r="D91" s="4">
        <f>21.6605 * CHOOSE(CONTROL!$C$9, $C$13, 100%, $E$13) + CHOOSE(CONTROL!$C$28, 0, 0)</f>
        <v>21.660499999999999</v>
      </c>
      <c r="E91" s="4">
        <f>92.7662455719442 * CHOOSE(CONTROL!$C$9, $C$13, 100%, $E$13) + CHOOSE(CONTROL!$C$28, 0, 0)</f>
        <v>92.766245571944197</v>
      </c>
    </row>
    <row r="92" spans="1:5" ht="15">
      <c r="A92" s="13">
        <v>44287</v>
      </c>
      <c r="B92" s="4">
        <f>15.0305 * CHOOSE(CONTROL!$C$9, $C$13, 100%, $E$13) + CHOOSE(CONTROL!$C$28, 0.0003, 0)</f>
        <v>15.030799999999999</v>
      </c>
      <c r="C92" s="4">
        <f>14.6673 * CHOOSE(CONTROL!$C$9, $C$13, 100%, $E$13) + CHOOSE(CONTROL!$C$28, 0.0003, 0)</f>
        <v>14.667599999999998</v>
      </c>
      <c r="D92" s="4">
        <f>22.2385 * CHOOSE(CONTROL!$C$9, $C$13, 100%, $E$13) + CHOOSE(CONTROL!$C$28, 0, 0)</f>
        <v>22.238499999999998</v>
      </c>
      <c r="E92" s="4">
        <f>96.5502356683118 * CHOOSE(CONTROL!$C$9, $C$13, 100%, $E$13) + CHOOSE(CONTROL!$C$28, 0, 0)</f>
        <v>96.550235668311799</v>
      </c>
    </row>
    <row r="93" spans="1:5" ht="15">
      <c r="A93" s="13">
        <v>44317</v>
      </c>
      <c r="B93" s="4">
        <f>15.3719 * CHOOSE(CONTROL!$C$9, $C$13, 100%, $E$13) + CHOOSE(CONTROL!$C$28, 0.0136, 0)</f>
        <v>15.3855</v>
      </c>
      <c r="C93" s="4">
        <f>15.0087 * CHOOSE(CONTROL!$C$9, $C$13, 100%, $E$13) + CHOOSE(CONTROL!$C$28, 0.0136, 0)</f>
        <v>15.0223</v>
      </c>
      <c r="D93" s="4">
        <f>22.0101 * CHOOSE(CONTROL!$C$9, $C$13, 100%, $E$13) + CHOOSE(CONTROL!$C$28, 0, 0)</f>
        <v>22.010100000000001</v>
      </c>
      <c r="E93" s="4">
        <f>98.8621629276069 * CHOOSE(CONTROL!$C$9, $C$13, 100%, $E$13) + CHOOSE(CONTROL!$C$28, 0, 0)</f>
        <v>98.862162927606903</v>
      </c>
    </row>
    <row r="94" spans="1:5" ht="15">
      <c r="A94" s="13">
        <v>44348</v>
      </c>
      <c r="B94" s="4">
        <f>15.4181 * CHOOSE(CONTROL!$C$9, $C$13, 100%, $E$13) + CHOOSE(CONTROL!$C$28, 0.0136, 0)</f>
        <v>15.431700000000001</v>
      </c>
      <c r="C94" s="4">
        <f>15.0549 * CHOOSE(CONTROL!$C$9, $C$13, 100%, $E$13) + CHOOSE(CONTROL!$C$28, 0.0136, 0)</f>
        <v>15.0685</v>
      </c>
      <c r="D94" s="4">
        <f>22.1961 * CHOOSE(CONTROL!$C$9, $C$13, 100%, $E$13) + CHOOSE(CONTROL!$C$28, 0, 0)</f>
        <v>22.196100000000001</v>
      </c>
      <c r="E94" s="4">
        <f>99.1749762804848 * CHOOSE(CONTROL!$C$9, $C$13, 100%, $E$13) + CHOOSE(CONTROL!$C$28, 0, 0)</f>
        <v>99.174976280484799</v>
      </c>
    </row>
    <row r="95" spans="1:5" ht="15">
      <c r="A95" s="13">
        <v>44378</v>
      </c>
      <c r="B95" s="4">
        <f>15.4135 * CHOOSE(CONTROL!$C$9, $C$13, 100%, $E$13) + CHOOSE(CONTROL!$C$28, 0.0136, 0)</f>
        <v>15.427100000000001</v>
      </c>
      <c r="C95" s="4">
        <f>15.0502 * CHOOSE(CONTROL!$C$9, $C$13, 100%, $E$13) + CHOOSE(CONTROL!$C$28, 0.0136, 0)</f>
        <v>15.063800000000001</v>
      </c>
      <c r="D95" s="4">
        <f>22.5318 * CHOOSE(CONTROL!$C$9, $C$13, 100%, $E$13) + CHOOSE(CONTROL!$C$28, 0, 0)</f>
        <v>22.5318</v>
      </c>
      <c r="E95" s="4">
        <f>99.1434320768333 * CHOOSE(CONTROL!$C$9, $C$13, 100%, $E$13) + CHOOSE(CONTROL!$C$28, 0, 0)</f>
        <v>99.143432076833307</v>
      </c>
    </row>
    <row r="96" spans="1:5" ht="15">
      <c r="A96" s="13">
        <v>44409</v>
      </c>
      <c r="B96" s="4">
        <f>15.764 * CHOOSE(CONTROL!$C$9, $C$13, 100%, $E$13) + CHOOSE(CONTROL!$C$28, 0.0136, 0)</f>
        <v>15.7776</v>
      </c>
      <c r="C96" s="4">
        <f>15.4007 * CHOOSE(CONTROL!$C$9, $C$13, 100%, $E$13) + CHOOSE(CONTROL!$C$28, 0.0136, 0)</f>
        <v>15.414300000000001</v>
      </c>
      <c r="D96" s="4">
        <f>22.3101 * CHOOSE(CONTROL!$C$9, $C$13, 100%, $E$13) + CHOOSE(CONTROL!$C$28, 0, 0)</f>
        <v>22.310099999999998</v>
      </c>
      <c r="E96" s="4">
        <f>101.517133401613 * CHOOSE(CONTROL!$C$9, $C$13, 100%, $E$13) + CHOOSE(CONTROL!$C$28, 0, 0)</f>
        <v>101.51713340161299</v>
      </c>
    </row>
    <row r="97" spans="1:5" ht="15">
      <c r="A97" s="13">
        <v>44440</v>
      </c>
      <c r="B97" s="4">
        <f>15.1666 * CHOOSE(CONTROL!$C$9, $C$13, 100%, $E$13) + CHOOSE(CONTROL!$C$28, 0.0136, 0)</f>
        <v>15.180200000000001</v>
      </c>
      <c r="C97" s="4">
        <f>14.8033 * CHOOSE(CONTROL!$C$9, $C$13, 100%, $E$13) + CHOOSE(CONTROL!$C$28, 0.0136, 0)</f>
        <v>14.8169</v>
      </c>
      <c r="D97" s="4">
        <f>22.2054 * CHOOSE(CONTROL!$C$9, $C$13, 100%, $E$13) + CHOOSE(CONTROL!$C$28, 0, 0)</f>
        <v>22.205400000000001</v>
      </c>
      <c r="E97" s="4">
        <f>97.471589283301 * CHOOSE(CONTROL!$C$9, $C$13, 100%, $E$13) + CHOOSE(CONTROL!$C$28, 0, 0)</f>
        <v>97.471589283301</v>
      </c>
    </row>
    <row r="98" spans="1:5" ht="15">
      <c r="A98" s="13">
        <v>44470</v>
      </c>
      <c r="B98" s="4">
        <f>14.6884 * CHOOSE(CONTROL!$C$9, $C$13, 100%, $E$13) + CHOOSE(CONTROL!$C$28, 0.0003, 0)</f>
        <v>14.688699999999999</v>
      </c>
      <c r="C98" s="4">
        <f>14.3251 * CHOOSE(CONTROL!$C$9, $C$13, 100%, $E$13) + CHOOSE(CONTROL!$C$28, 0.0003, 0)</f>
        <v>14.3254</v>
      </c>
      <c r="D98" s="4">
        <f>21.9249 * CHOOSE(CONTROL!$C$9, $C$13, 100%, $E$13) + CHOOSE(CONTROL!$C$28, 0, 0)</f>
        <v>21.924900000000001</v>
      </c>
      <c r="E98" s="4">
        <f>94.2330510417414 * CHOOSE(CONTROL!$C$9, $C$13, 100%, $E$13) + CHOOSE(CONTROL!$C$28, 0, 0)</f>
        <v>94.233051041741405</v>
      </c>
    </row>
    <row r="99" spans="1:5" ht="15">
      <c r="A99" s="13">
        <v>44501</v>
      </c>
      <c r="B99" s="4">
        <f>14.3804 * CHOOSE(CONTROL!$C$9, $C$13, 100%, $E$13) + CHOOSE(CONTROL!$C$28, 0.0003, 0)</f>
        <v>14.380699999999999</v>
      </c>
      <c r="C99" s="4">
        <f>14.0171 * CHOOSE(CONTROL!$C$9, $C$13, 100%, $E$13) + CHOOSE(CONTROL!$C$28, 0.0003, 0)</f>
        <v>14.017399999999999</v>
      </c>
      <c r="D99" s="4">
        <f>21.8285 * CHOOSE(CONTROL!$C$9, $C$13, 100%, $E$13) + CHOOSE(CONTROL!$C$28, 0, 0)</f>
        <v>21.828499999999998</v>
      </c>
      <c r="E99" s="4">
        <f>92.1471905752824 * CHOOSE(CONTROL!$C$9, $C$13, 100%, $E$13) + CHOOSE(CONTROL!$C$28, 0, 0)</f>
        <v>92.147190575282394</v>
      </c>
    </row>
    <row r="100" spans="1:5" ht="15">
      <c r="A100" s="13">
        <v>44531</v>
      </c>
      <c r="B100" s="4">
        <f>14.1673 * CHOOSE(CONTROL!$C$9, $C$13, 100%, $E$13) + CHOOSE(CONTROL!$C$28, 0.0003, 0)</f>
        <v>14.167599999999998</v>
      </c>
      <c r="C100" s="4">
        <f>13.804 * CHOOSE(CONTROL!$C$9, $C$13, 100%, $E$13) + CHOOSE(CONTROL!$C$28, 0.0003, 0)</f>
        <v>13.8043</v>
      </c>
      <c r="D100" s="4">
        <f>21.1187 * CHOOSE(CONTROL!$C$9, $C$13, 100%, $E$13) + CHOOSE(CONTROL!$C$28, 0, 0)</f>
        <v>21.1187</v>
      </c>
      <c r="E100" s="4">
        <f>90.7040432582239 * CHOOSE(CONTROL!$C$9, $C$13, 100%, $E$13) + CHOOSE(CONTROL!$C$28, 0, 0)</f>
        <v>90.704043258223905</v>
      </c>
    </row>
    <row r="101" spans="1:5" ht="15">
      <c r="A101" s="13">
        <v>44562</v>
      </c>
      <c r="B101" s="4">
        <f>14.0661 * CHOOSE(CONTROL!$C$9, $C$13, 100%, $E$13) + CHOOSE(CONTROL!$C$28, 0.0003, 0)</f>
        <v>14.0664</v>
      </c>
      <c r="C101" s="4">
        <f>13.7028 * CHOOSE(CONTROL!$C$9, $C$13, 100%, $E$13) + CHOOSE(CONTROL!$C$28, 0.0003, 0)</f>
        <v>13.703099999999999</v>
      </c>
      <c r="D101" s="4">
        <f>20.9947 * CHOOSE(CONTROL!$C$9, $C$13, 100%, $E$13) + CHOOSE(CONTROL!$C$28, 0, 0)</f>
        <v>20.994700000000002</v>
      </c>
      <c r="E101" s="4">
        <f>89.7194686098829 * CHOOSE(CONTROL!$C$9, $C$13, 100%, $E$13) + CHOOSE(CONTROL!$C$28, 0, 0)</f>
        <v>89.719468609882895</v>
      </c>
    </row>
    <row r="102" spans="1:5" ht="15">
      <c r="A102" s="13">
        <v>44593</v>
      </c>
      <c r="B102" s="4">
        <f>14.3817 * CHOOSE(CONTROL!$C$9, $C$13, 100%, $E$13) + CHOOSE(CONTROL!$C$28, 0.0003, 0)</f>
        <v>14.382</v>
      </c>
      <c r="C102" s="4">
        <f>14.0184 * CHOOSE(CONTROL!$C$9, $C$13, 100%, $E$13) + CHOOSE(CONTROL!$C$28, 0.0003, 0)</f>
        <v>14.018699999999999</v>
      </c>
      <c r="D102" s="4">
        <f>21.6704 * CHOOSE(CONTROL!$C$9, $C$13, 100%, $E$13) + CHOOSE(CONTROL!$C$28, 0, 0)</f>
        <v>21.670400000000001</v>
      </c>
      <c r="E102" s="4">
        <f>91.8497623709824 * CHOOSE(CONTROL!$C$9, $C$13, 100%, $E$13) + CHOOSE(CONTROL!$C$28, 0, 0)</f>
        <v>91.849762370982404</v>
      </c>
    </row>
    <row r="103" spans="1:5" ht="15">
      <c r="A103" s="13">
        <v>44621</v>
      </c>
      <c r="B103" s="4">
        <f>15.2105 * CHOOSE(CONTROL!$C$9, $C$13, 100%, $E$13) + CHOOSE(CONTROL!$C$28, 0.0003, 0)</f>
        <v>15.210799999999999</v>
      </c>
      <c r="C103" s="4">
        <f>14.8473 * CHOOSE(CONTROL!$C$9, $C$13, 100%, $E$13) + CHOOSE(CONTROL!$C$28, 0.0003, 0)</f>
        <v>14.8476</v>
      </c>
      <c r="D103" s="4">
        <f>22.728 * CHOOSE(CONTROL!$C$9, $C$13, 100%, $E$13) + CHOOSE(CONTROL!$C$28, 0, 0)</f>
        <v>22.728000000000002</v>
      </c>
      <c r="E103" s="4">
        <f>97.4440269983156 * CHOOSE(CONTROL!$C$9, $C$13, 100%, $E$13) + CHOOSE(CONTROL!$C$28, 0, 0)</f>
        <v>97.444026998315593</v>
      </c>
    </row>
    <row r="104" spans="1:5" ht="15">
      <c r="A104" s="13">
        <v>44652</v>
      </c>
      <c r="B104" s="4">
        <f>15.7994 * CHOOSE(CONTROL!$C$9, $C$13, 100%, $E$13) + CHOOSE(CONTROL!$C$28, 0.0003, 0)</f>
        <v>15.7997</v>
      </c>
      <c r="C104" s="4">
        <f>15.4362 * CHOOSE(CONTROL!$C$9, $C$13, 100%, $E$13) + CHOOSE(CONTROL!$C$28, 0.0003, 0)</f>
        <v>15.436499999999999</v>
      </c>
      <c r="D104" s="4">
        <f>23.3372 * CHOOSE(CONTROL!$C$9, $C$13, 100%, $E$13) + CHOOSE(CONTROL!$C$28, 0, 0)</f>
        <v>23.337199999999999</v>
      </c>
      <c r="E104" s="4">
        <f>101.418826569414 * CHOOSE(CONTROL!$C$9, $C$13, 100%, $E$13) + CHOOSE(CONTROL!$C$28, 0, 0)</f>
        <v>101.41882656941399</v>
      </c>
    </row>
    <row r="105" spans="1:5" ht="15">
      <c r="A105" s="13">
        <v>44682</v>
      </c>
      <c r="B105" s="4">
        <f>16.1593 * CHOOSE(CONTROL!$C$9, $C$13, 100%, $E$13) + CHOOSE(CONTROL!$C$28, 0.0136, 0)</f>
        <v>16.172900000000002</v>
      </c>
      <c r="C105" s="4">
        <f>15.796 * CHOOSE(CONTROL!$C$9, $C$13, 100%, $E$13) + CHOOSE(CONTROL!$C$28, 0.0136, 0)</f>
        <v>15.8096</v>
      </c>
      <c r="D105" s="4">
        <f>23.0965 * CHOOSE(CONTROL!$C$9, $C$13, 100%, $E$13) + CHOOSE(CONTROL!$C$28, 0, 0)</f>
        <v>23.096499999999999</v>
      </c>
      <c r="E105" s="4">
        <f>103.847333844705 * CHOOSE(CONTROL!$C$9, $C$13, 100%, $E$13) + CHOOSE(CONTROL!$C$28, 0, 0)</f>
        <v>103.84733384470501</v>
      </c>
    </row>
    <row r="106" spans="1:5" ht="15">
      <c r="A106" s="13">
        <v>44713</v>
      </c>
      <c r="B106" s="4">
        <f>16.2079 * CHOOSE(CONTROL!$C$9, $C$13, 100%, $E$13) + CHOOSE(CONTROL!$C$28, 0.0136, 0)</f>
        <v>16.221499999999999</v>
      </c>
      <c r="C106" s="4">
        <f>15.8447 * CHOOSE(CONTROL!$C$9, $C$13, 100%, $E$13) + CHOOSE(CONTROL!$C$28, 0.0136, 0)</f>
        <v>15.8583</v>
      </c>
      <c r="D106" s="4">
        <f>23.2926 * CHOOSE(CONTROL!$C$9, $C$13, 100%, $E$13) + CHOOSE(CONTROL!$C$28, 0, 0)</f>
        <v>23.2926</v>
      </c>
      <c r="E106" s="4">
        <f>104.175920957564 * CHOOSE(CONTROL!$C$9, $C$13, 100%, $E$13) + CHOOSE(CONTROL!$C$28, 0, 0)</f>
        <v>104.175920957564</v>
      </c>
    </row>
    <row r="107" spans="1:5" ht="15">
      <c r="A107" s="13">
        <v>44743</v>
      </c>
      <c r="B107" s="4">
        <f>16.203 * CHOOSE(CONTROL!$C$9, $C$13, 100%, $E$13) + CHOOSE(CONTROL!$C$28, 0.0136, 0)</f>
        <v>16.2166</v>
      </c>
      <c r="C107" s="4">
        <f>15.8397 * CHOOSE(CONTROL!$C$9, $C$13, 100%, $E$13) + CHOOSE(CONTROL!$C$28, 0.0136, 0)</f>
        <v>15.853300000000001</v>
      </c>
      <c r="D107" s="4">
        <f>23.6463 * CHOOSE(CONTROL!$C$9, $C$13, 100%, $E$13) + CHOOSE(CONTROL!$C$28, 0, 0)</f>
        <v>23.6463</v>
      </c>
      <c r="E107" s="4">
        <f>104.142786122654 * CHOOSE(CONTROL!$C$9, $C$13, 100%, $E$13) + CHOOSE(CONTROL!$C$28, 0, 0)</f>
        <v>104.142786122654</v>
      </c>
    </row>
    <row r="108" spans="1:5" ht="15">
      <c r="A108" s="13">
        <v>44774</v>
      </c>
      <c r="B108" s="4">
        <f>16.5724 * CHOOSE(CONTROL!$C$9, $C$13, 100%, $E$13) + CHOOSE(CONTROL!$C$28, 0.0136, 0)</f>
        <v>16.585999999999999</v>
      </c>
      <c r="C108" s="4">
        <f>16.2092 * CHOOSE(CONTROL!$C$9, $C$13, 100%, $E$13) + CHOOSE(CONTROL!$C$28, 0.0136, 0)</f>
        <v>16.222799999999999</v>
      </c>
      <c r="D108" s="4">
        <f>23.4127 * CHOOSE(CONTROL!$C$9, $C$13, 100%, $E$13) + CHOOSE(CONTROL!$C$28, 0, 0)</f>
        <v>23.412700000000001</v>
      </c>
      <c r="E108" s="4">
        <f>106.636182449644 * CHOOSE(CONTROL!$C$9, $C$13, 100%, $E$13) + CHOOSE(CONTROL!$C$28, 0, 0)</f>
        <v>106.636182449644</v>
      </c>
    </row>
    <row r="109" spans="1:5" ht="15">
      <c r="A109" s="13">
        <v>44805</v>
      </c>
      <c r="B109" s="4">
        <f>15.9428 * CHOOSE(CONTROL!$C$9, $C$13, 100%, $E$13) + CHOOSE(CONTROL!$C$28, 0.0136, 0)</f>
        <v>15.9564</v>
      </c>
      <c r="C109" s="4">
        <f>15.5796 * CHOOSE(CONTROL!$C$9, $C$13, 100%, $E$13) + CHOOSE(CONTROL!$C$28, 0.0136, 0)</f>
        <v>15.5932</v>
      </c>
      <c r="D109" s="4">
        <f>23.3023 * CHOOSE(CONTROL!$C$9, $C$13, 100%, $E$13) + CHOOSE(CONTROL!$C$28, 0, 0)</f>
        <v>23.302299999999999</v>
      </c>
      <c r="E109" s="4">
        <f>102.386639872415 * CHOOSE(CONTROL!$C$9, $C$13, 100%, $E$13) + CHOOSE(CONTROL!$C$28, 0, 0)</f>
        <v>102.386639872415</v>
      </c>
    </row>
    <row r="110" spans="1:5" ht="15">
      <c r="A110" s="13">
        <v>44835</v>
      </c>
      <c r="B110" s="4">
        <f>15.4388 * CHOOSE(CONTROL!$C$9, $C$13, 100%, $E$13) + CHOOSE(CONTROL!$C$28, 0.0003, 0)</f>
        <v>15.4391</v>
      </c>
      <c r="C110" s="4">
        <f>15.0755 * CHOOSE(CONTROL!$C$9, $C$13, 100%, $E$13) + CHOOSE(CONTROL!$C$28, 0.0003, 0)</f>
        <v>15.075799999999999</v>
      </c>
      <c r="D110" s="4">
        <f>23.0067 * CHOOSE(CONTROL!$C$9, $C$13, 100%, $E$13) + CHOOSE(CONTROL!$C$28, 0, 0)</f>
        <v>23.006699999999999</v>
      </c>
      <c r="E110" s="4">
        <f>98.9847968216383 * CHOOSE(CONTROL!$C$9, $C$13, 100%, $E$13) + CHOOSE(CONTROL!$C$28, 0, 0)</f>
        <v>98.984796821638298</v>
      </c>
    </row>
    <row r="111" spans="1:5" ht="15">
      <c r="A111" s="13">
        <v>44866</v>
      </c>
      <c r="B111" s="4">
        <f>15.1142 * CHOOSE(CONTROL!$C$9, $C$13, 100%, $E$13) + CHOOSE(CONTROL!$C$28, 0.0003, 0)</f>
        <v>15.1145</v>
      </c>
      <c r="C111" s="4">
        <f>14.7509 * CHOOSE(CONTROL!$C$9, $C$13, 100%, $E$13) + CHOOSE(CONTROL!$C$28, 0.0003, 0)</f>
        <v>14.751199999999999</v>
      </c>
      <c r="D111" s="4">
        <f>22.9051 * CHOOSE(CONTROL!$C$9, $C$13, 100%, $E$13) + CHOOSE(CONTROL!$C$28, 0, 0)</f>
        <v>22.905100000000001</v>
      </c>
      <c r="E111" s="4">
        <f>96.7937558632035 * CHOOSE(CONTROL!$C$9, $C$13, 100%, $E$13) + CHOOSE(CONTROL!$C$28, 0, 0)</f>
        <v>96.793755863203501</v>
      </c>
    </row>
    <row r="112" spans="1:5" ht="15">
      <c r="A112" s="13">
        <v>44896</v>
      </c>
      <c r="B112" s="4">
        <f>14.8896 * CHOOSE(CONTROL!$C$9, $C$13, 100%, $E$13) + CHOOSE(CONTROL!$C$28, 0.0003, 0)</f>
        <v>14.889899999999999</v>
      </c>
      <c r="C112" s="4">
        <f>14.5263 * CHOOSE(CONTROL!$C$9, $C$13, 100%, $E$13) + CHOOSE(CONTROL!$C$28, 0.0003, 0)</f>
        <v>14.5266</v>
      </c>
      <c r="D112" s="4">
        <f>22.157 * CHOOSE(CONTROL!$C$9, $C$13, 100%, $E$13) + CHOOSE(CONTROL!$C$28, 0, 0)</f>
        <v>22.157</v>
      </c>
      <c r="E112" s="4">
        <f>95.2778371660634 * CHOOSE(CONTROL!$C$9, $C$13, 100%, $E$13) + CHOOSE(CONTROL!$C$28, 0, 0)</f>
        <v>95.277837166063406</v>
      </c>
    </row>
    <row r="113" spans="1:5" ht="15">
      <c r="A113" s="13">
        <v>44927</v>
      </c>
      <c r="B113" s="4">
        <f>14.7924 * CHOOSE(CONTROL!$C$9, $C$13, 100%, $E$13) + CHOOSE(CONTROL!$C$28, 0.0003, 0)</f>
        <v>14.7927</v>
      </c>
      <c r="C113" s="4">
        <f>14.4291 * CHOOSE(CONTROL!$C$9, $C$13, 100%, $E$13) + CHOOSE(CONTROL!$C$28, 0.0003, 0)</f>
        <v>14.429399999999999</v>
      </c>
      <c r="D113" s="4">
        <f>21.9492 * CHOOSE(CONTROL!$C$9, $C$13, 100%, $E$13) + CHOOSE(CONTROL!$C$28, 0, 0)</f>
        <v>21.949200000000001</v>
      </c>
      <c r="E113" s="4">
        <f>94.0260553347621 * CHOOSE(CONTROL!$C$9, $C$13, 100%, $E$13) + CHOOSE(CONTROL!$C$28, 0, 0)</f>
        <v>94.026055334762106</v>
      </c>
    </row>
    <row r="114" spans="1:5" ht="15">
      <c r="A114" s="13">
        <v>44958</v>
      </c>
      <c r="B114" s="4">
        <f>15.1252 * CHOOSE(CONTROL!$C$9, $C$13, 100%, $E$13) + CHOOSE(CONTROL!$C$28, 0.0003, 0)</f>
        <v>15.125499999999999</v>
      </c>
      <c r="C114" s="4">
        <f>14.762 * CHOOSE(CONTROL!$C$9, $C$13, 100%, $E$13) + CHOOSE(CONTROL!$C$28, 0.0003, 0)</f>
        <v>14.7623</v>
      </c>
      <c r="D114" s="4">
        <f>22.6585 * CHOOSE(CONTROL!$C$9, $C$13, 100%, $E$13) + CHOOSE(CONTROL!$C$28, 0, 0)</f>
        <v>22.6585</v>
      </c>
      <c r="E114" s="4">
        <f>96.2586044365785 * CHOOSE(CONTROL!$C$9, $C$13, 100%, $E$13) + CHOOSE(CONTROL!$C$28, 0, 0)</f>
        <v>96.258604436578494</v>
      </c>
    </row>
    <row r="115" spans="1:5" ht="15">
      <c r="A115" s="13">
        <v>44986</v>
      </c>
      <c r="B115" s="4">
        <f>15.9994 * CHOOSE(CONTROL!$C$9, $C$13, 100%, $E$13) + CHOOSE(CONTROL!$C$28, 0.0003, 0)</f>
        <v>15.999699999999999</v>
      </c>
      <c r="C115" s="4">
        <f>15.6361 * CHOOSE(CONTROL!$C$9, $C$13, 100%, $E$13) + CHOOSE(CONTROL!$C$28, 0.0003, 0)</f>
        <v>15.6364</v>
      </c>
      <c r="D115" s="4">
        <f>23.7688 * CHOOSE(CONTROL!$C$9, $C$13, 100%, $E$13) + CHOOSE(CONTROL!$C$28, 0, 0)</f>
        <v>23.768799999999999</v>
      </c>
      <c r="E115" s="4">
        <f>102.121397022813 * CHOOSE(CONTROL!$C$9, $C$13, 100%, $E$13) + CHOOSE(CONTROL!$C$28, 0, 0)</f>
        <v>102.121397022813</v>
      </c>
    </row>
    <row r="116" spans="1:5" ht="15">
      <c r="A116" s="13">
        <v>45017</v>
      </c>
      <c r="B116" s="4">
        <f>16.6204 * CHOOSE(CONTROL!$C$9, $C$13, 100%, $E$13) + CHOOSE(CONTROL!$C$28, 0.0003, 0)</f>
        <v>16.620699999999999</v>
      </c>
      <c r="C116" s="4">
        <f>16.2571 * CHOOSE(CONTROL!$C$9, $C$13, 100%, $E$13) + CHOOSE(CONTROL!$C$28, 0.0003, 0)</f>
        <v>16.257400000000001</v>
      </c>
      <c r="D116" s="4">
        <f>24.4085 * CHOOSE(CONTROL!$C$9, $C$13, 100%, $E$13) + CHOOSE(CONTROL!$C$28, 0, 0)</f>
        <v>24.4085</v>
      </c>
      <c r="E116" s="4">
        <f>106.286989287317 * CHOOSE(CONTROL!$C$9, $C$13, 100%, $E$13) + CHOOSE(CONTROL!$C$28, 0, 0)</f>
        <v>106.286989287317</v>
      </c>
    </row>
    <row r="117" spans="1:5" ht="15">
      <c r="A117" s="13">
        <v>45047</v>
      </c>
      <c r="B117" s="4">
        <f>16.9999 * CHOOSE(CONTROL!$C$9, $C$13, 100%, $E$13) + CHOOSE(CONTROL!$C$28, 0.0136, 0)</f>
        <v>17.013500000000001</v>
      </c>
      <c r="C117" s="4">
        <f>16.6366 * CHOOSE(CONTROL!$C$9, $C$13, 100%, $E$13) + CHOOSE(CONTROL!$C$28, 0.0136, 0)</f>
        <v>16.650200000000002</v>
      </c>
      <c r="D117" s="4">
        <f>24.1557 * CHOOSE(CONTROL!$C$9, $C$13, 100%, $E$13) + CHOOSE(CONTROL!$C$28, 0, 0)</f>
        <v>24.1557</v>
      </c>
      <c r="E117" s="4">
        <f>108.832066325616 * CHOOSE(CONTROL!$C$9, $C$13, 100%, $E$13) + CHOOSE(CONTROL!$C$28, 0, 0)</f>
        <v>108.832066325616</v>
      </c>
    </row>
    <row r="118" spans="1:5" ht="15">
      <c r="A118" s="13">
        <v>45078</v>
      </c>
      <c r="B118" s="4">
        <f>17.0512 * CHOOSE(CONTROL!$C$9, $C$13, 100%, $E$13) + CHOOSE(CONTROL!$C$28, 0.0136, 0)</f>
        <v>17.064800000000002</v>
      </c>
      <c r="C118" s="4">
        <f>16.688 * CHOOSE(CONTROL!$C$9, $C$13, 100%, $E$13) + CHOOSE(CONTROL!$C$28, 0.0136, 0)</f>
        <v>16.701599999999999</v>
      </c>
      <c r="D118" s="4">
        <f>24.3616 * CHOOSE(CONTROL!$C$9, $C$13, 100%, $E$13) + CHOOSE(CONTROL!$C$28, 0, 0)</f>
        <v>24.361599999999999</v>
      </c>
      <c r="E118" s="4">
        <f>109.176425811184 * CHOOSE(CONTROL!$C$9, $C$13, 100%, $E$13) + CHOOSE(CONTROL!$C$28, 0, 0)</f>
        <v>109.176425811184</v>
      </c>
    </row>
    <row r="119" spans="1:5" ht="15">
      <c r="A119" s="13">
        <v>45108</v>
      </c>
      <c r="B119" s="4">
        <f>17.0461 * CHOOSE(CONTROL!$C$9, $C$13, 100%, $E$13) + CHOOSE(CONTROL!$C$28, 0.0136, 0)</f>
        <v>17.059699999999999</v>
      </c>
      <c r="C119" s="4">
        <f>16.6828 * CHOOSE(CONTROL!$C$9, $C$13, 100%, $E$13) + CHOOSE(CONTROL!$C$28, 0.0136, 0)</f>
        <v>16.696400000000001</v>
      </c>
      <c r="D119" s="4">
        <f>24.733 * CHOOSE(CONTROL!$C$9, $C$13, 100%, $E$13) + CHOOSE(CONTROL!$C$28, 0, 0)</f>
        <v>24.733000000000001</v>
      </c>
      <c r="E119" s="4">
        <f>109.141700484908 * CHOOSE(CONTROL!$C$9, $C$13, 100%, $E$13) + CHOOSE(CONTROL!$C$28, 0, 0)</f>
        <v>109.141700484908</v>
      </c>
    </row>
    <row r="120" spans="1:5" ht="15">
      <c r="A120" s="13">
        <v>45139</v>
      </c>
      <c r="B120" s="4">
        <f>17.4357 * CHOOSE(CONTROL!$C$9, $C$13, 100%, $E$13) + CHOOSE(CONTROL!$C$28, 0.0136, 0)</f>
        <v>17.449300000000001</v>
      </c>
      <c r="C120" s="4">
        <f>17.0724 * CHOOSE(CONTROL!$C$9, $C$13, 100%, $E$13) + CHOOSE(CONTROL!$C$28, 0.0136, 0)</f>
        <v>17.085999999999999</v>
      </c>
      <c r="D120" s="4">
        <f>24.4877 * CHOOSE(CONTROL!$C$9, $C$13, 100%, $E$13) + CHOOSE(CONTROL!$C$28, 0, 0)</f>
        <v>24.4877</v>
      </c>
      <c r="E120" s="4">
        <f>111.754781287164 * CHOOSE(CONTROL!$C$9, $C$13, 100%, $E$13) + CHOOSE(CONTROL!$C$28, 0, 0)</f>
        <v>111.75478128716399</v>
      </c>
    </row>
    <row r="121" spans="1:5" ht="15">
      <c r="A121" s="13">
        <v>45170</v>
      </c>
      <c r="B121" s="4">
        <f>16.7717 * CHOOSE(CONTROL!$C$9, $C$13, 100%, $E$13) + CHOOSE(CONTROL!$C$28, 0.0136, 0)</f>
        <v>16.785299999999999</v>
      </c>
      <c r="C121" s="4">
        <f>16.4084 * CHOOSE(CONTROL!$C$9, $C$13, 100%, $E$13) + CHOOSE(CONTROL!$C$28, 0.0136, 0)</f>
        <v>16.422000000000001</v>
      </c>
      <c r="D121" s="4">
        <f>24.3718 * CHOOSE(CONTROL!$C$9, $C$13, 100%, $E$13) + CHOOSE(CONTROL!$C$28, 0, 0)</f>
        <v>24.3718</v>
      </c>
      <c r="E121" s="4">
        <f>107.30125819229 * CHOOSE(CONTROL!$C$9, $C$13, 100%, $E$13) + CHOOSE(CONTROL!$C$28, 0, 0)</f>
        <v>107.30125819229001</v>
      </c>
    </row>
    <row r="122" spans="1:5" ht="15">
      <c r="A122" s="13">
        <v>45200</v>
      </c>
      <c r="B122" s="4">
        <f>16.2401 * CHOOSE(CONTROL!$C$9, $C$13, 100%, $E$13) + CHOOSE(CONTROL!$C$28, 0.0003, 0)</f>
        <v>16.240400000000001</v>
      </c>
      <c r="C122" s="4">
        <f>15.8768 * CHOOSE(CONTROL!$C$9, $C$13, 100%, $E$13) + CHOOSE(CONTROL!$C$28, 0.0003, 0)</f>
        <v>15.877099999999999</v>
      </c>
      <c r="D122" s="4">
        <f>24.0615 * CHOOSE(CONTROL!$C$9, $C$13, 100%, $E$13) + CHOOSE(CONTROL!$C$28, 0, 0)</f>
        <v>24.061499999999999</v>
      </c>
      <c r="E122" s="4">
        <f>103.736124694639 * CHOOSE(CONTROL!$C$9, $C$13, 100%, $E$13) + CHOOSE(CONTROL!$C$28, 0, 0)</f>
        <v>103.736124694639</v>
      </c>
    </row>
    <row r="123" spans="1:5" ht="15">
      <c r="A123" s="13">
        <v>45231</v>
      </c>
      <c r="B123" s="4">
        <f>15.8977 * CHOOSE(CONTROL!$C$9, $C$13, 100%, $E$13) + CHOOSE(CONTROL!$C$28, 0.0003, 0)</f>
        <v>15.898</v>
      </c>
      <c r="C123" s="4">
        <f>15.5345 * CHOOSE(CONTROL!$C$9, $C$13, 100%, $E$13) + CHOOSE(CONTROL!$C$28, 0.0003, 0)</f>
        <v>15.534799999999999</v>
      </c>
      <c r="D123" s="4">
        <f>23.9548 * CHOOSE(CONTROL!$C$9, $C$13, 100%, $E$13) + CHOOSE(CONTROL!$C$28, 0, 0)</f>
        <v>23.954799999999999</v>
      </c>
      <c r="E123" s="4">
        <f>101.43991249465 * CHOOSE(CONTROL!$C$9, $C$13, 100%, $E$13) + CHOOSE(CONTROL!$C$28, 0, 0)</f>
        <v>101.43991249465</v>
      </c>
    </row>
    <row r="124" spans="1:5" ht="15">
      <c r="A124" s="13">
        <v>45261</v>
      </c>
      <c r="B124" s="4">
        <f>15.6609 * CHOOSE(CONTROL!$C$9, $C$13, 100%, $E$13) + CHOOSE(CONTROL!$C$28, 0.0003, 0)</f>
        <v>15.661199999999999</v>
      </c>
      <c r="C124" s="4">
        <f>15.2976 * CHOOSE(CONTROL!$C$9, $C$13, 100%, $E$13) + CHOOSE(CONTROL!$C$28, 0.0003, 0)</f>
        <v>15.297899999999998</v>
      </c>
      <c r="D124" s="4">
        <f>23.1694 * CHOOSE(CONTROL!$C$9, $C$13, 100%, $E$13) + CHOOSE(CONTROL!$C$28, 0, 0)</f>
        <v>23.1694</v>
      </c>
      <c r="E124" s="4">
        <f>99.8512288175313 * CHOOSE(CONTROL!$C$9, $C$13, 100%, $E$13) + CHOOSE(CONTROL!$C$28, 0, 0)</f>
        <v>99.851228817531293</v>
      </c>
    </row>
    <row r="125" spans="1:5" ht="15">
      <c r="A125" s="13">
        <v>45292</v>
      </c>
      <c r="B125" s="4">
        <f>15.545 * CHOOSE(CONTROL!$C$9, $C$13, 100%, $E$13) + CHOOSE(CONTROL!$C$28, 0.0003, 0)</f>
        <v>15.545299999999999</v>
      </c>
      <c r="C125" s="4">
        <f>15.1817 * CHOOSE(CONTROL!$C$9, $C$13, 100%, $E$13) + CHOOSE(CONTROL!$C$28, 0.0003, 0)</f>
        <v>15.181999999999999</v>
      </c>
      <c r="D125" s="4">
        <f>23.2042 * CHOOSE(CONTROL!$C$9, $C$13, 100%, $E$13) + CHOOSE(CONTROL!$C$28, 0, 0)</f>
        <v>23.2042</v>
      </c>
      <c r="E125" s="4">
        <f>98.3322701573919 * CHOOSE(CONTROL!$C$9, $C$13, 100%, $E$13) + CHOOSE(CONTROL!$C$28, 0, 0)</f>
        <v>98.332270157391903</v>
      </c>
    </row>
    <row r="126" spans="1:5" ht="15">
      <c r="A126" s="13">
        <v>45323</v>
      </c>
      <c r="B126" s="4">
        <f>15.8957 * CHOOSE(CONTROL!$C$9, $C$13, 100%, $E$13) + CHOOSE(CONTROL!$C$28, 0.0003, 0)</f>
        <v>15.895999999999999</v>
      </c>
      <c r="C126" s="4">
        <f>15.5324 * CHOOSE(CONTROL!$C$9, $C$13, 100%, $E$13) + CHOOSE(CONTROL!$C$28, 0.0003, 0)</f>
        <v>15.5327</v>
      </c>
      <c r="D126" s="4">
        <f>23.9579 * CHOOSE(CONTROL!$C$9, $C$13, 100%, $E$13) + CHOOSE(CONTROL!$C$28, 0, 0)</f>
        <v>23.957899999999999</v>
      </c>
      <c r="E126" s="4">
        <f>100.6670657695 * CHOOSE(CONTROL!$C$9, $C$13, 100%, $E$13) + CHOOSE(CONTROL!$C$28, 0, 0)</f>
        <v>100.6670657695</v>
      </c>
    </row>
    <row r="127" spans="1:5" ht="15">
      <c r="A127" s="13">
        <v>45352</v>
      </c>
      <c r="B127" s="4">
        <f>16.8168 * CHOOSE(CONTROL!$C$9, $C$13, 100%, $E$13) + CHOOSE(CONTROL!$C$28, 0.0003, 0)</f>
        <v>16.8171</v>
      </c>
      <c r="C127" s="4">
        <f>16.4535 * CHOOSE(CONTROL!$C$9, $C$13, 100%, $E$13) + CHOOSE(CONTROL!$C$28, 0.0003, 0)</f>
        <v>16.453799999999998</v>
      </c>
      <c r="D127" s="4">
        <f>25.1376 * CHOOSE(CONTROL!$C$9, $C$13, 100%, $E$13) + CHOOSE(CONTROL!$C$28, 0, 0)</f>
        <v>25.137599999999999</v>
      </c>
      <c r="E127" s="4">
        <f>106.798363125471 * CHOOSE(CONTROL!$C$9, $C$13, 100%, $E$13) + CHOOSE(CONTROL!$C$28, 0, 0)</f>
        <v>106.798363125471</v>
      </c>
    </row>
    <row r="128" spans="1:5" ht="15">
      <c r="A128" s="13">
        <v>45383</v>
      </c>
      <c r="B128" s="4">
        <f>17.4712 * CHOOSE(CONTROL!$C$9, $C$13, 100%, $E$13) + CHOOSE(CONTROL!$C$28, 0.0003, 0)</f>
        <v>17.471499999999999</v>
      </c>
      <c r="C128" s="4">
        <f>17.1079 * CHOOSE(CONTROL!$C$9, $C$13, 100%, $E$13) + CHOOSE(CONTROL!$C$28, 0.0003, 0)</f>
        <v>17.1082</v>
      </c>
      <c r="D128" s="4">
        <f>25.8171 * CHOOSE(CONTROL!$C$9, $C$13, 100%, $E$13) + CHOOSE(CONTROL!$C$28, 0, 0)</f>
        <v>25.8171</v>
      </c>
      <c r="E128" s="4">
        <f>111.154731607169 * CHOOSE(CONTROL!$C$9, $C$13, 100%, $E$13) + CHOOSE(CONTROL!$C$28, 0, 0)</f>
        <v>111.154731607169</v>
      </c>
    </row>
    <row r="129" spans="1:5" ht="15">
      <c r="A129" s="13">
        <v>45413</v>
      </c>
      <c r="B129" s="4">
        <f>17.871 * CHOOSE(CONTROL!$C$9, $C$13, 100%, $E$13) + CHOOSE(CONTROL!$C$28, 0.0136, 0)</f>
        <v>17.884599999999999</v>
      </c>
      <c r="C129" s="4">
        <f>17.5077 * CHOOSE(CONTROL!$C$9, $C$13, 100%, $E$13) + CHOOSE(CONTROL!$C$28, 0.0136, 0)</f>
        <v>17.5213</v>
      </c>
      <c r="D129" s="4">
        <f>25.5486 * CHOOSE(CONTROL!$C$9, $C$13, 100%, $E$13) + CHOOSE(CONTROL!$C$28, 0, 0)</f>
        <v>25.5486</v>
      </c>
      <c r="E129" s="4">
        <f>113.816368341905 * CHOOSE(CONTROL!$C$9, $C$13, 100%, $E$13) + CHOOSE(CONTROL!$C$28, 0, 0)</f>
        <v>113.816368341905</v>
      </c>
    </row>
    <row r="130" spans="1:5" ht="15">
      <c r="A130" s="13">
        <v>45444</v>
      </c>
      <c r="B130" s="4">
        <f>17.9251 * CHOOSE(CONTROL!$C$9, $C$13, 100%, $E$13) + CHOOSE(CONTROL!$C$28, 0.0136, 0)</f>
        <v>17.938700000000001</v>
      </c>
      <c r="C130" s="4">
        <f>17.5618 * CHOOSE(CONTROL!$C$9, $C$13, 100%, $E$13) + CHOOSE(CONTROL!$C$28, 0.0136, 0)</f>
        <v>17.575400000000002</v>
      </c>
      <c r="D130" s="4">
        <f>25.7673 * CHOOSE(CONTROL!$C$9, $C$13, 100%, $E$13) + CHOOSE(CONTROL!$C$28, 0, 0)</f>
        <v>25.767299999999999</v>
      </c>
      <c r="E130" s="4">
        <f>114.176498838134 * CHOOSE(CONTROL!$C$9, $C$13, 100%, $E$13) + CHOOSE(CONTROL!$C$28, 0, 0)</f>
        <v>114.17649883813399</v>
      </c>
    </row>
    <row r="131" spans="1:5" ht="15">
      <c r="A131" s="13">
        <v>45474</v>
      </c>
      <c r="B131" s="4">
        <f>17.9197 * CHOOSE(CONTROL!$C$9, $C$13, 100%, $E$13) + CHOOSE(CONTROL!$C$28, 0.0136, 0)</f>
        <v>17.933299999999999</v>
      </c>
      <c r="C131" s="4">
        <f>17.5564 * CHOOSE(CONTROL!$C$9, $C$13, 100%, $E$13) + CHOOSE(CONTROL!$C$28, 0.0136, 0)</f>
        <v>17.57</v>
      </c>
      <c r="D131" s="4">
        <f>26.1619 * CHOOSE(CONTROL!$C$9, $C$13, 100%, $E$13) + CHOOSE(CONTROL!$C$28, 0, 0)</f>
        <v>26.161899999999999</v>
      </c>
      <c r="E131" s="4">
        <f>114.140183157842 * CHOOSE(CONTROL!$C$9, $C$13, 100%, $E$13) + CHOOSE(CONTROL!$C$28, 0, 0)</f>
        <v>114.140183157842</v>
      </c>
    </row>
    <row r="132" spans="1:5" ht="15">
      <c r="A132" s="13">
        <v>45505</v>
      </c>
      <c r="B132" s="4">
        <f>18.3302 * CHOOSE(CONTROL!$C$9, $C$13, 100%, $E$13) + CHOOSE(CONTROL!$C$28, 0.0136, 0)</f>
        <v>18.343800000000002</v>
      </c>
      <c r="C132" s="4">
        <f>17.9669 * CHOOSE(CONTROL!$C$9, $C$13, 100%, $E$13) + CHOOSE(CONTROL!$C$28, 0.0136, 0)</f>
        <v>17.980499999999999</v>
      </c>
      <c r="D132" s="4">
        <f>25.9013 * CHOOSE(CONTROL!$C$9, $C$13, 100%, $E$13) + CHOOSE(CONTROL!$C$28, 0, 0)</f>
        <v>25.901299999999999</v>
      </c>
      <c r="E132" s="4">
        <f>116.872938099817 * CHOOSE(CONTROL!$C$9, $C$13, 100%, $E$13) + CHOOSE(CONTROL!$C$28, 0, 0)</f>
        <v>116.87293809981701</v>
      </c>
    </row>
    <row r="133" spans="1:5" ht="15">
      <c r="A133" s="13">
        <v>45536</v>
      </c>
      <c r="B133" s="4">
        <f>17.6305 * CHOOSE(CONTROL!$C$9, $C$13, 100%, $E$13) + CHOOSE(CONTROL!$C$28, 0.0136, 0)</f>
        <v>17.644100000000002</v>
      </c>
      <c r="C133" s="4">
        <f>17.2672 * CHOOSE(CONTROL!$C$9, $C$13, 100%, $E$13) + CHOOSE(CONTROL!$C$28, 0.0136, 0)</f>
        <v>17.280799999999999</v>
      </c>
      <c r="D133" s="4">
        <f>25.7782 * CHOOSE(CONTROL!$C$9, $C$13, 100%, $E$13) + CHOOSE(CONTROL!$C$28, 0, 0)</f>
        <v>25.778199999999998</v>
      </c>
      <c r="E133" s="4">
        <f>112.215452102365 * CHOOSE(CONTROL!$C$9, $C$13, 100%, $E$13) + CHOOSE(CONTROL!$C$28, 0, 0)</f>
        <v>112.21545210236501</v>
      </c>
    </row>
    <row r="134" spans="1:5" ht="15">
      <c r="A134" s="13">
        <v>45566</v>
      </c>
      <c r="B134" s="4">
        <f>17.0704 * CHOOSE(CONTROL!$C$9, $C$13, 100%, $E$13) + CHOOSE(CONTROL!$C$28, 0.0003, 0)</f>
        <v>17.070699999999999</v>
      </c>
      <c r="C134" s="4">
        <f>16.7072 * CHOOSE(CONTROL!$C$9, $C$13, 100%, $E$13) + CHOOSE(CONTROL!$C$28, 0.0003, 0)</f>
        <v>16.7075</v>
      </c>
      <c r="D134" s="4">
        <f>25.4485 * CHOOSE(CONTROL!$C$9, $C$13, 100%, $E$13) + CHOOSE(CONTROL!$C$28, 0, 0)</f>
        <v>25.448499999999999</v>
      </c>
      <c r="E134" s="4">
        <f>108.48704225905 * CHOOSE(CONTROL!$C$9, $C$13, 100%, $E$13) + CHOOSE(CONTROL!$C$28, 0, 0)</f>
        <v>108.48704225905</v>
      </c>
    </row>
    <row r="135" spans="1:5" ht="15">
      <c r="A135" s="13">
        <v>45597</v>
      </c>
      <c r="B135" s="4">
        <f>16.7097 * CHOOSE(CONTROL!$C$9, $C$13, 100%, $E$13) + CHOOSE(CONTROL!$C$28, 0.0003, 0)</f>
        <v>16.71</v>
      </c>
      <c r="C135" s="4">
        <f>16.3464 * CHOOSE(CONTROL!$C$9, $C$13, 100%, $E$13) + CHOOSE(CONTROL!$C$28, 0.0003, 0)</f>
        <v>16.346699999999998</v>
      </c>
      <c r="D135" s="4">
        <f>25.3352 * CHOOSE(CONTROL!$C$9, $C$13, 100%, $E$13) + CHOOSE(CONTROL!$C$28, 0, 0)</f>
        <v>25.3352</v>
      </c>
      <c r="E135" s="4">
        <f>106.08566789974 * CHOOSE(CONTROL!$C$9, $C$13, 100%, $E$13) + CHOOSE(CONTROL!$C$28, 0, 0)</f>
        <v>106.08566789974</v>
      </c>
    </row>
    <row r="136" spans="1:5" ht="15">
      <c r="A136" s="13">
        <v>45627</v>
      </c>
      <c r="B136" s="4">
        <f>16.4601 * CHOOSE(CONTROL!$C$9, $C$13, 100%, $E$13) + CHOOSE(CONTROL!$C$28, 0.0003, 0)</f>
        <v>16.4604</v>
      </c>
      <c r="C136" s="4">
        <f>16.0968 * CHOOSE(CONTROL!$C$9, $C$13, 100%, $E$13) + CHOOSE(CONTROL!$C$28, 0.0003, 0)</f>
        <v>16.097100000000001</v>
      </c>
      <c r="D136" s="4">
        <f>24.5007 * CHOOSE(CONTROL!$C$9, $C$13, 100%, $E$13) + CHOOSE(CONTROL!$C$28, 0, 0)</f>
        <v>24.500699999999998</v>
      </c>
      <c r="E136" s="4">
        <f>104.42422552638 * CHOOSE(CONTROL!$C$9, $C$13, 100%, $E$13) + CHOOSE(CONTROL!$C$28, 0, 0)</f>
        <v>104.42422552638</v>
      </c>
    </row>
    <row r="137" spans="1:5" ht="15">
      <c r="A137" s="13">
        <v>45658</v>
      </c>
      <c r="B137" s="4">
        <f>16.7739 * CHOOSE(CONTROL!$C$9, $C$13, 100%, $E$13) + CHOOSE(CONTROL!$C$28, 0.0003, 0)</f>
        <v>16.7742</v>
      </c>
      <c r="C137" s="4">
        <f>16.4106 * CHOOSE(CONTROL!$C$9, $C$13, 100%, $E$13) + CHOOSE(CONTROL!$C$28, 0.0003, 0)</f>
        <v>16.410899999999998</v>
      </c>
      <c r="D137" s="4">
        <f>24.4274 * CHOOSE(CONTROL!$C$9, $C$13, 100%, $E$13) + CHOOSE(CONTROL!$C$28, 0, 0)</f>
        <v>24.427399999999999</v>
      </c>
      <c r="E137" s="4">
        <f>103.540809368942 * CHOOSE(CONTROL!$C$9, $C$13, 100%, $E$13) + CHOOSE(CONTROL!$C$28, 0, 0)</f>
        <v>103.54080936894201</v>
      </c>
    </row>
    <row r="138" spans="1:5" ht="15">
      <c r="A138" s="13">
        <v>45689</v>
      </c>
      <c r="B138" s="4">
        <f>17.1538 * CHOOSE(CONTROL!$C$9, $C$13, 100%, $E$13) + CHOOSE(CONTROL!$C$28, 0.0003, 0)</f>
        <v>17.1541</v>
      </c>
      <c r="C138" s="4">
        <f>16.7905 * CHOOSE(CONTROL!$C$9, $C$13, 100%, $E$13) + CHOOSE(CONTROL!$C$28, 0.0003, 0)</f>
        <v>16.790800000000001</v>
      </c>
      <c r="D138" s="4">
        <f>25.2242 * CHOOSE(CONTROL!$C$9, $C$13, 100%, $E$13) + CHOOSE(CONTROL!$C$28, 0, 0)</f>
        <v>25.2242</v>
      </c>
      <c r="E138" s="4">
        <f>105.999276228314 * CHOOSE(CONTROL!$C$9, $C$13, 100%, $E$13) + CHOOSE(CONTROL!$C$28, 0, 0)</f>
        <v>105.999276228314</v>
      </c>
    </row>
    <row r="139" spans="1:5" ht="15">
      <c r="A139" s="13">
        <v>45717</v>
      </c>
      <c r="B139" s="4">
        <f>18.1514 * CHOOSE(CONTROL!$C$9, $C$13, 100%, $E$13) + CHOOSE(CONTROL!$C$28, 0.0003, 0)</f>
        <v>18.151699999999998</v>
      </c>
      <c r="C139" s="4">
        <f>17.7882 * CHOOSE(CONTROL!$C$9, $C$13, 100%, $E$13) + CHOOSE(CONTROL!$C$28, 0.0003, 0)</f>
        <v>17.788499999999999</v>
      </c>
      <c r="D139" s="4">
        <f>26.4715 * CHOOSE(CONTROL!$C$9, $C$13, 100%, $E$13) + CHOOSE(CONTROL!$C$28, 0, 0)</f>
        <v>26.471499999999999</v>
      </c>
      <c r="E139" s="4">
        <f>112.455340851888 * CHOOSE(CONTROL!$C$9, $C$13, 100%, $E$13) + CHOOSE(CONTROL!$C$28, 0, 0)</f>
        <v>112.455340851888</v>
      </c>
    </row>
    <row r="140" spans="1:5" ht="15">
      <c r="A140" s="13">
        <v>45748</v>
      </c>
      <c r="B140" s="4">
        <f>18.8603 * CHOOSE(CONTROL!$C$9, $C$13, 100%, $E$13) + CHOOSE(CONTROL!$C$28, 0.0003, 0)</f>
        <v>18.860599999999998</v>
      </c>
      <c r="C140" s="4">
        <f>18.497 * CHOOSE(CONTROL!$C$9, $C$13, 100%, $E$13) + CHOOSE(CONTROL!$C$28, 0.0003, 0)</f>
        <v>18.497299999999999</v>
      </c>
      <c r="D140" s="4">
        <f>27.19 * CHOOSE(CONTROL!$C$9, $C$13, 100%, $E$13) + CHOOSE(CONTROL!$C$28, 0, 0)</f>
        <v>27.19</v>
      </c>
      <c r="E140" s="4">
        <f>117.042460805311 * CHOOSE(CONTROL!$C$9, $C$13, 100%, $E$13) + CHOOSE(CONTROL!$C$28, 0, 0)</f>
        <v>117.04246080531099</v>
      </c>
    </row>
    <row r="141" spans="1:5" ht="15">
      <c r="A141" s="13">
        <v>45778</v>
      </c>
      <c r="B141" s="4">
        <f>19.2934 * CHOOSE(CONTROL!$C$9, $C$13, 100%, $E$13) + CHOOSE(CONTROL!$C$28, 0.0136, 0)</f>
        <v>19.306999999999999</v>
      </c>
      <c r="C141" s="4">
        <f>18.9301 * CHOOSE(CONTROL!$C$9, $C$13, 100%, $E$13) + CHOOSE(CONTROL!$C$28, 0.0136, 0)</f>
        <v>18.9437</v>
      </c>
      <c r="D141" s="4">
        <f>26.9061 * CHOOSE(CONTROL!$C$9, $C$13, 100%, $E$13) + CHOOSE(CONTROL!$C$28, 0, 0)</f>
        <v>26.906099999999999</v>
      </c>
      <c r="E141" s="4">
        <f>119.845081158931 * CHOOSE(CONTROL!$C$9, $C$13, 100%, $E$13) + CHOOSE(CONTROL!$C$28, 0, 0)</f>
        <v>119.845081158931</v>
      </c>
    </row>
    <row r="142" spans="1:5" ht="15">
      <c r="A142" s="13">
        <v>45809</v>
      </c>
      <c r="B142" s="4">
        <f>19.352 * CHOOSE(CONTROL!$C$9, $C$13, 100%, $E$13) + CHOOSE(CONTROL!$C$28, 0.0136, 0)</f>
        <v>19.365600000000001</v>
      </c>
      <c r="C142" s="4">
        <f>18.9887 * CHOOSE(CONTROL!$C$9, $C$13, 100%, $E$13) + CHOOSE(CONTROL!$C$28, 0.0136, 0)</f>
        <v>19.002300000000002</v>
      </c>
      <c r="D142" s="4">
        <f>27.1373 * CHOOSE(CONTROL!$C$9, $C$13, 100%, $E$13) + CHOOSE(CONTROL!$C$28, 0, 0)</f>
        <v>27.1373</v>
      </c>
      <c r="E142" s="4">
        <f>120.224287323889 * CHOOSE(CONTROL!$C$9, $C$13, 100%, $E$13) + CHOOSE(CONTROL!$C$28, 0, 0)</f>
        <v>120.224287323889</v>
      </c>
    </row>
    <row r="143" spans="1:5" ht="15">
      <c r="A143" s="13">
        <v>45839</v>
      </c>
      <c r="B143" s="4">
        <f>19.3461 * CHOOSE(CONTROL!$C$9, $C$13, 100%, $E$13) + CHOOSE(CONTROL!$C$28, 0.0136, 0)</f>
        <v>19.3597</v>
      </c>
      <c r="C143" s="4">
        <f>18.9828 * CHOOSE(CONTROL!$C$9, $C$13, 100%, $E$13) + CHOOSE(CONTROL!$C$28, 0.0136, 0)</f>
        <v>18.996400000000001</v>
      </c>
      <c r="D143" s="4">
        <f>27.5545 * CHOOSE(CONTROL!$C$9, $C$13, 100%, $E$13) + CHOOSE(CONTROL!$C$28, 0, 0)</f>
        <v>27.554500000000001</v>
      </c>
      <c r="E143" s="4">
        <f>120.18604804675 * CHOOSE(CONTROL!$C$9, $C$13, 100%, $E$13) + CHOOSE(CONTROL!$C$28, 0, 0)</f>
        <v>120.18604804675</v>
      </c>
    </row>
    <row r="144" spans="1:5" ht="15">
      <c r="A144" s="13">
        <v>45870</v>
      </c>
      <c r="B144" s="4">
        <f>19.7907 * CHOOSE(CONTROL!$C$9, $C$13, 100%, $E$13) + CHOOSE(CONTROL!$C$28, 0.0136, 0)</f>
        <v>19.804300000000001</v>
      </c>
      <c r="C144" s="4">
        <f>19.4275 * CHOOSE(CONTROL!$C$9, $C$13, 100%, $E$13) + CHOOSE(CONTROL!$C$28, 0.0136, 0)</f>
        <v>19.441099999999999</v>
      </c>
      <c r="D144" s="4">
        <f>27.279 * CHOOSE(CONTROL!$C$9, $C$13, 100%, $E$13) + CHOOSE(CONTROL!$C$28, 0, 0)</f>
        <v>27.279</v>
      </c>
      <c r="E144" s="4">
        <f>123.063553651433 * CHOOSE(CONTROL!$C$9, $C$13, 100%, $E$13) + CHOOSE(CONTROL!$C$28, 0, 0)</f>
        <v>123.063553651433</v>
      </c>
    </row>
    <row r="145" spans="1:5" ht="15">
      <c r="A145" s="13">
        <v>45901</v>
      </c>
      <c r="B145" s="4">
        <f>19.0329 * CHOOSE(CONTROL!$C$9, $C$13, 100%, $E$13) + CHOOSE(CONTROL!$C$28, 0.0136, 0)</f>
        <v>19.046500000000002</v>
      </c>
      <c r="C145" s="4">
        <f>18.6696 * CHOOSE(CONTROL!$C$9, $C$13, 100%, $E$13) + CHOOSE(CONTROL!$C$28, 0.0136, 0)</f>
        <v>18.683199999999999</v>
      </c>
      <c r="D145" s="4">
        <f>27.1488 * CHOOSE(CONTROL!$C$9, $C$13, 100%, $E$13) + CHOOSE(CONTROL!$C$28, 0, 0)</f>
        <v>27.148800000000001</v>
      </c>
      <c r="E145" s="4">
        <f>118.159366358402 * CHOOSE(CONTROL!$C$9, $C$13, 100%, $E$13) + CHOOSE(CONTROL!$C$28, 0, 0)</f>
        <v>118.159366358402</v>
      </c>
    </row>
    <row r="146" spans="1:5" ht="15">
      <c r="A146" s="13">
        <v>45931</v>
      </c>
      <c r="B146" s="4">
        <f>18.4262 * CHOOSE(CONTROL!$C$9, $C$13, 100%, $E$13) + CHOOSE(CONTROL!$C$28, 0.0003, 0)</f>
        <v>18.426500000000001</v>
      </c>
      <c r="C146" s="4">
        <f>18.0629 * CHOOSE(CONTROL!$C$9, $C$13, 100%, $E$13) + CHOOSE(CONTROL!$C$28, 0.0003, 0)</f>
        <v>18.063199999999998</v>
      </c>
      <c r="D146" s="4">
        <f>26.8002 * CHOOSE(CONTROL!$C$9, $C$13, 100%, $E$13) + CHOOSE(CONTROL!$C$28, 0, 0)</f>
        <v>26.8002</v>
      </c>
      <c r="E146" s="4">
        <f>114.233467238835 * CHOOSE(CONTROL!$C$9, $C$13, 100%, $E$13) + CHOOSE(CONTROL!$C$28, 0, 0)</f>
        <v>114.233467238835</v>
      </c>
    </row>
    <row r="147" spans="1:5" ht="15">
      <c r="A147" s="13">
        <v>45962</v>
      </c>
      <c r="B147" s="4">
        <f>18.0355 * CHOOSE(CONTROL!$C$9, $C$13, 100%, $E$13) + CHOOSE(CONTROL!$C$28, 0.0003, 0)</f>
        <v>18.035799999999998</v>
      </c>
      <c r="C147" s="4">
        <f>17.6722 * CHOOSE(CONTROL!$C$9, $C$13, 100%, $E$13) + CHOOSE(CONTROL!$C$28, 0.0003, 0)</f>
        <v>17.672499999999999</v>
      </c>
      <c r="D147" s="4">
        <f>26.6804 * CHOOSE(CONTROL!$C$9, $C$13, 100%, $E$13) + CHOOSE(CONTROL!$C$28, 0, 0)</f>
        <v>26.680399999999999</v>
      </c>
      <c r="E147" s="4">
        <f>111.704895038042 * CHOOSE(CONTROL!$C$9, $C$13, 100%, $E$13) + CHOOSE(CONTROL!$C$28, 0, 0)</f>
        <v>111.704895038042</v>
      </c>
    </row>
    <row r="148" spans="1:5" ht="15">
      <c r="A148" s="13">
        <v>45992</v>
      </c>
      <c r="B148" s="4">
        <f>17.7651 * CHOOSE(CONTROL!$C$9, $C$13, 100%, $E$13) + CHOOSE(CONTROL!$C$28, 0.0003, 0)</f>
        <v>17.7654</v>
      </c>
      <c r="C148" s="4">
        <f>17.4018 * CHOOSE(CONTROL!$C$9, $C$13, 100%, $E$13) + CHOOSE(CONTROL!$C$28, 0.0003, 0)</f>
        <v>17.402100000000001</v>
      </c>
      <c r="D148" s="4">
        <f>25.7981 * CHOOSE(CONTROL!$C$9, $C$13, 100%, $E$13) + CHOOSE(CONTROL!$C$28, 0, 0)</f>
        <v>25.798100000000002</v>
      </c>
      <c r="E148" s="4">
        <f>109.955448108949 * CHOOSE(CONTROL!$C$9, $C$13, 100%, $E$13) + CHOOSE(CONTROL!$C$28, 0, 0)</f>
        <v>109.955448108949</v>
      </c>
    </row>
    <row r="149" spans="1:5" ht="15">
      <c r="A149" s="13">
        <v>46023</v>
      </c>
      <c r="B149" s="4">
        <f>17.2971 * CHOOSE(CONTROL!$C$9, $C$13, 100%, $E$13) + CHOOSE(CONTROL!$C$28, 0.0003, 0)</f>
        <v>17.2974</v>
      </c>
      <c r="C149" s="4">
        <f>16.9339 * CHOOSE(CONTROL!$C$9, $C$13, 100%, $E$13) + CHOOSE(CONTROL!$C$28, 0.0003, 0)</f>
        <v>16.934200000000001</v>
      </c>
      <c r="D149" s="4">
        <f>25.1138 * CHOOSE(CONTROL!$C$9, $C$13, 100%, $E$13) + CHOOSE(CONTROL!$C$28, 0, 0)</f>
        <v>25.113800000000001</v>
      </c>
      <c r="E149" s="4">
        <f>107.022544453101 * CHOOSE(CONTROL!$C$9, $C$13, 100%, $E$13) + CHOOSE(CONTROL!$C$28, 0, 0)</f>
        <v>107.02254445310101</v>
      </c>
    </row>
    <row r="150" spans="1:5" ht="15">
      <c r="A150" s="13">
        <v>46054</v>
      </c>
      <c r="B150" s="4">
        <f>17.6895 * CHOOSE(CONTROL!$C$9, $C$13, 100%, $E$13) + CHOOSE(CONTROL!$C$28, 0.0003, 0)</f>
        <v>17.689799999999998</v>
      </c>
      <c r="C150" s="4">
        <f>17.3262 * CHOOSE(CONTROL!$C$9, $C$13, 100%, $E$13) + CHOOSE(CONTROL!$C$28, 0.0003, 0)</f>
        <v>17.326499999999999</v>
      </c>
      <c r="D150" s="4">
        <f>25.9348 * CHOOSE(CONTROL!$C$9, $C$13, 100%, $E$13) + CHOOSE(CONTROL!$C$28, 0, 0)</f>
        <v>25.934799999999999</v>
      </c>
      <c r="E150" s="4">
        <f>109.563681424574 * CHOOSE(CONTROL!$C$9, $C$13, 100%, $E$13) + CHOOSE(CONTROL!$C$28, 0, 0)</f>
        <v>109.563681424574</v>
      </c>
    </row>
    <row r="151" spans="1:5" ht="15">
      <c r="A151" s="13">
        <v>46082</v>
      </c>
      <c r="B151" s="4">
        <f>18.7198 * CHOOSE(CONTROL!$C$9, $C$13, 100%, $E$13) + CHOOSE(CONTROL!$C$28, 0.0003, 0)</f>
        <v>18.720099999999999</v>
      </c>
      <c r="C151" s="4">
        <f>18.3565 * CHOOSE(CONTROL!$C$9, $C$13, 100%, $E$13) + CHOOSE(CONTROL!$C$28, 0.0003, 0)</f>
        <v>18.3568</v>
      </c>
      <c r="D151" s="4">
        <f>27.22 * CHOOSE(CONTROL!$C$9, $C$13, 100%, $E$13) + CHOOSE(CONTROL!$C$28, 0, 0)</f>
        <v>27.22</v>
      </c>
      <c r="E151" s="4">
        <f>116.23684215588 * CHOOSE(CONTROL!$C$9, $C$13, 100%, $E$13) + CHOOSE(CONTROL!$C$28, 0, 0)</f>
        <v>116.23684215588</v>
      </c>
    </row>
    <row r="152" spans="1:5" ht="15">
      <c r="A152" s="13">
        <v>46113</v>
      </c>
      <c r="B152" s="4">
        <f>19.4518 * CHOOSE(CONTROL!$C$9, $C$13, 100%, $E$13) + CHOOSE(CONTROL!$C$28, 0.0003, 0)</f>
        <v>19.452099999999998</v>
      </c>
      <c r="C152" s="4">
        <f>19.0885 * CHOOSE(CONTROL!$C$9, $C$13, 100%, $E$13) + CHOOSE(CONTROL!$C$28, 0.0003, 0)</f>
        <v>19.088799999999999</v>
      </c>
      <c r="D152" s="4">
        <f>27.9603 * CHOOSE(CONTROL!$C$9, $C$13, 100%, $E$13) + CHOOSE(CONTROL!$C$28, 0, 0)</f>
        <v>27.9603</v>
      </c>
      <c r="E152" s="4">
        <f>120.978211787034 * CHOOSE(CONTROL!$C$9, $C$13, 100%, $E$13) + CHOOSE(CONTROL!$C$28, 0, 0)</f>
        <v>120.978211787034</v>
      </c>
    </row>
    <row r="153" spans="1:5" ht="15">
      <c r="A153" s="13">
        <v>46143</v>
      </c>
      <c r="B153" s="4">
        <f>19.8991 * CHOOSE(CONTROL!$C$9, $C$13, 100%, $E$13) + CHOOSE(CONTROL!$C$28, 0.0136, 0)</f>
        <v>19.912700000000001</v>
      </c>
      <c r="C153" s="4">
        <f>19.5358 * CHOOSE(CONTROL!$C$9, $C$13, 100%, $E$13) + CHOOSE(CONTROL!$C$28, 0.0136, 0)</f>
        <v>19.549399999999999</v>
      </c>
      <c r="D153" s="4">
        <f>27.6678 * CHOOSE(CONTROL!$C$9, $C$13, 100%, $E$13) + CHOOSE(CONTROL!$C$28, 0, 0)</f>
        <v>27.6678</v>
      </c>
      <c r="E153" s="4">
        <f>123.875074996897 * CHOOSE(CONTROL!$C$9, $C$13, 100%, $E$13) + CHOOSE(CONTROL!$C$28, 0, 0)</f>
        <v>123.875074996897</v>
      </c>
    </row>
    <row r="154" spans="1:5" ht="15">
      <c r="A154" s="13">
        <v>46174</v>
      </c>
      <c r="B154" s="4">
        <f>19.9596 * CHOOSE(CONTROL!$C$9, $C$13, 100%, $E$13) + CHOOSE(CONTROL!$C$28, 0.0136, 0)</f>
        <v>19.973199999999999</v>
      </c>
      <c r="C154" s="4">
        <f>19.5963 * CHOOSE(CONTROL!$C$9, $C$13, 100%, $E$13) + CHOOSE(CONTROL!$C$28, 0.0136, 0)</f>
        <v>19.6099</v>
      </c>
      <c r="D154" s="4">
        <f>27.906 * CHOOSE(CONTROL!$C$9, $C$13, 100%, $E$13) + CHOOSE(CONTROL!$C$28, 0, 0)</f>
        <v>27.905999999999999</v>
      </c>
      <c r="E154" s="4">
        <f>124.267032611421 * CHOOSE(CONTROL!$C$9, $C$13, 100%, $E$13) + CHOOSE(CONTROL!$C$28, 0, 0)</f>
        <v>124.267032611421</v>
      </c>
    </row>
    <row r="155" spans="1:5" ht="15">
      <c r="A155" s="13">
        <v>46204</v>
      </c>
      <c r="B155" s="4">
        <f>19.9535 * CHOOSE(CONTROL!$C$9, $C$13, 100%, $E$13) + CHOOSE(CONTROL!$C$28, 0.0136, 0)</f>
        <v>19.967099999999999</v>
      </c>
      <c r="C155" s="4">
        <f>19.5902 * CHOOSE(CONTROL!$C$9, $C$13, 100%, $E$13) + CHOOSE(CONTROL!$C$28, 0.0136, 0)</f>
        <v>19.6038</v>
      </c>
      <c r="D155" s="4">
        <f>28.3359 * CHOOSE(CONTROL!$C$9, $C$13, 100%, $E$13) + CHOOSE(CONTROL!$C$28, 0, 0)</f>
        <v>28.335899999999999</v>
      </c>
      <c r="E155" s="4">
        <f>124.227507473822 * CHOOSE(CONTROL!$C$9, $C$13, 100%, $E$13) + CHOOSE(CONTROL!$C$28, 0, 0)</f>
        <v>124.227507473822</v>
      </c>
    </row>
    <row r="156" spans="1:5" ht="15">
      <c r="A156" s="13">
        <v>46235</v>
      </c>
      <c r="B156" s="4">
        <f>20.4127 * CHOOSE(CONTROL!$C$9, $C$13, 100%, $E$13) + CHOOSE(CONTROL!$C$28, 0.0136, 0)</f>
        <v>20.426300000000001</v>
      </c>
      <c r="C156" s="4">
        <f>20.0494 * CHOOSE(CONTROL!$C$9, $C$13, 100%, $E$13) + CHOOSE(CONTROL!$C$28, 0.0136, 0)</f>
        <v>20.062999999999999</v>
      </c>
      <c r="D156" s="4">
        <f>28.052 * CHOOSE(CONTROL!$C$9, $C$13, 100%, $E$13) + CHOOSE(CONTROL!$C$28, 0, 0)</f>
        <v>28.052</v>
      </c>
      <c r="E156" s="4">
        <f>127.201774078151 * CHOOSE(CONTROL!$C$9, $C$13, 100%, $E$13) + CHOOSE(CONTROL!$C$28, 0, 0)</f>
        <v>127.201774078151</v>
      </c>
    </row>
    <row r="157" spans="1:5" ht="15">
      <c r="A157" s="13">
        <v>46266</v>
      </c>
      <c r="B157" s="4">
        <f>19.6301 * CHOOSE(CONTROL!$C$9, $C$13, 100%, $E$13) + CHOOSE(CONTROL!$C$28, 0.0136, 0)</f>
        <v>19.643699999999999</v>
      </c>
      <c r="C157" s="4">
        <f>19.2668 * CHOOSE(CONTROL!$C$9, $C$13, 100%, $E$13) + CHOOSE(CONTROL!$C$28, 0.0136, 0)</f>
        <v>19.2804</v>
      </c>
      <c r="D157" s="4">
        <f>27.9179 * CHOOSE(CONTROL!$C$9, $C$13, 100%, $E$13) + CHOOSE(CONTROL!$C$28, 0, 0)</f>
        <v>27.917899999999999</v>
      </c>
      <c r="E157" s="4">
        <f>122.132675181073 * CHOOSE(CONTROL!$C$9, $C$13, 100%, $E$13) + CHOOSE(CONTROL!$C$28, 0, 0)</f>
        <v>122.132675181073</v>
      </c>
    </row>
    <row r="158" spans="1:5" ht="15">
      <c r="A158" s="13">
        <v>46296</v>
      </c>
      <c r="B158" s="4">
        <f>19.0035 * CHOOSE(CONTROL!$C$9, $C$13, 100%, $E$13) + CHOOSE(CONTROL!$C$28, 0.0003, 0)</f>
        <v>19.003799999999998</v>
      </c>
      <c r="C158" s="4">
        <f>18.6403 * CHOOSE(CONTROL!$C$9, $C$13, 100%, $E$13) + CHOOSE(CONTROL!$C$28, 0.0003, 0)</f>
        <v>18.640599999999999</v>
      </c>
      <c r="D158" s="4">
        <f>27.5587 * CHOOSE(CONTROL!$C$9, $C$13, 100%, $E$13) + CHOOSE(CONTROL!$C$28, 0, 0)</f>
        <v>27.558700000000002</v>
      </c>
      <c r="E158" s="4">
        <f>118.074761054236 * CHOOSE(CONTROL!$C$9, $C$13, 100%, $E$13) + CHOOSE(CONTROL!$C$28, 0, 0)</f>
        <v>118.07476105423601</v>
      </c>
    </row>
    <row r="159" spans="1:5" ht="15">
      <c r="A159" s="13">
        <v>46327</v>
      </c>
      <c r="B159" s="4">
        <f>18.6 * CHOOSE(CONTROL!$C$9, $C$13, 100%, $E$13) + CHOOSE(CONTROL!$C$28, 0.0003, 0)</f>
        <v>18.600300000000001</v>
      </c>
      <c r="C159" s="4">
        <f>18.2367 * CHOOSE(CONTROL!$C$9, $C$13, 100%, $E$13) + CHOOSE(CONTROL!$C$28, 0.0003, 0)</f>
        <v>18.236999999999998</v>
      </c>
      <c r="D159" s="4">
        <f>27.4352 * CHOOSE(CONTROL!$C$9, $C$13, 100%, $E$13) + CHOOSE(CONTROL!$C$28, 0, 0)</f>
        <v>27.435199999999998</v>
      </c>
      <c r="E159" s="4">
        <f>115.461161330499 * CHOOSE(CONTROL!$C$9, $C$13, 100%, $E$13) + CHOOSE(CONTROL!$C$28, 0, 0)</f>
        <v>115.461161330499</v>
      </c>
    </row>
    <row r="160" spans="1:5" ht="15">
      <c r="A160" s="13">
        <v>46357</v>
      </c>
      <c r="B160" s="4">
        <f>18.3208 * CHOOSE(CONTROL!$C$9, $C$13, 100%, $E$13) + CHOOSE(CONTROL!$C$28, 0.0003, 0)</f>
        <v>18.321099999999998</v>
      </c>
      <c r="C160" s="4">
        <f>17.9575 * CHOOSE(CONTROL!$C$9, $C$13, 100%, $E$13) + CHOOSE(CONTROL!$C$28, 0.0003, 0)</f>
        <v>17.957799999999999</v>
      </c>
      <c r="D160" s="4">
        <f>26.5262 * CHOOSE(CONTROL!$C$9, $C$13, 100%, $E$13) + CHOOSE(CONTROL!$C$28, 0, 0)</f>
        <v>26.526199999999999</v>
      </c>
      <c r="E160" s="4">
        <f>113.652886285342 * CHOOSE(CONTROL!$C$9, $C$13, 100%, $E$13) + CHOOSE(CONTROL!$C$28, 0, 0)</f>
        <v>113.65288628534201</v>
      </c>
    </row>
    <row r="161" spans="1:5" ht="15">
      <c r="A161" s="13">
        <v>46388</v>
      </c>
      <c r="B161" s="4">
        <f>17.8331 * CHOOSE(CONTROL!$C$9, $C$13, 100%, $E$13) + CHOOSE(CONTROL!$C$28, 0.0003, 0)</f>
        <v>17.833400000000001</v>
      </c>
      <c r="C161" s="4">
        <f>17.4698 * CHOOSE(CONTROL!$C$9, $C$13, 100%, $E$13) + CHOOSE(CONTROL!$C$28, 0.0003, 0)</f>
        <v>17.470099999999999</v>
      </c>
      <c r="D161" s="4">
        <f>25.7979 * CHOOSE(CONTROL!$C$9, $C$13, 100%, $E$13) + CHOOSE(CONTROL!$C$28, 0, 0)</f>
        <v>25.797899999999998</v>
      </c>
      <c r="E161" s="4">
        <f>110.503886973775 * CHOOSE(CONTROL!$C$9, $C$13, 100%, $E$13) + CHOOSE(CONTROL!$C$28, 0, 0)</f>
        <v>110.503886973775</v>
      </c>
    </row>
    <row r="162" spans="1:5" ht="15">
      <c r="A162" s="13">
        <v>46419</v>
      </c>
      <c r="B162" s="4">
        <f>18.2382 * CHOOSE(CONTROL!$C$9, $C$13, 100%, $E$13) + CHOOSE(CONTROL!$C$28, 0.0003, 0)</f>
        <v>18.238499999999998</v>
      </c>
      <c r="C162" s="4">
        <f>17.8749 * CHOOSE(CONTROL!$C$9, $C$13, 100%, $E$13) + CHOOSE(CONTROL!$C$28, 0.0003, 0)</f>
        <v>17.8752</v>
      </c>
      <c r="D162" s="4">
        <f>26.6431 * CHOOSE(CONTROL!$C$9, $C$13, 100%, $E$13) + CHOOSE(CONTROL!$C$28, 0, 0)</f>
        <v>26.6431</v>
      </c>
      <c r="E162" s="4">
        <f>113.127684736344 * CHOOSE(CONTROL!$C$9, $C$13, 100%, $E$13) + CHOOSE(CONTROL!$C$28, 0, 0)</f>
        <v>113.12768473634399</v>
      </c>
    </row>
    <row r="163" spans="1:5" ht="15">
      <c r="A163" s="13">
        <v>46447</v>
      </c>
      <c r="B163" s="4">
        <f>19.3019 * CHOOSE(CONTROL!$C$9, $C$13, 100%, $E$13) + CHOOSE(CONTROL!$C$28, 0.0003, 0)</f>
        <v>19.302199999999999</v>
      </c>
      <c r="C163" s="4">
        <f>18.9386 * CHOOSE(CONTROL!$C$9, $C$13, 100%, $E$13) + CHOOSE(CONTROL!$C$28, 0.0003, 0)</f>
        <v>18.9389</v>
      </c>
      <c r="D163" s="4">
        <f>27.9661 * CHOOSE(CONTROL!$C$9, $C$13, 100%, $E$13) + CHOOSE(CONTROL!$C$28, 0, 0)</f>
        <v>27.966100000000001</v>
      </c>
      <c r="E163" s="4">
        <f>120.017917097931 * CHOOSE(CONTROL!$C$9, $C$13, 100%, $E$13) + CHOOSE(CONTROL!$C$28, 0, 0)</f>
        <v>120.017917097931</v>
      </c>
    </row>
    <row r="164" spans="1:5" ht="15">
      <c r="A164" s="13">
        <v>46478</v>
      </c>
      <c r="B164" s="4">
        <f>20.0577 * CHOOSE(CONTROL!$C$9, $C$13, 100%, $E$13) + CHOOSE(CONTROL!$C$28, 0.0003, 0)</f>
        <v>20.058</v>
      </c>
      <c r="C164" s="4">
        <f>19.6944 * CHOOSE(CONTROL!$C$9, $C$13, 100%, $E$13) + CHOOSE(CONTROL!$C$28, 0.0003, 0)</f>
        <v>19.694700000000001</v>
      </c>
      <c r="D164" s="4">
        <f>28.7282 * CHOOSE(CONTROL!$C$9, $C$13, 100%, $E$13) + CHOOSE(CONTROL!$C$28, 0, 0)</f>
        <v>28.728200000000001</v>
      </c>
      <c r="E164" s="4">
        <f>124.913519015258 * CHOOSE(CONTROL!$C$9, $C$13, 100%, $E$13) + CHOOSE(CONTROL!$C$28, 0, 0)</f>
        <v>124.913519015258</v>
      </c>
    </row>
    <row r="165" spans="1:5" ht="15">
      <c r="A165" s="13">
        <v>46508</v>
      </c>
      <c r="B165" s="4">
        <f>20.5195 * CHOOSE(CONTROL!$C$9, $C$13, 100%, $E$13) + CHOOSE(CONTROL!$C$28, 0.0136, 0)</f>
        <v>20.533100000000001</v>
      </c>
      <c r="C165" s="4">
        <f>20.1562 * CHOOSE(CONTROL!$C$9, $C$13, 100%, $E$13) + CHOOSE(CONTROL!$C$28, 0.0136, 0)</f>
        <v>20.169799999999999</v>
      </c>
      <c r="D165" s="4">
        <f>28.427 * CHOOSE(CONTROL!$C$9, $C$13, 100%, $E$13) + CHOOSE(CONTROL!$C$28, 0, 0)</f>
        <v>28.427</v>
      </c>
      <c r="E165" s="4">
        <f>127.904614455542 * CHOOSE(CONTROL!$C$9, $C$13, 100%, $E$13) + CHOOSE(CONTROL!$C$28, 0, 0)</f>
        <v>127.904614455542</v>
      </c>
    </row>
    <row r="166" spans="1:5" ht="15">
      <c r="A166" s="13">
        <v>46539</v>
      </c>
      <c r="B166" s="4">
        <f>20.5819 * CHOOSE(CONTROL!$C$9, $C$13, 100%, $E$13) + CHOOSE(CONTROL!$C$28, 0.0136, 0)</f>
        <v>20.595500000000001</v>
      </c>
      <c r="C166" s="4">
        <f>20.2187 * CHOOSE(CONTROL!$C$9, $C$13, 100%, $E$13) + CHOOSE(CONTROL!$C$28, 0.0136, 0)</f>
        <v>20.232299999999999</v>
      </c>
      <c r="D166" s="4">
        <f>28.6723 * CHOOSE(CONTROL!$C$9, $C$13, 100%, $E$13) + CHOOSE(CONTROL!$C$28, 0, 0)</f>
        <v>28.6723</v>
      </c>
      <c r="E166" s="4">
        <f>128.309322081914 * CHOOSE(CONTROL!$C$9, $C$13, 100%, $E$13) + CHOOSE(CONTROL!$C$28, 0, 0)</f>
        <v>128.30932208191399</v>
      </c>
    </row>
    <row r="167" spans="1:5" ht="15">
      <c r="A167" s="13">
        <v>46569</v>
      </c>
      <c r="B167" s="4">
        <f>20.5756 * CHOOSE(CONTROL!$C$9, $C$13, 100%, $E$13) + CHOOSE(CONTROL!$C$28, 0.0136, 0)</f>
        <v>20.589200000000002</v>
      </c>
      <c r="C167" s="4">
        <f>20.2124 * CHOOSE(CONTROL!$C$9, $C$13, 100%, $E$13) + CHOOSE(CONTROL!$C$28, 0.0136, 0)</f>
        <v>20.225999999999999</v>
      </c>
      <c r="D167" s="4">
        <f>29.1148 * CHOOSE(CONTROL!$C$9, $C$13, 100%, $E$13) + CHOOSE(CONTROL!$C$28, 0, 0)</f>
        <v>29.114799999999999</v>
      </c>
      <c r="E167" s="4">
        <f>128.268511228834 * CHOOSE(CONTROL!$C$9, $C$13, 100%, $E$13) + CHOOSE(CONTROL!$C$28, 0, 0)</f>
        <v>128.268511228834</v>
      </c>
    </row>
    <row r="168" spans="1:5" ht="15">
      <c r="A168" s="13">
        <v>46600</v>
      </c>
      <c r="B168" s="4">
        <f>21.0497 * CHOOSE(CONTROL!$C$9, $C$13, 100%, $E$13) + CHOOSE(CONTROL!$C$28, 0.0136, 0)</f>
        <v>21.063300000000002</v>
      </c>
      <c r="C168" s="4">
        <f>20.6865 * CHOOSE(CONTROL!$C$9, $C$13, 100%, $E$13) + CHOOSE(CONTROL!$C$28, 0.0136, 0)</f>
        <v>20.700099999999999</v>
      </c>
      <c r="D168" s="4">
        <f>28.8226 * CHOOSE(CONTROL!$C$9, $C$13, 100%, $E$13) + CHOOSE(CONTROL!$C$28, 0, 0)</f>
        <v>28.822600000000001</v>
      </c>
      <c r="E168" s="4">
        <f>131.339527923066 * CHOOSE(CONTROL!$C$9, $C$13, 100%, $E$13) + CHOOSE(CONTROL!$C$28, 0, 0)</f>
        <v>131.33952792306599</v>
      </c>
    </row>
    <row r="169" spans="1:5" ht="15">
      <c r="A169" s="13">
        <v>46631</v>
      </c>
      <c r="B169" s="4">
        <f>20.2417 * CHOOSE(CONTROL!$C$9, $C$13, 100%, $E$13) + CHOOSE(CONTROL!$C$28, 0.0136, 0)</f>
        <v>20.255300000000002</v>
      </c>
      <c r="C169" s="4">
        <f>19.8784 * CHOOSE(CONTROL!$C$9, $C$13, 100%, $E$13) + CHOOSE(CONTROL!$C$28, 0.0136, 0)</f>
        <v>19.891999999999999</v>
      </c>
      <c r="D169" s="4">
        <f>28.6845 * CHOOSE(CONTROL!$C$9, $C$13, 100%, $E$13) + CHOOSE(CONTROL!$C$28, 0, 0)</f>
        <v>28.6845</v>
      </c>
      <c r="E169" s="4">
        <f>126.105536015621 * CHOOSE(CONTROL!$C$9, $C$13, 100%, $E$13) + CHOOSE(CONTROL!$C$28, 0, 0)</f>
        <v>126.105536015621</v>
      </c>
    </row>
    <row r="170" spans="1:5" ht="15">
      <c r="A170" s="13">
        <v>46661</v>
      </c>
      <c r="B170" s="4">
        <f>19.5949 * CHOOSE(CONTROL!$C$9, $C$13, 100%, $E$13) + CHOOSE(CONTROL!$C$28, 0.0003, 0)</f>
        <v>19.595199999999998</v>
      </c>
      <c r="C170" s="4">
        <f>19.2316 * CHOOSE(CONTROL!$C$9, $C$13, 100%, $E$13) + CHOOSE(CONTROL!$C$28, 0.0003, 0)</f>
        <v>19.2319</v>
      </c>
      <c r="D170" s="4">
        <f>28.3148 * CHOOSE(CONTROL!$C$9, $C$13, 100%, $E$13) + CHOOSE(CONTROL!$C$28, 0, 0)</f>
        <v>28.314800000000002</v>
      </c>
      <c r="E170" s="4">
        <f>121.915621766127 * CHOOSE(CONTROL!$C$9, $C$13, 100%, $E$13) + CHOOSE(CONTROL!$C$28, 0, 0)</f>
        <v>121.915621766127</v>
      </c>
    </row>
    <row r="171" spans="1:5" ht="15">
      <c r="A171" s="13">
        <v>46692</v>
      </c>
      <c r="B171" s="4">
        <f>19.1783 * CHOOSE(CONTROL!$C$9, $C$13, 100%, $E$13) + CHOOSE(CONTROL!$C$28, 0.0003, 0)</f>
        <v>19.178599999999999</v>
      </c>
      <c r="C171" s="4">
        <f>18.815 * CHOOSE(CONTROL!$C$9, $C$13, 100%, $E$13) + CHOOSE(CONTROL!$C$28, 0.0003, 0)</f>
        <v>18.815300000000001</v>
      </c>
      <c r="D171" s="4">
        <f>28.1877 * CHOOSE(CONTROL!$C$9, $C$13, 100%, $E$13) + CHOOSE(CONTROL!$C$28, 0, 0)</f>
        <v>28.1877</v>
      </c>
      <c r="E171" s="4">
        <f>119.217004106246 * CHOOSE(CONTROL!$C$9, $C$13, 100%, $E$13) + CHOOSE(CONTROL!$C$28, 0, 0)</f>
        <v>119.21700410624599</v>
      </c>
    </row>
    <row r="172" spans="1:5" ht="15">
      <c r="A172" s="13">
        <v>46722</v>
      </c>
      <c r="B172" s="4">
        <f>18.89 * CHOOSE(CONTROL!$C$9, $C$13, 100%, $E$13) + CHOOSE(CONTROL!$C$28, 0.0003, 0)</f>
        <v>18.8903</v>
      </c>
      <c r="C172" s="4">
        <f>18.5267 * CHOOSE(CONTROL!$C$9, $C$13, 100%, $E$13) + CHOOSE(CONTROL!$C$28, 0.0003, 0)</f>
        <v>18.527000000000001</v>
      </c>
      <c r="D172" s="4">
        <f>27.2519 * CHOOSE(CONTROL!$C$9, $C$13, 100%, $E$13) + CHOOSE(CONTROL!$C$28, 0, 0)</f>
        <v>27.251899999999999</v>
      </c>
      <c r="E172" s="4">
        <f>117.349907577859 * CHOOSE(CONTROL!$C$9, $C$13, 100%, $E$13) + CHOOSE(CONTROL!$C$28, 0, 0)</f>
        <v>117.349907577859</v>
      </c>
    </row>
    <row r="173" spans="1:5" ht="15">
      <c r="A173" s="13">
        <v>46753</v>
      </c>
      <c r="B173" s="4">
        <f>18.3338 * CHOOSE(CONTROL!$C$9, $C$13, 100%, $E$13) + CHOOSE(CONTROL!$C$28, 0.0003, 0)</f>
        <v>18.334099999999999</v>
      </c>
      <c r="C173" s="4">
        <f>17.9706 * CHOOSE(CONTROL!$C$9, $C$13, 100%, $E$13) + CHOOSE(CONTROL!$C$28, 0.0003, 0)</f>
        <v>17.9709</v>
      </c>
      <c r="D173" s="4">
        <f>26.4281 * CHOOSE(CONTROL!$C$9, $C$13, 100%, $E$13) + CHOOSE(CONTROL!$C$28, 0, 0)</f>
        <v>26.428100000000001</v>
      </c>
      <c r="E173" s="4">
        <f>113.984843818042 * CHOOSE(CONTROL!$C$9, $C$13, 100%, $E$13) + CHOOSE(CONTROL!$C$28, 0, 0)</f>
        <v>113.98484381804199</v>
      </c>
    </row>
    <row r="174" spans="1:5" ht="15">
      <c r="A174" s="13">
        <v>46784</v>
      </c>
      <c r="B174" s="4">
        <f>18.7508 * CHOOSE(CONTROL!$C$9, $C$13, 100%, $E$13) + CHOOSE(CONTROL!$C$28, 0.0003, 0)</f>
        <v>18.751100000000001</v>
      </c>
      <c r="C174" s="4">
        <f>18.3875 * CHOOSE(CONTROL!$C$9, $C$13, 100%, $E$13) + CHOOSE(CONTROL!$C$28, 0.0003, 0)</f>
        <v>18.387799999999999</v>
      </c>
      <c r="D174" s="4">
        <f>27.2955 * CHOOSE(CONTROL!$C$9, $C$13, 100%, $E$13) + CHOOSE(CONTROL!$C$28, 0, 0)</f>
        <v>27.295500000000001</v>
      </c>
      <c r="E174" s="4">
        <f>116.691293214229 * CHOOSE(CONTROL!$C$9, $C$13, 100%, $E$13) + CHOOSE(CONTROL!$C$28, 0, 0)</f>
        <v>116.69129321422901</v>
      </c>
    </row>
    <row r="175" spans="1:5" ht="15">
      <c r="A175" s="13">
        <v>46813</v>
      </c>
      <c r="B175" s="4">
        <f>19.8457 * CHOOSE(CONTROL!$C$9, $C$13, 100%, $E$13) + CHOOSE(CONTROL!$C$28, 0.0003, 0)</f>
        <v>19.846</v>
      </c>
      <c r="C175" s="4">
        <f>19.4824 * CHOOSE(CONTROL!$C$9, $C$13, 100%, $E$13) + CHOOSE(CONTROL!$C$28, 0.0003, 0)</f>
        <v>19.482699999999998</v>
      </c>
      <c r="D175" s="4">
        <f>28.6533 * CHOOSE(CONTROL!$C$9, $C$13, 100%, $E$13) + CHOOSE(CONTROL!$C$28, 0, 0)</f>
        <v>28.653300000000002</v>
      </c>
      <c r="E175" s="4">
        <f>123.798573158073 * CHOOSE(CONTROL!$C$9, $C$13, 100%, $E$13) + CHOOSE(CONTROL!$C$28, 0, 0)</f>
        <v>123.798573158073</v>
      </c>
    </row>
    <row r="176" spans="1:5" ht="15">
      <c r="A176" s="13">
        <v>46844</v>
      </c>
      <c r="B176" s="4">
        <f>20.6237 * CHOOSE(CONTROL!$C$9, $C$13, 100%, $E$13) + CHOOSE(CONTROL!$C$28, 0.0003, 0)</f>
        <v>20.623999999999999</v>
      </c>
      <c r="C176" s="4">
        <f>20.2604 * CHOOSE(CONTROL!$C$9, $C$13, 100%, $E$13) + CHOOSE(CONTROL!$C$28, 0.0003, 0)</f>
        <v>20.2607</v>
      </c>
      <c r="D176" s="4">
        <f>29.4355 * CHOOSE(CONTROL!$C$9, $C$13, 100%, $E$13) + CHOOSE(CONTROL!$C$28, 0, 0)</f>
        <v>29.435500000000001</v>
      </c>
      <c r="E176" s="4">
        <f>128.848390275133 * CHOOSE(CONTROL!$C$9, $C$13, 100%, $E$13) + CHOOSE(CONTROL!$C$28, 0, 0)</f>
        <v>128.848390275133</v>
      </c>
    </row>
    <row r="177" spans="1:5" ht="15">
      <c r="A177" s="13">
        <v>46874</v>
      </c>
      <c r="B177" s="4">
        <f>21.099 * CHOOSE(CONTROL!$C$9, $C$13, 100%, $E$13) + CHOOSE(CONTROL!$C$28, 0.0136, 0)</f>
        <v>21.1126</v>
      </c>
      <c r="C177" s="4">
        <f>20.7357 * CHOOSE(CONTROL!$C$9, $C$13, 100%, $E$13) + CHOOSE(CONTROL!$C$28, 0.0136, 0)</f>
        <v>20.749300000000002</v>
      </c>
      <c r="D177" s="4">
        <f>29.1264 * CHOOSE(CONTROL!$C$9, $C$13, 100%, $E$13) + CHOOSE(CONTROL!$C$28, 0, 0)</f>
        <v>29.1264</v>
      </c>
      <c r="E177" s="4">
        <f>131.933707506432 * CHOOSE(CONTROL!$C$9, $C$13, 100%, $E$13) + CHOOSE(CONTROL!$C$28, 0, 0)</f>
        <v>131.933707506432</v>
      </c>
    </row>
    <row r="178" spans="1:5" ht="15">
      <c r="A178" s="13">
        <v>46905</v>
      </c>
      <c r="B178" s="4">
        <f>21.1633 * CHOOSE(CONTROL!$C$9, $C$13, 100%, $E$13) + CHOOSE(CONTROL!$C$28, 0.0136, 0)</f>
        <v>21.1769</v>
      </c>
      <c r="C178" s="4">
        <f>20.8001 * CHOOSE(CONTROL!$C$9, $C$13, 100%, $E$13) + CHOOSE(CONTROL!$C$28, 0.0136, 0)</f>
        <v>20.813700000000001</v>
      </c>
      <c r="D178" s="4">
        <f>29.3781 * CHOOSE(CONTROL!$C$9, $C$13, 100%, $E$13) + CHOOSE(CONTROL!$C$28, 0, 0)</f>
        <v>29.3781</v>
      </c>
      <c r="E178" s="4">
        <f>132.351163732156 * CHOOSE(CONTROL!$C$9, $C$13, 100%, $E$13) + CHOOSE(CONTROL!$C$28, 0, 0)</f>
        <v>132.35116373215601</v>
      </c>
    </row>
    <row r="179" spans="1:5" ht="15">
      <c r="A179" s="13">
        <v>46935</v>
      </c>
      <c r="B179" s="4">
        <f>21.1568 * CHOOSE(CONTROL!$C$9, $C$13, 100%, $E$13) + CHOOSE(CONTROL!$C$28, 0.0136, 0)</f>
        <v>21.170400000000001</v>
      </c>
      <c r="C179" s="4">
        <f>20.7936 * CHOOSE(CONTROL!$C$9, $C$13, 100%, $E$13) + CHOOSE(CONTROL!$C$28, 0.0136, 0)</f>
        <v>20.807200000000002</v>
      </c>
      <c r="D179" s="4">
        <f>29.8323 * CHOOSE(CONTROL!$C$9, $C$13, 100%, $E$13) + CHOOSE(CONTROL!$C$28, 0, 0)</f>
        <v>29.8323</v>
      </c>
      <c r="E179" s="4">
        <f>132.309067306032 * CHOOSE(CONTROL!$C$9, $C$13, 100%, $E$13) + CHOOSE(CONTROL!$C$28, 0, 0)</f>
        <v>132.30906730603201</v>
      </c>
    </row>
    <row r="180" spans="1:5" ht="15">
      <c r="A180" s="13">
        <v>46966</v>
      </c>
      <c r="B180" s="4">
        <f>21.6449 * CHOOSE(CONTROL!$C$9, $C$13, 100%, $E$13) + CHOOSE(CONTROL!$C$28, 0.0136, 0)</f>
        <v>21.6585</v>
      </c>
      <c r="C180" s="4">
        <f>21.2816 * CHOOSE(CONTROL!$C$9, $C$13, 100%, $E$13) + CHOOSE(CONTROL!$C$28, 0.0136, 0)</f>
        <v>21.295200000000001</v>
      </c>
      <c r="D180" s="4">
        <f>29.5324 * CHOOSE(CONTROL!$C$9, $C$13, 100%, $E$13) + CHOOSE(CONTROL!$C$28, 0, 0)</f>
        <v>29.532399999999999</v>
      </c>
      <c r="E180" s="4">
        <f>135.476823371823 * CHOOSE(CONTROL!$C$9, $C$13, 100%, $E$13) + CHOOSE(CONTROL!$C$28, 0, 0)</f>
        <v>135.476823371823</v>
      </c>
    </row>
    <row r="181" spans="1:5" ht="15">
      <c r="A181" s="13">
        <v>46997</v>
      </c>
      <c r="B181" s="4">
        <f>20.8131 * CHOOSE(CONTROL!$C$9, $C$13, 100%, $E$13) + CHOOSE(CONTROL!$C$28, 0.0136, 0)</f>
        <v>20.826699999999999</v>
      </c>
      <c r="C181" s="4">
        <f>20.4498 * CHOOSE(CONTROL!$C$9, $C$13, 100%, $E$13) + CHOOSE(CONTROL!$C$28, 0.0136, 0)</f>
        <v>20.4634</v>
      </c>
      <c r="D181" s="4">
        <f>29.3906 * CHOOSE(CONTROL!$C$9, $C$13, 100%, $E$13) + CHOOSE(CONTROL!$C$28, 0, 0)</f>
        <v>29.390599999999999</v>
      </c>
      <c r="E181" s="4">
        <f>130.077956721489 * CHOOSE(CONTROL!$C$9, $C$13, 100%, $E$13) + CHOOSE(CONTROL!$C$28, 0, 0)</f>
        <v>130.07795672148899</v>
      </c>
    </row>
    <row r="182" spans="1:5" ht="15">
      <c r="A182" s="13">
        <v>47027</v>
      </c>
      <c r="B182" s="4">
        <f>20.1473 * CHOOSE(CONTROL!$C$9, $C$13, 100%, $E$13) + CHOOSE(CONTROL!$C$28, 0.0003, 0)</f>
        <v>20.147600000000001</v>
      </c>
      <c r="C182" s="4">
        <f>19.784 * CHOOSE(CONTROL!$C$9, $C$13, 100%, $E$13) + CHOOSE(CONTROL!$C$28, 0.0003, 0)</f>
        <v>19.784299999999998</v>
      </c>
      <c r="D182" s="4">
        <f>29.0112 * CHOOSE(CONTROL!$C$9, $C$13, 100%, $E$13) + CHOOSE(CONTROL!$C$28, 0, 0)</f>
        <v>29.011199999999999</v>
      </c>
      <c r="E182" s="4">
        <f>125.756056972814 * CHOOSE(CONTROL!$C$9, $C$13, 100%, $E$13) + CHOOSE(CONTROL!$C$28, 0, 0)</f>
        <v>125.75605697281399</v>
      </c>
    </row>
    <row r="183" spans="1:5" ht="15">
      <c r="A183" s="13">
        <v>47058</v>
      </c>
      <c r="B183" s="4">
        <f>19.7185 * CHOOSE(CONTROL!$C$9, $C$13, 100%, $E$13) + CHOOSE(CONTROL!$C$28, 0.0003, 0)</f>
        <v>19.718799999999998</v>
      </c>
      <c r="C183" s="4">
        <f>19.3552 * CHOOSE(CONTROL!$C$9, $C$13, 100%, $E$13) + CHOOSE(CONTROL!$C$28, 0.0003, 0)</f>
        <v>19.355499999999999</v>
      </c>
      <c r="D183" s="4">
        <f>28.8807 * CHOOSE(CONTROL!$C$9, $C$13, 100%, $E$13) + CHOOSE(CONTROL!$C$28, 0, 0)</f>
        <v>28.880700000000001</v>
      </c>
      <c r="E183" s="4">
        <f>122.9724307954 * CHOOSE(CONTROL!$C$9, $C$13, 100%, $E$13) + CHOOSE(CONTROL!$C$28, 0, 0)</f>
        <v>122.9724307954</v>
      </c>
    </row>
    <row r="184" spans="1:5" ht="15">
      <c r="A184" s="13">
        <v>47088</v>
      </c>
      <c r="B184" s="4">
        <f>19.4218 * CHOOSE(CONTROL!$C$9, $C$13, 100%, $E$13) + CHOOSE(CONTROL!$C$28, 0.0003, 0)</f>
        <v>19.4221</v>
      </c>
      <c r="C184" s="4">
        <f>19.0585 * CHOOSE(CONTROL!$C$9, $C$13, 100%, $E$13) + CHOOSE(CONTROL!$C$28, 0.0003, 0)</f>
        <v>19.058799999999998</v>
      </c>
      <c r="D184" s="4">
        <f>27.9203 * CHOOSE(CONTROL!$C$9, $C$13, 100%, $E$13) + CHOOSE(CONTROL!$C$28, 0, 0)</f>
        <v>27.920300000000001</v>
      </c>
      <c r="E184" s="4">
        <f>121.046519300252 * CHOOSE(CONTROL!$C$9, $C$13, 100%, $E$13) + CHOOSE(CONTROL!$C$28, 0, 0)</f>
        <v>121.046519300252</v>
      </c>
    </row>
    <row r="185" spans="1:5" ht="15">
      <c r="A185" s="13">
        <v>47119</v>
      </c>
      <c r="B185" s="4">
        <f>18.8769 * CHOOSE(CONTROL!$C$9, $C$13, 100%, $E$13) + CHOOSE(CONTROL!$C$28, 0.0003, 0)</f>
        <v>18.877199999999998</v>
      </c>
      <c r="C185" s="4">
        <f>18.5136 * CHOOSE(CONTROL!$C$9, $C$13, 100%, $E$13) + CHOOSE(CONTROL!$C$28, 0.0003, 0)</f>
        <v>18.5139</v>
      </c>
      <c r="D185" s="4">
        <f>27.0121 * CHOOSE(CONTROL!$C$9, $C$13, 100%, $E$13) + CHOOSE(CONTROL!$C$28, 0, 0)</f>
        <v>27.0121</v>
      </c>
      <c r="E185" s="4">
        <f>117.465394324666 * CHOOSE(CONTROL!$C$9, $C$13, 100%, $E$13) + CHOOSE(CONTROL!$C$28, 0, 0)</f>
        <v>117.46539432466599</v>
      </c>
    </row>
    <row r="186" spans="1:5" ht="15">
      <c r="A186" s="13">
        <v>47150</v>
      </c>
      <c r="B186" s="4">
        <f>19.3067 * CHOOSE(CONTROL!$C$9, $C$13, 100%, $E$13) + CHOOSE(CONTROL!$C$28, 0.0003, 0)</f>
        <v>19.306999999999999</v>
      </c>
      <c r="C186" s="4">
        <f>18.9434 * CHOOSE(CONTROL!$C$9, $C$13, 100%, $E$13) + CHOOSE(CONTROL!$C$28, 0.0003, 0)</f>
        <v>18.9437</v>
      </c>
      <c r="D186" s="4">
        <f>27.9001 * CHOOSE(CONTROL!$C$9, $C$13, 100%, $E$13) + CHOOSE(CONTROL!$C$28, 0, 0)</f>
        <v>27.900099999999998</v>
      </c>
      <c r="E186" s="4">
        <f>120.254485706415 * CHOOSE(CONTROL!$C$9, $C$13, 100%, $E$13) + CHOOSE(CONTROL!$C$28, 0, 0)</f>
        <v>120.254485706415</v>
      </c>
    </row>
    <row r="187" spans="1:5" ht="15">
      <c r="A187" s="13">
        <v>47178</v>
      </c>
      <c r="B187" s="4">
        <f>20.4355 * CHOOSE(CONTROL!$C$9, $C$13, 100%, $E$13) + CHOOSE(CONTROL!$C$28, 0.0003, 0)</f>
        <v>20.4358</v>
      </c>
      <c r="C187" s="4">
        <f>20.0722 * CHOOSE(CONTROL!$C$9, $C$13, 100%, $E$13) + CHOOSE(CONTROL!$C$28, 0.0003, 0)</f>
        <v>20.072499999999998</v>
      </c>
      <c r="D187" s="4">
        <f>29.2902 * CHOOSE(CONTROL!$C$9, $C$13, 100%, $E$13) + CHOOSE(CONTROL!$C$28, 0, 0)</f>
        <v>29.290199999999999</v>
      </c>
      <c r="E187" s="4">
        <f>127.578787896205 * CHOOSE(CONTROL!$C$9, $C$13, 100%, $E$13) + CHOOSE(CONTROL!$C$28, 0, 0)</f>
        <v>127.578787896205</v>
      </c>
    </row>
    <row r="188" spans="1:5" ht="15">
      <c r="A188" s="13">
        <v>47209</v>
      </c>
      <c r="B188" s="4">
        <f>21.2375 * CHOOSE(CONTROL!$C$9, $C$13, 100%, $E$13) + CHOOSE(CONTROL!$C$28, 0.0003, 0)</f>
        <v>21.2378</v>
      </c>
      <c r="C188" s="4">
        <f>20.8743 * CHOOSE(CONTROL!$C$9, $C$13, 100%, $E$13) + CHOOSE(CONTROL!$C$28, 0.0003, 0)</f>
        <v>20.874600000000001</v>
      </c>
      <c r="D188" s="4">
        <f>30.091 * CHOOSE(CONTROL!$C$9, $C$13, 100%, $E$13) + CHOOSE(CONTROL!$C$28, 0, 0)</f>
        <v>30.091000000000001</v>
      </c>
      <c r="E188" s="4">
        <f>132.782802211212 * CHOOSE(CONTROL!$C$9, $C$13, 100%, $E$13) + CHOOSE(CONTROL!$C$28, 0, 0)</f>
        <v>132.78280221121199</v>
      </c>
    </row>
    <row r="189" spans="1:5" ht="15">
      <c r="A189" s="13">
        <v>47239</v>
      </c>
      <c r="B189" s="4">
        <f>21.7276 * CHOOSE(CONTROL!$C$9, $C$13, 100%, $E$13) + CHOOSE(CONTROL!$C$28, 0.0136, 0)</f>
        <v>21.741199999999999</v>
      </c>
      <c r="C189" s="4">
        <f>21.3643 * CHOOSE(CONTROL!$C$9, $C$13, 100%, $E$13) + CHOOSE(CONTROL!$C$28, 0.0136, 0)</f>
        <v>21.3779</v>
      </c>
      <c r="D189" s="4">
        <f>29.7746 * CHOOSE(CONTROL!$C$9, $C$13, 100%, $E$13) + CHOOSE(CONTROL!$C$28, 0, 0)</f>
        <v>29.7746</v>
      </c>
      <c r="E189" s="4">
        <f>135.962330234865 * CHOOSE(CONTROL!$C$9, $C$13, 100%, $E$13) + CHOOSE(CONTROL!$C$28, 0, 0)</f>
        <v>135.96233023486499</v>
      </c>
    </row>
    <row r="190" spans="1:5" ht="15">
      <c r="A190" s="13">
        <v>47270</v>
      </c>
      <c r="B190" s="4">
        <f>21.7939 * CHOOSE(CONTROL!$C$9, $C$13, 100%, $E$13) + CHOOSE(CONTROL!$C$28, 0.0136, 0)</f>
        <v>21.807500000000001</v>
      </c>
      <c r="C190" s="4">
        <f>21.4306 * CHOOSE(CONTROL!$C$9, $C$13, 100%, $E$13) + CHOOSE(CONTROL!$C$28, 0.0136, 0)</f>
        <v>21.444199999999999</v>
      </c>
      <c r="D190" s="4">
        <f>30.0323 * CHOOSE(CONTROL!$C$9, $C$13, 100%, $E$13) + CHOOSE(CONTROL!$C$28, 0, 0)</f>
        <v>30.032299999999999</v>
      </c>
      <c r="E190" s="4">
        <f>136.392533571778 * CHOOSE(CONTROL!$C$9, $C$13, 100%, $E$13) + CHOOSE(CONTROL!$C$28, 0, 0)</f>
        <v>136.39253357177799</v>
      </c>
    </row>
    <row r="191" spans="1:5" ht="15">
      <c r="A191" s="13">
        <v>47300</v>
      </c>
      <c r="B191" s="4">
        <f>21.7872 * CHOOSE(CONTROL!$C$9, $C$13, 100%, $E$13) + CHOOSE(CONTROL!$C$28, 0.0136, 0)</f>
        <v>21.800799999999999</v>
      </c>
      <c r="C191" s="4">
        <f>21.4239 * CHOOSE(CONTROL!$C$9, $C$13, 100%, $E$13) + CHOOSE(CONTROL!$C$28, 0.0136, 0)</f>
        <v>21.4375</v>
      </c>
      <c r="D191" s="4">
        <f>30.4972 * CHOOSE(CONTROL!$C$9, $C$13, 100%, $E$13) + CHOOSE(CONTROL!$C$28, 0, 0)</f>
        <v>30.497199999999999</v>
      </c>
      <c r="E191" s="4">
        <f>136.349151722677 * CHOOSE(CONTROL!$C$9, $C$13, 100%, $E$13) + CHOOSE(CONTROL!$C$28, 0, 0)</f>
        <v>136.34915172267699</v>
      </c>
    </row>
    <row r="192" spans="1:5" ht="15">
      <c r="A192" s="13">
        <v>47331</v>
      </c>
      <c r="B192" s="4">
        <f>22.2903 * CHOOSE(CONTROL!$C$9, $C$13, 100%, $E$13) + CHOOSE(CONTROL!$C$28, 0.0136, 0)</f>
        <v>22.303899999999999</v>
      </c>
      <c r="C192" s="4">
        <f>21.927 * CHOOSE(CONTROL!$C$9, $C$13, 100%, $E$13) + CHOOSE(CONTROL!$C$28, 0.0136, 0)</f>
        <v>21.9406</v>
      </c>
      <c r="D192" s="4">
        <f>30.1902 * CHOOSE(CONTROL!$C$9, $C$13, 100%, $E$13) + CHOOSE(CONTROL!$C$28, 0, 0)</f>
        <v>30.190200000000001</v>
      </c>
      <c r="E192" s="4">
        <f>139.613635867485 * CHOOSE(CONTROL!$C$9, $C$13, 100%, $E$13) + CHOOSE(CONTROL!$C$28, 0, 0)</f>
        <v>139.61363586748499</v>
      </c>
    </row>
    <row r="193" spans="1:5" ht="15">
      <c r="A193" s="13">
        <v>47362</v>
      </c>
      <c r="B193" s="4">
        <f>21.4328 * CHOOSE(CONTROL!$C$9, $C$13, 100%, $E$13) + CHOOSE(CONTROL!$C$28, 0.0136, 0)</f>
        <v>21.446400000000001</v>
      </c>
      <c r="C193" s="4">
        <f>21.0695 * CHOOSE(CONTROL!$C$9, $C$13, 100%, $E$13) + CHOOSE(CONTROL!$C$28, 0.0136, 0)</f>
        <v>21.083100000000002</v>
      </c>
      <c r="D193" s="4">
        <f>30.0451 * CHOOSE(CONTROL!$C$9, $C$13, 100%, $E$13) + CHOOSE(CONTROL!$C$28, 0, 0)</f>
        <v>30.045100000000001</v>
      </c>
      <c r="E193" s="4">
        <f>134.049913720354 * CHOOSE(CONTROL!$C$9, $C$13, 100%, $E$13) + CHOOSE(CONTROL!$C$28, 0, 0)</f>
        <v>134.049913720354</v>
      </c>
    </row>
    <row r="194" spans="1:5" ht="15">
      <c r="A194" s="13">
        <v>47392</v>
      </c>
      <c r="B194" s="4">
        <f>20.7464 * CHOOSE(CONTROL!$C$9, $C$13, 100%, $E$13) + CHOOSE(CONTROL!$C$28, 0.0003, 0)</f>
        <v>20.746700000000001</v>
      </c>
      <c r="C194" s="4">
        <f>20.3831 * CHOOSE(CONTROL!$C$9, $C$13, 100%, $E$13) + CHOOSE(CONTROL!$C$28, 0.0003, 0)</f>
        <v>20.383399999999998</v>
      </c>
      <c r="D194" s="4">
        <f>29.6566 * CHOOSE(CONTROL!$C$9, $C$13, 100%, $E$13) + CHOOSE(CONTROL!$C$28, 0, 0)</f>
        <v>29.656600000000001</v>
      </c>
      <c r="E194" s="4">
        <f>129.596043879376 * CHOOSE(CONTROL!$C$9, $C$13, 100%, $E$13) + CHOOSE(CONTROL!$C$28, 0, 0)</f>
        <v>129.596043879376</v>
      </c>
    </row>
    <row r="195" spans="1:5" ht="15">
      <c r="A195" s="13">
        <v>47423</v>
      </c>
      <c r="B195" s="4">
        <f>20.3043 * CHOOSE(CONTROL!$C$9, $C$13, 100%, $E$13) + CHOOSE(CONTROL!$C$28, 0.0003, 0)</f>
        <v>20.304600000000001</v>
      </c>
      <c r="C195" s="4">
        <f>19.941 * CHOOSE(CONTROL!$C$9, $C$13, 100%, $E$13) + CHOOSE(CONTROL!$C$28, 0.0003, 0)</f>
        <v>19.941299999999998</v>
      </c>
      <c r="D195" s="4">
        <f>29.523 * CHOOSE(CONTROL!$C$9, $C$13, 100%, $E$13) + CHOOSE(CONTROL!$C$28, 0, 0)</f>
        <v>29.523</v>
      </c>
      <c r="E195" s="4">
        <f>126.727419107609 * CHOOSE(CONTROL!$C$9, $C$13, 100%, $E$13) + CHOOSE(CONTROL!$C$28, 0, 0)</f>
        <v>126.72741910760899</v>
      </c>
    </row>
    <row r="196" spans="1:5" ht="15">
      <c r="A196" s="13">
        <v>47453</v>
      </c>
      <c r="B196" s="4">
        <f>19.9984 * CHOOSE(CONTROL!$C$9, $C$13, 100%, $E$13) + CHOOSE(CONTROL!$C$28, 0.0003, 0)</f>
        <v>19.998699999999999</v>
      </c>
      <c r="C196" s="4">
        <f>19.6351 * CHOOSE(CONTROL!$C$9, $C$13, 100%, $E$13) + CHOOSE(CONTROL!$C$28, 0.0003, 0)</f>
        <v>19.635400000000001</v>
      </c>
      <c r="D196" s="4">
        <f>28.5398 * CHOOSE(CONTROL!$C$9, $C$13, 100%, $E$13) + CHOOSE(CONTROL!$C$28, 0, 0)</f>
        <v>28.5398</v>
      </c>
      <c r="E196" s="4">
        <f>124.742699511264 * CHOOSE(CONTROL!$C$9, $C$13, 100%, $E$13) + CHOOSE(CONTROL!$C$28, 0, 0)</f>
        <v>124.74269951126399</v>
      </c>
    </row>
    <row r="197" spans="1:5" ht="15">
      <c r="A197" s="13">
        <v>47484</v>
      </c>
      <c r="B197" s="4">
        <f>19.4199 * CHOOSE(CONTROL!$C$9, $C$13, 100%, $E$13) + CHOOSE(CONTROL!$C$28, 0.0003, 0)</f>
        <v>19.420199999999998</v>
      </c>
      <c r="C197" s="4">
        <f>19.0566 * CHOOSE(CONTROL!$C$9, $C$13, 100%, $E$13) + CHOOSE(CONTROL!$C$28, 0.0003, 0)</f>
        <v>19.056899999999999</v>
      </c>
      <c r="D197" s="4">
        <f>27.6032 * CHOOSE(CONTROL!$C$9, $C$13, 100%, $E$13) + CHOOSE(CONTROL!$C$28, 0, 0)</f>
        <v>27.603200000000001</v>
      </c>
      <c r="E197" s="4">
        <f>120.945559154883 * CHOOSE(CONTROL!$C$9, $C$13, 100%, $E$13) + CHOOSE(CONTROL!$C$28, 0, 0)</f>
        <v>120.945559154883</v>
      </c>
    </row>
    <row r="198" spans="1:5" ht="15">
      <c r="A198" s="13">
        <v>47515</v>
      </c>
      <c r="B198" s="4">
        <f>19.8626 * CHOOSE(CONTROL!$C$9, $C$13, 100%, $E$13) + CHOOSE(CONTROL!$C$28, 0.0003, 0)</f>
        <v>19.8629</v>
      </c>
      <c r="C198" s="4">
        <f>19.4994 * CHOOSE(CONTROL!$C$9, $C$13, 100%, $E$13) + CHOOSE(CONTROL!$C$28, 0.0003, 0)</f>
        <v>19.499700000000001</v>
      </c>
      <c r="D198" s="4">
        <f>28.5121 * CHOOSE(CONTROL!$C$9, $C$13, 100%, $E$13) + CHOOSE(CONTROL!$C$28, 0, 0)</f>
        <v>28.5121</v>
      </c>
      <c r="E198" s="4">
        <f>123.817283364716 * CHOOSE(CONTROL!$C$9, $C$13, 100%, $E$13) + CHOOSE(CONTROL!$C$28, 0, 0)</f>
        <v>123.817283364716</v>
      </c>
    </row>
    <row r="199" spans="1:5" ht="15">
      <c r="A199" s="13">
        <v>47543</v>
      </c>
      <c r="B199" s="4">
        <f>21.0253 * CHOOSE(CONTROL!$C$9, $C$13, 100%, $E$13) + CHOOSE(CONTROL!$C$28, 0.0003, 0)</f>
        <v>21.025600000000001</v>
      </c>
      <c r="C199" s="4">
        <f>20.662 * CHOOSE(CONTROL!$C$9, $C$13, 100%, $E$13) + CHOOSE(CONTROL!$C$28, 0.0003, 0)</f>
        <v>20.662299999999998</v>
      </c>
      <c r="D199" s="4">
        <f>29.9349 * CHOOSE(CONTROL!$C$9, $C$13, 100%, $E$13) + CHOOSE(CONTROL!$C$28, 0, 0)</f>
        <v>29.934899999999999</v>
      </c>
      <c r="E199" s="4">
        <f>131.35858375243 * CHOOSE(CONTROL!$C$9, $C$13, 100%, $E$13) + CHOOSE(CONTROL!$C$28, 0, 0)</f>
        <v>131.35858375243001</v>
      </c>
    </row>
    <row r="200" spans="1:5" ht="15">
      <c r="A200" s="13">
        <v>47574</v>
      </c>
      <c r="B200" s="4">
        <f>21.8514 * CHOOSE(CONTROL!$C$9, $C$13, 100%, $E$13) + CHOOSE(CONTROL!$C$28, 0.0003, 0)</f>
        <v>21.851700000000001</v>
      </c>
      <c r="C200" s="4">
        <f>21.4881 * CHOOSE(CONTROL!$C$9, $C$13, 100%, $E$13) + CHOOSE(CONTROL!$C$28, 0.0003, 0)</f>
        <v>21.488399999999999</v>
      </c>
      <c r="D200" s="4">
        <f>30.7544 * CHOOSE(CONTROL!$C$9, $C$13, 100%, $E$13) + CHOOSE(CONTROL!$C$28, 0, 0)</f>
        <v>30.7544</v>
      </c>
      <c r="E200" s="4">
        <f>136.716778178942 * CHOOSE(CONTROL!$C$9, $C$13, 100%, $E$13) + CHOOSE(CONTROL!$C$28, 0, 0)</f>
        <v>136.71677817894201</v>
      </c>
    </row>
    <row r="201" spans="1:5" ht="15">
      <c r="A201" s="13">
        <v>47604</v>
      </c>
      <c r="B201" s="4">
        <f>22.3561 * CHOOSE(CONTROL!$C$9, $C$13, 100%, $E$13) + CHOOSE(CONTROL!$C$28, 0.0136, 0)</f>
        <v>22.369700000000002</v>
      </c>
      <c r="C201" s="4">
        <f>21.9928 * CHOOSE(CONTROL!$C$9, $C$13, 100%, $E$13) + CHOOSE(CONTROL!$C$28, 0.0136, 0)</f>
        <v>22.006399999999999</v>
      </c>
      <c r="D201" s="4">
        <f>30.4306 * CHOOSE(CONTROL!$C$9, $C$13, 100%, $E$13) + CHOOSE(CONTROL!$C$28, 0, 0)</f>
        <v>30.430599999999998</v>
      </c>
      <c r="E201" s="4">
        <f>139.990506555543 * CHOOSE(CONTROL!$C$9, $C$13, 100%, $E$13) + CHOOSE(CONTROL!$C$28, 0, 0)</f>
        <v>139.99050655554299</v>
      </c>
    </row>
    <row r="202" spans="1:5" ht="15">
      <c r="A202" s="13">
        <v>47635</v>
      </c>
      <c r="B202" s="4">
        <f>22.4244 * CHOOSE(CONTROL!$C$9, $C$13, 100%, $E$13) + CHOOSE(CONTROL!$C$28, 0.0136, 0)</f>
        <v>22.437999999999999</v>
      </c>
      <c r="C202" s="4">
        <f>22.0611 * CHOOSE(CONTROL!$C$9, $C$13, 100%, $E$13) + CHOOSE(CONTROL!$C$28, 0.0136, 0)</f>
        <v>22.0747</v>
      </c>
      <c r="D202" s="4">
        <f>30.6943 * CHOOSE(CONTROL!$C$9, $C$13, 100%, $E$13) + CHOOSE(CONTROL!$C$28, 0, 0)</f>
        <v>30.694299999999998</v>
      </c>
      <c r="E202" s="4">
        <f>140.433455591149 * CHOOSE(CONTROL!$C$9, $C$13, 100%, $E$13) + CHOOSE(CONTROL!$C$28, 0, 0)</f>
        <v>140.433455591149</v>
      </c>
    </row>
    <row r="203" spans="1:5" ht="15">
      <c r="A203" s="13">
        <v>47665</v>
      </c>
      <c r="B203" s="4">
        <f>22.4175 * CHOOSE(CONTROL!$C$9, $C$13, 100%, $E$13) + CHOOSE(CONTROL!$C$28, 0.0136, 0)</f>
        <v>22.431100000000001</v>
      </c>
      <c r="C203" s="4">
        <f>22.0542 * CHOOSE(CONTROL!$C$9, $C$13, 100%, $E$13) + CHOOSE(CONTROL!$C$28, 0.0136, 0)</f>
        <v>22.067800000000002</v>
      </c>
      <c r="D203" s="4">
        <f>31.1702 * CHOOSE(CONTROL!$C$9, $C$13, 100%, $E$13) + CHOOSE(CONTROL!$C$28, 0, 0)</f>
        <v>31.170200000000001</v>
      </c>
      <c r="E203" s="4">
        <f>140.388788461509 * CHOOSE(CONTROL!$C$9, $C$13, 100%, $E$13) + CHOOSE(CONTROL!$C$28, 0, 0)</f>
        <v>140.38878846150899</v>
      </c>
    </row>
    <row r="204" spans="1:5" ht="15">
      <c r="A204" s="13">
        <v>47696</v>
      </c>
      <c r="B204" s="4">
        <f>22.9357 * CHOOSE(CONTROL!$C$9, $C$13, 100%, $E$13) + CHOOSE(CONTROL!$C$28, 0.0136, 0)</f>
        <v>22.949300000000001</v>
      </c>
      <c r="C204" s="4">
        <f>22.5724 * CHOOSE(CONTROL!$C$9, $C$13, 100%, $E$13) + CHOOSE(CONTROL!$C$28, 0.0136, 0)</f>
        <v>22.585999999999999</v>
      </c>
      <c r="D204" s="4">
        <f>30.8559 * CHOOSE(CONTROL!$C$9, $C$13, 100%, $E$13) + CHOOSE(CONTROL!$C$28, 0, 0)</f>
        <v>30.855899999999998</v>
      </c>
      <c r="E204" s="4">
        <f>143.74998996699 * CHOOSE(CONTROL!$C$9, $C$13, 100%, $E$13) + CHOOSE(CONTROL!$C$28, 0, 0)</f>
        <v>143.74998996699</v>
      </c>
    </row>
    <row r="205" spans="1:5" ht="15">
      <c r="A205" s="13">
        <v>47727</v>
      </c>
      <c r="B205" s="4">
        <f>22.0525 * CHOOSE(CONTROL!$C$9, $C$13, 100%, $E$13) + CHOOSE(CONTROL!$C$28, 0.0136, 0)</f>
        <v>22.066099999999999</v>
      </c>
      <c r="C205" s="4">
        <f>21.6892 * CHOOSE(CONTROL!$C$9, $C$13, 100%, $E$13) + CHOOSE(CONTROL!$C$28, 0.0136, 0)</f>
        <v>21.7028</v>
      </c>
      <c r="D205" s="4">
        <f>30.7074 * CHOOSE(CONTROL!$C$9, $C$13, 100%, $E$13) + CHOOSE(CONTROL!$C$28, 0, 0)</f>
        <v>30.7074</v>
      </c>
      <c r="E205" s="4">
        <f>138.021430590538 * CHOOSE(CONTROL!$C$9, $C$13, 100%, $E$13) + CHOOSE(CONTROL!$C$28, 0, 0)</f>
        <v>138.02143059053799</v>
      </c>
    </row>
    <row r="206" spans="1:5" ht="15">
      <c r="A206" s="13">
        <v>47757</v>
      </c>
      <c r="B206" s="4">
        <f>21.3455 * CHOOSE(CONTROL!$C$9, $C$13, 100%, $E$13) + CHOOSE(CONTROL!$C$28, 0.0003, 0)</f>
        <v>21.345800000000001</v>
      </c>
      <c r="C206" s="4">
        <f>20.9822 * CHOOSE(CONTROL!$C$9, $C$13, 100%, $E$13) + CHOOSE(CONTROL!$C$28, 0.0003, 0)</f>
        <v>20.982499999999998</v>
      </c>
      <c r="D206" s="4">
        <f>30.3098 * CHOOSE(CONTROL!$C$9, $C$13, 100%, $E$13) + CHOOSE(CONTROL!$C$28, 0, 0)</f>
        <v>30.309799999999999</v>
      </c>
      <c r="E206" s="4">
        <f>133.435605280734 * CHOOSE(CONTROL!$C$9, $C$13, 100%, $E$13) + CHOOSE(CONTROL!$C$28, 0, 0)</f>
        <v>133.43560528073399</v>
      </c>
    </row>
    <row r="207" spans="1:5" ht="15">
      <c r="A207" s="13">
        <v>47788</v>
      </c>
      <c r="B207" s="4">
        <f>20.8902 * CHOOSE(CONTROL!$C$9, $C$13, 100%, $E$13) + CHOOSE(CONTROL!$C$28, 0.0003, 0)</f>
        <v>20.890499999999999</v>
      </c>
      <c r="C207" s="4">
        <f>20.5269 * CHOOSE(CONTROL!$C$9, $C$13, 100%, $E$13) + CHOOSE(CONTROL!$C$28, 0.0003, 0)</f>
        <v>20.527200000000001</v>
      </c>
      <c r="D207" s="4">
        <f>30.1731 * CHOOSE(CONTROL!$C$9, $C$13, 100%, $E$13) + CHOOSE(CONTROL!$C$28, 0, 0)</f>
        <v>30.173100000000002</v>
      </c>
      <c r="E207" s="4">
        <f>130.481991333226 * CHOOSE(CONTROL!$C$9, $C$13, 100%, $E$13) + CHOOSE(CONTROL!$C$28, 0, 0)</f>
        <v>130.48199133322601</v>
      </c>
    </row>
    <row r="208" spans="1:5" ht="15">
      <c r="A208" s="13">
        <v>47818</v>
      </c>
      <c r="B208" s="4">
        <f>20.5751 * CHOOSE(CONTROL!$C$9, $C$13, 100%, $E$13) + CHOOSE(CONTROL!$C$28, 0.0003, 0)</f>
        <v>20.575399999999998</v>
      </c>
      <c r="C208" s="4">
        <f>20.2118 * CHOOSE(CONTROL!$C$9, $C$13, 100%, $E$13) + CHOOSE(CONTROL!$C$28, 0.0003, 0)</f>
        <v>20.2121</v>
      </c>
      <c r="D208" s="4">
        <f>29.1668 * CHOOSE(CONTROL!$C$9, $C$13, 100%, $E$13) + CHOOSE(CONTROL!$C$28, 0, 0)</f>
        <v>29.166799999999999</v>
      </c>
      <c r="E208" s="4">
        <f>128.438470152152 * CHOOSE(CONTROL!$C$9, $C$13, 100%, $E$13) + CHOOSE(CONTROL!$C$28, 0, 0)</f>
        <v>128.43847015215201</v>
      </c>
    </row>
    <row r="209" spans="1:5" ht="15">
      <c r="A209" s="13">
        <v>47849</v>
      </c>
      <c r="B209" s="4">
        <f>20.0969 * CHOOSE(CONTROL!$C$9, $C$13, 100%, $E$13) + CHOOSE(CONTROL!$C$28, 0.0003, 0)</f>
        <v>20.097200000000001</v>
      </c>
      <c r="C209" s="4">
        <f>19.7336 * CHOOSE(CONTROL!$C$9, $C$13, 100%, $E$13) + CHOOSE(CONTROL!$C$28, 0.0003, 0)</f>
        <v>19.733899999999998</v>
      </c>
      <c r="D209" s="4">
        <f>28.3552 * CHOOSE(CONTROL!$C$9, $C$13, 100%, $E$13) + CHOOSE(CONTROL!$C$28, 0, 0)</f>
        <v>28.3552</v>
      </c>
      <c r="E209" s="4">
        <f>125.328013938627 * CHOOSE(CONTROL!$C$9, $C$13, 100%, $E$13) + CHOOSE(CONTROL!$C$28, 0, 0)</f>
        <v>125.328013938627</v>
      </c>
    </row>
    <row r="210" spans="1:5" ht="15">
      <c r="A210" s="13">
        <v>47880</v>
      </c>
      <c r="B210" s="4">
        <f>20.5557 * CHOOSE(CONTROL!$C$9, $C$13, 100%, $E$13) + CHOOSE(CONTROL!$C$28, 0.0003, 0)</f>
        <v>20.556000000000001</v>
      </c>
      <c r="C210" s="4">
        <f>20.1925 * CHOOSE(CONTROL!$C$9, $C$13, 100%, $E$13) + CHOOSE(CONTROL!$C$28, 0.0003, 0)</f>
        <v>20.192799999999998</v>
      </c>
      <c r="D210" s="4">
        <f>29.2906 * CHOOSE(CONTROL!$C$9, $C$13, 100%, $E$13) + CHOOSE(CONTROL!$C$28, 0, 0)</f>
        <v>29.290600000000001</v>
      </c>
      <c r="E210" s="4">
        <f>128.303794895884 * CHOOSE(CONTROL!$C$9, $C$13, 100%, $E$13) + CHOOSE(CONTROL!$C$28, 0, 0)</f>
        <v>128.30379489588401</v>
      </c>
    </row>
    <row r="211" spans="1:5" ht="15">
      <c r="A211" s="13">
        <v>47908</v>
      </c>
      <c r="B211" s="4">
        <f>21.7606 * CHOOSE(CONTROL!$C$9, $C$13, 100%, $E$13) + CHOOSE(CONTROL!$C$28, 0.0003, 0)</f>
        <v>21.760899999999999</v>
      </c>
      <c r="C211" s="4">
        <f>21.3973 * CHOOSE(CONTROL!$C$9, $C$13, 100%, $E$13) + CHOOSE(CONTROL!$C$28, 0.0003, 0)</f>
        <v>21.397600000000001</v>
      </c>
      <c r="D211" s="4">
        <f>30.7549 * CHOOSE(CONTROL!$C$9, $C$13, 100%, $E$13) + CHOOSE(CONTROL!$C$28, 0, 0)</f>
        <v>30.754899999999999</v>
      </c>
      <c r="E211" s="4">
        <f>136.118353832243 * CHOOSE(CONTROL!$C$9, $C$13, 100%, $E$13) + CHOOSE(CONTROL!$C$28, 0, 0)</f>
        <v>136.118353832243</v>
      </c>
    </row>
    <row r="212" spans="1:5" ht="15">
      <c r="A212" s="13">
        <v>47939</v>
      </c>
      <c r="B212" s="4">
        <f>22.6167 * CHOOSE(CONTROL!$C$9, $C$13, 100%, $E$13) + CHOOSE(CONTROL!$C$28, 0.0003, 0)</f>
        <v>22.617000000000001</v>
      </c>
      <c r="C212" s="4">
        <f>22.2534 * CHOOSE(CONTROL!$C$9, $C$13, 100%, $E$13) + CHOOSE(CONTROL!$C$28, 0.0003, 0)</f>
        <v>22.253699999999998</v>
      </c>
      <c r="D212" s="4">
        <f>31.5984 * CHOOSE(CONTROL!$C$9, $C$13, 100%, $E$13) + CHOOSE(CONTROL!$C$28, 0, 0)</f>
        <v>31.598400000000002</v>
      </c>
      <c r="E212" s="4">
        <f>141.670702099217 * CHOOSE(CONTROL!$C$9, $C$13, 100%, $E$13) + CHOOSE(CONTROL!$C$28, 0, 0)</f>
        <v>141.67070209921701</v>
      </c>
    </row>
    <row r="213" spans="1:5" ht="15">
      <c r="A213" s="13">
        <v>47969</v>
      </c>
      <c r="B213" s="4">
        <f>23.1397 * CHOOSE(CONTROL!$C$9, $C$13, 100%, $E$13) + CHOOSE(CONTROL!$C$28, 0.0136, 0)</f>
        <v>23.153300000000002</v>
      </c>
      <c r="C213" s="4">
        <f>22.7765 * CHOOSE(CONTROL!$C$9, $C$13, 100%, $E$13) + CHOOSE(CONTROL!$C$28, 0.0136, 0)</f>
        <v>22.790099999999999</v>
      </c>
      <c r="D213" s="4">
        <f>31.2651 * CHOOSE(CONTROL!$C$9, $C$13, 100%, $E$13) + CHOOSE(CONTROL!$C$28, 0, 0)</f>
        <v>31.2651</v>
      </c>
      <c r="E213" s="4">
        <f>145.063053819123 * CHOOSE(CONTROL!$C$9, $C$13, 100%, $E$13) + CHOOSE(CONTROL!$C$28, 0, 0)</f>
        <v>145.06305381912301</v>
      </c>
    </row>
    <row r="214" spans="1:5" ht="15">
      <c r="A214" s="13">
        <v>48000</v>
      </c>
      <c r="B214" s="4">
        <f>23.2105 * CHOOSE(CONTROL!$C$9, $C$13, 100%, $E$13) + CHOOSE(CONTROL!$C$28, 0.0136, 0)</f>
        <v>23.2241</v>
      </c>
      <c r="C214" s="4">
        <f>22.8472 * CHOOSE(CONTROL!$C$9, $C$13, 100%, $E$13) + CHOOSE(CONTROL!$C$28, 0.0136, 0)</f>
        <v>22.860800000000001</v>
      </c>
      <c r="D214" s="4">
        <f>31.5366 * CHOOSE(CONTROL!$C$9, $C$13, 100%, $E$13) + CHOOSE(CONTROL!$C$28, 0, 0)</f>
        <v>31.5366</v>
      </c>
      <c r="E214" s="4">
        <f>145.522053085375 * CHOOSE(CONTROL!$C$9, $C$13, 100%, $E$13) + CHOOSE(CONTROL!$C$28, 0, 0)</f>
        <v>145.52205308537501</v>
      </c>
    </row>
    <row r="215" spans="1:5" ht="15">
      <c r="A215" s="13">
        <v>48030</v>
      </c>
      <c r="B215" s="4">
        <f>23.2034 * CHOOSE(CONTROL!$C$9, $C$13, 100%, $E$13) + CHOOSE(CONTROL!$C$28, 0.0136, 0)</f>
        <v>23.216999999999999</v>
      </c>
      <c r="C215" s="4">
        <f>22.8401 * CHOOSE(CONTROL!$C$9, $C$13, 100%, $E$13) + CHOOSE(CONTROL!$C$28, 0.0136, 0)</f>
        <v>22.8537</v>
      </c>
      <c r="D215" s="4">
        <f>32.0264 * CHOOSE(CONTROL!$C$9, $C$13, 100%, $E$13) + CHOOSE(CONTROL!$C$28, 0, 0)</f>
        <v>32.026400000000002</v>
      </c>
      <c r="E215" s="4">
        <f>145.47576744508 * CHOOSE(CONTROL!$C$9, $C$13, 100%, $E$13) + CHOOSE(CONTROL!$C$28, 0, 0)</f>
        <v>145.47576744508001</v>
      </c>
    </row>
    <row r="216" spans="1:5" ht="15">
      <c r="A216" s="13">
        <v>48061</v>
      </c>
      <c r="B216" s="4">
        <f>23.7404 * CHOOSE(CONTROL!$C$9, $C$13, 100%, $E$13) + CHOOSE(CONTROL!$C$28, 0.0136, 0)</f>
        <v>23.754000000000001</v>
      </c>
      <c r="C216" s="4">
        <f>23.3771 * CHOOSE(CONTROL!$C$9, $C$13, 100%, $E$13) + CHOOSE(CONTROL!$C$28, 0.0136, 0)</f>
        <v>23.390699999999999</v>
      </c>
      <c r="D216" s="4">
        <f>31.7029 * CHOOSE(CONTROL!$C$9, $C$13, 100%, $E$13) + CHOOSE(CONTROL!$C$28, 0, 0)</f>
        <v>31.7029</v>
      </c>
      <c r="E216" s="4">
        <f>148.958761877229 * CHOOSE(CONTROL!$C$9, $C$13, 100%, $E$13) + CHOOSE(CONTROL!$C$28, 0, 0)</f>
        <v>148.95876187722899</v>
      </c>
    </row>
    <row r="217" spans="1:5" ht="15">
      <c r="A217" s="13">
        <v>48092</v>
      </c>
      <c r="B217" s="4">
        <f>22.8251 * CHOOSE(CONTROL!$C$9, $C$13, 100%, $E$13) + CHOOSE(CONTROL!$C$28, 0.0136, 0)</f>
        <v>22.838699999999999</v>
      </c>
      <c r="C217" s="4">
        <f>22.4619 * CHOOSE(CONTROL!$C$9, $C$13, 100%, $E$13) + CHOOSE(CONTROL!$C$28, 0.0136, 0)</f>
        <v>22.4755</v>
      </c>
      <c r="D217" s="4">
        <f>31.5501 * CHOOSE(CONTROL!$C$9, $C$13, 100%, $E$13) + CHOOSE(CONTROL!$C$28, 0, 0)</f>
        <v>31.5501</v>
      </c>
      <c r="E217" s="4">
        <f>143.022628509481 * CHOOSE(CONTROL!$C$9, $C$13, 100%, $E$13) + CHOOSE(CONTROL!$C$28, 0, 0)</f>
        <v>143.022628509481</v>
      </c>
    </row>
    <row r="218" spans="1:5" ht="15">
      <c r="A218" s="13">
        <v>48122</v>
      </c>
      <c r="B218" s="4">
        <f>22.0925 * CHOOSE(CONTROL!$C$9, $C$13, 100%, $E$13) + CHOOSE(CONTROL!$C$28, 0.0003, 0)</f>
        <v>22.0928</v>
      </c>
      <c r="C218" s="4">
        <f>21.7292 * CHOOSE(CONTROL!$C$9, $C$13, 100%, $E$13) + CHOOSE(CONTROL!$C$28, 0.0003, 0)</f>
        <v>21.729499999999998</v>
      </c>
      <c r="D218" s="4">
        <f>31.1409 * CHOOSE(CONTROL!$C$9, $C$13, 100%, $E$13) + CHOOSE(CONTROL!$C$28, 0, 0)</f>
        <v>31.140899999999998</v>
      </c>
      <c r="E218" s="4">
        <f>138.27063610593 * CHOOSE(CONTROL!$C$9, $C$13, 100%, $E$13) + CHOOSE(CONTROL!$C$28, 0, 0)</f>
        <v>138.27063610593001</v>
      </c>
    </row>
    <row r="219" spans="1:5" ht="15">
      <c r="A219" s="13">
        <v>48153</v>
      </c>
      <c r="B219" s="4">
        <f>21.6206 * CHOOSE(CONTROL!$C$9, $C$13, 100%, $E$13) + CHOOSE(CONTROL!$C$28, 0.0003, 0)</f>
        <v>21.620899999999999</v>
      </c>
      <c r="C219" s="4">
        <f>21.2573 * CHOOSE(CONTROL!$C$9, $C$13, 100%, $E$13) + CHOOSE(CONTROL!$C$28, 0.0003, 0)</f>
        <v>21.2576</v>
      </c>
      <c r="D219" s="4">
        <f>31.0002 * CHOOSE(CONTROL!$C$9, $C$13, 100%, $E$13) + CHOOSE(CONTROL!$C$28, 0, 0)</f>
        <v>31.0002</v>
      </c>
      <c r="E219" s="4">
        <f>135.209998141467 * CHOOSE(CONTROL!$C$9, $C$13, 100%, $E$13) + CHOOSE(CONTROL!$C$28, 0, 0)</f>
        <v>135.209998141467</v>
      </c>
    </row>
    <row r="220" spans="1:5" ht="15">
      <c r="A220" s="13">
        <v>48183</v>
      </c>
      <c r="B220" s="4">
        <f>21.2941 * CHOOSE(CONTROL!$C$9, $C$13, 100%, $E$13) + CHOOSE(CONTROL!$C$28, 0.0003, 0)</f>
        <v>21.2944</v>
      </c>
      <c r="C220" s="4">
        <f>20.9308 * CHOOSE(CONTROL!$C$9, $C$13, 100%, $E$13) + CHOOSE(CONTROL!$C$28, 0.0003, 0)</f>
        <v>20.931100000000001</v>
      </c>
      <c r="D220" s="4">
        <f>29.9644 * CHOOSE(CONTROL!$C$9, $C$13, 100%, $E$13) + CHOOSE(CONTROL!$C$28, 0, 0)</f>
        <v>29.964400000000001</v>
      </c>
      <c r="E220" s="4">
        <f>133.092430098001 * CHOOSE(CONTROL!$C$9, $C$13, 100%, $E$13) + CHOOSE(CONTROL!$C$28, 0, 0)</f>
        <v>133.09243009800099</v>
      </c>
    </row>
    <row r="221" spans="1:5" ht="15">
      <c r="A221" s="13">
        <v>48214</v>
      </c>
      <c r="B221" s="4">
        <f>20.7881 * CHOOSE(CONTROL!$C$9, $C$13, 100%, $E$13) + CHOOSE(CONTROL!$C$28, 0.0003, 0)</f>
        <v>20.788399999999999</v>
      </c>
      <c r="C221" s="4">
        <f>20.4248 * CHOOSE(CONTROL!$C$9, $C$13, 100%, $E$13) + CHOOSE(CONTROL!$C$28, 0.0003, 0)</f>
        <v>20.4251</v>
      </c>
      <c r="D221" s="4">
        <f>29.1072 * CHOOSE(CONTROL!$C$9, $C$13, 100%, $E$13) + CHOOSE(CONTROL!$C$28, 0, 0)</f>
        <v>29.107199999999999</v>
      </c>
      <c r="E221" s="4">
        <f>129.710069271808 * CHOOSE(CONTROL!$C$9, $C$13, 100%, $E$13) + CHOOSE(CONTROL!$C$28, 0, 0)</f>
        <v>129.71006927180801</v>
      </c>
    </row>
    <row r="222" spans="1:5" ht="15">
      <c r="A222" s="13">
        <v>48245</v>
      </c>
      <c r="B222" s="4">
        <f>21.2633 * CHOOSE(CONTROL!$C$9, $C$13, 100%, $E$13) + CHOOSE(CONTROL!$C$28, 0.0003, 0)</f>
        <v>21.2636</v>
      </c>
      <c r="C222" s="4">
        <f>20.9 * CHOOSE(CONTROL!$C$9, $C$13, 100%, $E$13) + CHOOSE(CONTROL!$C$28, 0.0003, 0)</f>
        <v>20.900299999999998</v>
      </c>
      <c r="D222" s="4">
        <f>30.0692 * CHOOSE(CONTROL!$C$9, $C$13, 100%, $E$13) + CHOOSE(CONTROL!$C$28, 0, 0)</f>
        <v>30.069199999999999</v>
      </c>
      <c r="E222" s="4">
        <f>132.789897491957 * CHOOSE(CONTROL!$C$9, $C$13, 100%, $E$13) + CHOOSE(CONTROL!$C$28, 0, 0)</f>
        <v>132.78989749195699</v>
      </c>
    </row>
    <row r="223" spans="1:5" ht="15">
      <c r="A223" s="13">
        <v>48274</v>
      </c>
      <c r="B223" s="4">
        <f>22.5113 * CHOOSE(CONTROL!$C$9, $C$13, 100%, $E$13) + CHOOSE(CONTROL!$C$28, 0.0003, 0)</f>
        <v>22.511599999999998</v>
      </c>
      <c r="C223" s="4">
        <f>22.148 * CHOOSE(CONTROL!$C$9, $C$13, 100%, $E$13) + CHOOSE(CONTROL!$C$28, 0.0003, 0)</f>
        <v>22.148299999999999</v>
      </c>
      <c r="D223" s="4">
        <f>31.575 * CHOOSE(CONTROL!$C$9, $C$13, 100%, $E$13) + CHOOSE(CONTROL!$C$28, 0, 0)</f>
        <v>31.574999999999999</v>
      </c>
      <c r="E223" s="4">
        <f>140.877690070081 * CHOOSE(CONTROL!$C$9, $C$13, 100%, $E$13) + CHOOSE(CONTROL!$C$28, 0, 0)</f>
        <v>140.877690070081</v>
      </c>
    </row>
    <row r="224" spans="1:5" ht="15">
      <c r="A224" s="13">
        <v>48305</v>
      </c>
      <c r="B224" s="4">
        <f>23.398 * CHOOSE(CONTROL!$C$9, $C$13, 100%, $E$13) + CHOOSE(CONTROL!$C$28, 0.0003, 0)</f>
        <v>23.398299999999999</v>
      </c>
      <c r="C224" s="4">
        <f>23.0347 * CHOOSE(CONTROL!$C$9, $C$13, 100%, $E$13) + CHOOSE(CONTROL!$C$28, 0.0003, 0)</f>
        <v>23.035</v>
      </c>
      <c r="D224" s="4">
        <f>32.4425 * CHOOSE(CONTROL!$C$9, $C$13, 100%, $E$13) + CHOOSE(CONTROL!$C$28, 0, 0)</f>
        <v>32.442500000000003</v>
      </c>
      <c r="E224" s="4">
        <f>146.624174480845 * CHOOSE(CONTROL!$C$9, $C$13, 100%, $E$13) + CHOOSE(CONTROL!$C$28, 0, 0)</f>
        <v>146.624174480845</v>
      </c>
    </row>
    <row r="225" spans="1:5" ht="15">
      <c r="A225" s="13">
        <v>48335</v>
      </c>
      <c r="B225" s="4">
        <f>23.9397 * CHOOSE(CONTROL!$C$9, $C$13, 100%, $E$13) + CHOOSE(CONTROL!$C$28, 0.0136, 0)</f>
        <v>23.953299999999999</v>
      </c>
      <c r="C225" s="4">
        <f>23.5764 * CHOOSE(CONTROL!$C$9, $C$13, 100%, $E$13) + CHOOSE(CONTROL!$C$28, 0.0136, 0)</f>
        <v>23.59</v>
      </c>
      <c r="D225" s="4">
        <f>32.0997 * CHOOSE(CONTROL!$C$9, $C$13, 100%, $E$13) + CHOOSE(CONTROL!$C$28, 0, 0)</f>
        <v>32.099699999999999</v>
      </c>
      <c r="E225" s="4">
        <f>150.135138731813 * CHOOSE(CONTROL!$C$9, $C$13, 100%, $E$13) + CHOOSE(CONTROL!$C$28, 0, 0)</f>
        <v>150.13513873181299</v>
      </c>
    </row>
    <row r="226" spans="1:5" ht="15">
      <c r="A226" s="13">
        <v>48366</v>
      </c>
      <c r="B226" s="4">
        <f>24.013 * CHOOSE(CONTROL!$C$9, $C$13, 100%, $E$13) + CHOOSE(CONTROL!$C$28, 0.0136, 0)</f>
        <v>24.026600000000002</v>
      </c>
      <c r="C226" s="4">
        <f>23.6497 * CHOOSE(CONTROL!$C$9, $C$13, 100%, $E$13) + CHOOSE(CONTROL!$C$28, 0.0136, 0)</f>
        <v>23.6633</v>
      </c>
      <c r="D226" s="4">
        <f>32.3788 * CHOOSE(CONTROL!$C$9, $C$13, 100%, $E$13) + CHOOSE(CONTROL!$C$28, 0, 0)</f>
        <v>32.378799999999998</v>
      </c>
      <c r="E226" s="4">
        <f>150.610186765769 * CHOOSE(CONTROL!$C$9, $C$13, 100%, $E$13) + CHOOSE(CONTROL!$C$28, 0, 0)</f>
        <v>150.61018676576899</v>
      </c>
    </row>
    <row r="227" spans="1:5" ht="15">
      <c r="A227" s="13">
        <v>48396</v>
      </c>
      <c r="B227" s="4">
        <f>24.0056 * CHOOSE(CONTROL!$C$9, $C$13, 100%, $E$13) + CHOOSE(CONTROL!$C$28, 0.0136, 0)</f>
        <v>24.019200000000001</v>
      </c>
      <c r="C227" s="4">
        <f>23.6423 * CHOOSE(CONTROL!$C$9, $C$13, 100%, $E$13) + CHOOSE(CONTROL!$C$28, 0.0136, 0)</f>
        <v>23.655899999999999</v>
      </c>
      <c r="D227" s="4">
        <f>32.8825 * CHOOSE(CONTROL!$C$9, $C$13, 100%, $E$13) + CHOOSE(CONTROL!$C$28, 0, 0)</f>
        <v>32.8825</v>
      </c>
      <c r="E227" s="4">
        <f>150.562282762345 * CHOOSE(CONTROL!$C$9, $C$13, 100%, $E$13) + CHOOSE(CONTROL!$C$28, 0, 0)</f>
        <v>150.56228276234501</v>
      </c>
    </row>
    <row r="228" spans="1:5" ht="15">
      <c r="A228" s="13">
        <v>48427</v>
      </c>
      <c r="B228" s="4">
        <f>24.5618 * CHOOSE(CONTROL!$C$9, $C$13, 100%, $E$13) + CHOOSE(CONTROL!$C$28, 0.0136, 0)</f>
        <v>24.575400000000002</v>
      </c>
      <c r="C228" s="4">
        <f>24.1986 * CHOOSE(CONTROL!$C$9, $C$13, 100%, $E$13) + CHOOSE(CONTROL!$C$28, 0.0136, 0)</f>
        <v>24.212199999999999</v>
      </c>
      <c r="D228" s="4">
        <f>32.5499 * CHOOSE(CONTROL!$C$9, $C$13, 100%, $E$13) + CHOOSE(CONTROL!$C$28, 0, 0)</f>
        <v>32.549900000000001</v>
      </c>
      <c r="E228" s="4">
        <f>154.167059020018 * CHOOSE(CONTROL!$C$9, $C$13, 100%, $E$13) + CHOOSE(CONTROL!$C$28, 0, 0)</f>
        <v>154.167059020018</v>
      </c>
    </row>
    <row r="229" spans="1:5" ht="15">
      <c r="A229" s="13">
        <v>48458</v>
      </c>
      <c r="B229" s="4">
        <f>23.6139 * CHOOSE(CONTROL!$C$9, $C$13, 100%, $E$13) + CHOOSE(CONTROL!$C$28, 0.0136, 0)</f>
        <v>23.627500000000001</v>
      </c>
      <c r="C229" s="4">
        <f>23.2506 * CHOOSE(CONTROL!$C$9, $C$13, 100%, $E$13) + CHOOSE(CONTROL!$C$28, 0.0136, 0)</f>
        <v>23.264199999999999</v>
      </c>
      <c r="D229" s="4">
        <f>32.3927 * CHOOSE(CONTROL!$C$9, $C$13, 100%, $E$13) + CHOOSE(CONTROL!$C$28, 0, 0)</f>
        <v>32.392699999999998</v>
      </c>
      <c r="E229" s="4">
        <f>148.023370580861 * CHOOSE(CONTROL!$C$9, $C$13, 100%, $E$13) + CHOOSE(CONTROL!$C$28, 0, 0)</f>
        <v>148.02337058086101</v>
      </c>
    </row>
    <row r="230" spans="1:5" ht="15">
      <c r="A230" s="13">
        <v>48488</v>
      </c>
      <c r="B230" s="4">
        <f>22.855 * CHOOSE(CONTROL!$C$9, $C$13, 100%, $E$13) + CHOOSE(CONTROL!$C$28, 0.0003, 0)</f>
        <v>22.8553</v>
      </c>
      <c r="C230" s="4">
        <f>22.4917 * CHOOSE(CONTROL!$C$9, $C$13, 100%, $E$13) + CHOOSE(CONTROL!$C$28, 0.0003, 0)</f>
        <v>22.492000000000001</v>
      </c>
      <c r="D230" s="4">
        <f>31.9719 * CHOOSE(CONTROL!$C$9, $C$13, 100%, $E$13) + CHOOSE(CONTROL!$C$28, 0, 0)</f>
        <v>31.971900000000002</v>
      </c>
      <c r="E230" s="4">
        <f>143.105226229307 * CHOOSE(CONTROL!$C$9, $C$13, 100%, $E$13) + CHOOSE(CONTROL!$C$28, 0, 0)</f>
        <v>143.10522622930699</v>
      </c>
    </row>
    <row r="231" spans="1:5" ht="15">
      <c r="A231" s="13">
        <v>48519</v>
      </c>
      <c r="B231" s="4">
        <f>22.3662 * CHOOSE(CONTROL!$C$9, $C$13, 100%, $E$13) + CHOOSE(CONTROL!$C$28, 0.0003, 0)</f>
        <v>22.366499999999998</v>
      </c>
      <c r="C231" s="4">
        <f>22.0029 * CHOOSE(CONTROL!$C$9, $C$13, 100%, $E$13) + CHOOSE(CONTROL!$C$28, 0.0003, 0)</f>
        <v>22.0032</v>
      </c>
      <c r="D231" s="4">
        <f>31.8272 * CHOOSE(CONTROL!$C$9, $C$13, 100%, $E$13) + CHOOSE(CONTROL!$C$28, 0, 0)</f>
        <v>31.827200000000001</v>
      </c>
      <c r="E231" s="4">
        <f>139.93757400288 * CHOOSE(CONTROL!$C$9, $C$13, 100%, $E$13) + CHOOSE(CONTROL!$C$28, 0, 0)</f>
        <v>139.93757400288001</v>
      </c>
    </row>
    <row r="232" spans="1:5" ht="15">
      <c r="A232" s="13">
        <v>48549</v>
      </c>
      <c r="B232" s="4">
        <f>22.028 * CHOOSE(CONTROL!$C$9, $C$13, 100%, $E$13) + CHOOSE(CONTROL!$C$28, 0.0003, 0)</f>
        <v>22.028299999999998</v>
      </c>
      <c r="C232" s="4">
        <f>21.6647 * CHOOSE(CONTROL!$C$9, $C$13, 100%, $E$13) + CHOOSE(CONTROL!$C$28, 0.0003, 0)</f>
        <v>21.664999999999999</v>
      </c>
      <c r="D232" s="4">
        <f>30.7621 * CHOOSE(CONTROL!$C$9, $C$13, 100%, $E$13) + CHOOSE(CONTROL!$C$28, 0, 0)</f>
        <v>30.7621</v>
      </c>
      <c r="E232" s="4">
        <f>137.745965846222 * CHOOSE(CONTROL!$C$9, $C$13, 100%, $E$13) + CHOOSE(CONTROL!$C$28, 0, 0)</f>
        <v>137.74596584622199</v>
      </c>
    </row>
    <row r="233" spans="1:5" ht="15">
      <c r="A233" s="13">
        <v>48580</v>
      </c>
      <c r="B233" s="4">
        <f>21.4792 * CHOOSE(CONTROL!$C$9, $C$13, 100%, $E$13) + CHOOSE(CONTROL!$C$28, 0.0003, 0)</f>
        <v>21.479499999999998</v>
      </c>
      <c r="C233" s="4">
        <f>21.1159 * CHOOSE(CONTROL!$C$9, $C$13, 100%, $E$13) + CHOOSE(CONTROL!$C$28, 0.0003, 0)</f>
        <v>21.116199999999999</v>
      </c>
      <c r="D233" s="4">
        <f>29.8592 * CHOOSE(CONTROL!$C$9, $C$13, 100%, $E$13) + CHOOSE(CONTROL!$C$28, 0, 0)</f>
        <v>29.859200000000001</v>
      </c>
      <c r="E233" s="4">
        <f>134.091697606109 * CHOOSE(CONTROL!$C$9, $C$13, 100%, $E$13) + CHOOSE(CONTROL!$C$28, 0, 0)</f>
        <v>134.09169760610899</v>
      </c>
    </row>
    <row r="234" spans="1:5" ht="15">
      <c r="A234" s="13">
        <v>48611</v>
      </c>
      <c r="B234" s="4">
        <f>21.9708 * CHOOSE(CONTROL!$C$9, $C$13, 100%, $E$13) + CHOOSE(CONTROL!$C$28, 0.0003, 0)</f>
        <v>21.9711</v>
      </c>
      <c r="C234" s="4">
        <f>21.6075 * CHOOSE(CONTROL!$C$9, $C$13, 100%, $E$13) + CHOOSE(CONTROL!$C$28, 0.0003, 0)</f>
        <v>21.607800000000001</v>
      </c>
      <c r="D234" s="4">
        <f>30.8477 * CHOOSE(CONTROL!$C$9, $C$13, 100%, $E$13) + CHOOSE(CONTROL!$C$28, 0, 0)</f>
        <v>30.8477</v>
      </c>
      <c r="E234" s="4">
        <f>137.275562950515 * CHOOSE(CONTROL!$C$9, $C$13, 100%, $E$13) + CHOOSE(CONTROL!$C$28, 0, 0)</f>
        <v>137.275562950515</v>
      </c>
    </row>
    <row r="235" spans="1:5" ht="15">
      <c r="A235" s="13">
        <v>48639</v>
      </c>
      <c r="B235" s="4">
        <f>23.2619 * CHOOSE(CONTROL!$C$9, $C$13, 100%, $E$13) + CHOOSE(CONTROL!$C$28, 0.0003, 0)</f>
        <v>23.2622</v>
      </c>
      <c r="C235" s="4">
        <f>22.8986 * CHOOSE(CONTROL!$C$9, $C$13, 100%, $E$13) + CHOOSE(CONTROL!$C$28, 0.0003, 0)</f>
        <v>22.898899999999998</v>
      </c>
      <c r="D235" s="4">
        <f>32.3951 * CHOOSE(CONTROL!$C$9, $C$13, 100%, $E$13) + CHOOSE(CONTROL!$C$28, 0, 0)</f>
        <v>32.395099999999999</v>
      </c>
      <c r="E235" s="4">
        <f>145.636562545806 * CHOOSE(CONTROL!$C$9, $C$13, 100%, $E$13) + CHOOSE(CONTROL!$C$28, 0, 0)</f>
        <v>145.63656254580599</v>
      </c>
    </row>
    <row r="236" spans="1:5" ht="15">
      <c r="A236" s="13">
        <v>48670</v>
      </c>
      <c r="B236" s="4">
        <f>24.1792 * CHOOSE(CONTROL!$C$9, $C$13, 100%, $E$13) + CHOOSE(CONTROL!$C$28, 0.0003, 0)</f>
        <v>24.179500000000001</v>
      </c>
      <c r="C236" s="4">
        <f>23.8159 * CHOOSE(CONTROL!$C$9, $C$13, 100%, $E$13) + CHOOSE(CONTROL!$C$28, 0.0003, 0)</f>
        <v>23.816199999999998</v>
      </c>
      <c r="D236" s="4">
        <f>33.2865 * CHOOSE(CONTROL!$C$9, $C$13, 100%, $E$13) + CHOOSE(CONTROL!$C$28, 0, 0)</f>
        <v>33.286499999999997</v>
      </c>
      <c r="E236" s="4">
        <f>151.57716418323 * CHOOSE(CONTROL!$C$9, $C$13, 100%, $E$13) + CHOOSE(CONTROL!$C$28, 0, 0)</f>
        <v>151.57716418323</v>
      </c>
    </row>
    <row r="237" spans="1:5" ht="15">
      <c r="A237" s="13">
        <v>48700</v>
      </c>
      <c r="B237" s="4">
        <f>24.7397 * CHOOSE(CONTROL!$C$9, $C$13, 100%, $E$13) + CHOOSE(CONTROL!$C$28, 0.0136, 0)</f>
        <v>24.753299999999999</v>
      </c>
      <c r="C237" s="4">
        <f>24.3764 * CHOOSE(CONTROL!$C$9, $C$13, 100%, $E$13) + CHOOSE(CONTROL!$C$28, 0.0136, 0)</f>
        <v>24.39</v>
      </c>
      <c r="D237" s="4">
        <f>32.9343 * CHOOSE(CONTROL!$C$9, $C$13, 100%, $E$13) + CHOOSE(CONTROL!$C$28, 0, 0)</f>
        <v>32.9343</v>
      </c>
      <c r="E237" s="4">
        <f>155.206729407345 * CHOOSE(CONTROL!$C$9, $C$13, 100%, $E$13) + CHOOSE(CONTROL!$C$28, 0, 0)</f>
        <v>155.20672940734499</v>
      </c>
    </row>
    <row r="238" spans="1:5" ht="15">
      <c r="A238" s="13">
        <v>48731</v>
      </c>
      <c r="B238" s="4">
        <f>24.8155 * CHOOSE(CONTROL!$C$9, $C$13, 100%, $E$13) + CHOOSE(CONTROL!$C$28, 0.0136, 0)</f>
        <v>24.8291</v>
      </c>
      <c r="C238" s="4">
        <f>24.4522 * CHOOSE(CONTROL!$C$9, $C$13, 100%, $E$13) + CHOOSE(CONTROL!$C$28, 0.0136, 0)</f>
        <v>24.465800000000002</v>
      </c>
      <c r="D238" s="4">
        <f>33.2211 * CHOOSE(CONTROL!$C$9, $C$13, 100%, $E$13) + CHOOSE(CONTROL!$C$28, 0, 0)</f>
        <v>33.2211</v>
      </c>
      <c r="E238" s="4">
        <f>155.697824645173 * CHOOSE(CONTROL!$C$9, $C$13, 100%, $E$13) + CHOOSE(CONTROL!$C$28, 0, 0)</f>
        <v>155.697824645173</v>
      </c>
    </row>
    <row r="239" spans="1:5" ht="15">
      <c r="A239" s="13">
        <v>48761</v>
      </c>
      <c r="B239" s="4">
        <f>24.8079 * CHOOSE(CONTROL!$C$9, $C$13, 100%, $E$13) + CHOOSE(CONTROL!$C$28, 0.0136, 0)</f>
        <v>24.8215</v>
      </c>
      <c r="C239" s="4">
        <f>24.4446 * CHOOSE(CONTROL!$C$9, $C$13, 100%, $E$13) + CHOOSE(CONTROL!$C$28, 0.0136, 0)</f>
        <v>24.458200000000001</v>
      </c>
      <c r="D239" s="4">
        <f>33.7387 * CHOOSE(CONTROL!$C$9, $C$13, 100%, $E$13) + CHOOSE(CONTROL!$C$28, 0, 0)</f>
        <v>33.738700000000001</v>
      </c>
      <c r="E239" s="4">
        <f>155.648302436317 * CHOOSE(CONTROL!$C$9, $C$13, 100%, $E$13) + CHOOSE(CONTROL!$C$28, 0, 0)</f>
        <v>155.64830243631701</v>
      </c>
    </row>
    <row r="240" spans="1:5" ht="15">
      <c r="A240" s="13">
        <v>48792</v>
      </c>
      <c r="B240" s="4">
        <f>25.3833 * CHOOSE(CONTROL!$C$9, $C$13, 100%, $E$13) + CHOOSE(CONTROL!$C$28, 0.0136, 0)</f>
        <v>25.396899999999999</v>
      </c>
      <c r="C240" s="4">
        <f>25.02 * CHOOSE(CONTROL!$C$9, $C$13, 100%, $E$13) + CHOOSE(CONTROL!$C$28, 0.0136, 0)</f>
        <v>25.0336</v>
      </c>
      <c r="D240" s="4">
        <f>33.3969 * CHOOSE(CONTROL!$C$9, $C$13, 100%, $E$13) + CHOOSE(CONTROL!$C$28, 0, 0)</f>
        <v>33.396900000000002</v>
      </c>
      <c r="E240" s="4">
        <f>159.374848652776 * CHOOSE(CONTROL!$C$9, $C$13, 100%, $E$13) + CHOOSE(CONTROL!$C$28, 0, 0)</f>
        <v>159.374848652776</v>
      </c>
    </row>
    <row r="241" spans="1:5" ht="15">
      <c r="A241" s="13">
        <v>48823</v>
      </c>
      <c r="B241" s="4">
        <f>24.4026 * CHOOSE(CONTROL!$C$9, $C$13, 100%, $E$13) + CHOOSE(CONTROL!$C$28, 0.0136, 0)</f>
        <v>24.4162</v>
      </c>
      <c r="C241" s="4">
        <f>24.0393 * CHOOSE(CONTROL!$C$9, $C$13, 100%, $E$13) + CHOOSE(CONTROL!$C$28, 0.0136, 0)</f>
        <v>24.052900000000001</v>
      </c>
      <c r="D241" s="4">
        <f>33.2354 * CHOOSE(CONTROL!$C$9, $C$13, 100%, $E$13) + CHOOSE(CONTROL!$C$28, 0, 0)</f>
        <v>33.235399999999998</v>
      </c>
      <c r="E241" s="4">
        <f>153.023625366916 * CHOOSE(CONTROL!$C$9, $C$13, 100%, $E$13) + CHOOSE(CONTROL!$C$28, 0, 0)</f>
        <v>153.02362536691601</v>
      </c>
    </row>
    <row r="242" spans="1:5" ht="15">
      <c r="A242" s="13">
        <v>48853</v>
      </c>
      <c r="B242" s="4">
        <f>23.6175 * CHOOSE(CONTROL!$C$9, $C$13, 100%, $E$13) + CHOOSE(CONTROL!$C$28, 0.0003, 0)</f>
        <v>23.617799999999999</v>
      </c>
      <c r="C242" s="4">
        <f>23.2542 * CHOOSE(CONTROL!$C$9, $C$13, 100%, $E$13) + CHOOSE(CONTROL!$C$28, 0.0003, 0)</f>
        <v>23.2545</v>
      </c>
      <c r="D242" s="4">
        <f>32.8029 * CHOOSE(CONTROL!$C$9, $C$13, 100%, $E$13) + CHOOSE(CONTROL!$C$28, 0, 0)</f>
        <v>32.802900000000001</v>
      </c>
      <c r="E242" s="4">
        <f>147.939345257638 * CHOOSE(CONTROL!$C$9, $C$13, 100%, $E$13) + CHOOSE(CONTROL!$C$28, 0, 0)</f>
        <v>147.939345257638</v>
      </c>
    </row>
    <row r="243" spans="1:5" ht="15">
      <c r="A243" s="13">
        <v>48884</v>
      </c>
      <c r="B243" s="4">
        <f>23.1118 * CHOOSE(CONTROL!$C$9, $C$13, 100%, $E$13) + CHOOSE(CONTROL!$C$28, 0.0003, 0)</f>
        <v>23.112099999999998</v>
      </c>
      <c r="C243" s="4">
        <f>22.7485 * CHOOSE(CONTROL!$C$9, $C$13, 100%, $E$13) + CHOOSE(CONTROL!$C$28, 0.0003, 0)</f>
        <v>22.748799999999999</v>
      </c>
      <c r="D243" s="4">
        <f>32.6543 * CHOOSE(CONTROL!$C$9, $C$13, 100%, $E$13) + CHOOSE(CONTROL!$C$28, 0, 0)</f>
        <v>32.654299999999999</v>
      </c>
      <c r="E243" s="4">
        <f>144.664689196995 * CHOOSE(CONTROL!$C$9, $C$13, 100%, $E$13) + CHOOSE(CONTROL!$C$28, 0, 0)</f>
        <v>144.664689196995</v>
      </c>
    </row>
    <row r="244" spans="1:5" ht="15">
      <c r="A244" s="13">
        <v>48914</v>
      </c>
      <c r="B244" s="4">
        <f>22.762 * CHOOSE(CONTROL!$C$9, $C$13, 100%, $E$13) + CHOOSE(CONTROL!$C$28, 0.0003, 0)</f>
        <v>22.7623</v>
      </c>
      <c r="C244" s="4">
        <f>22.3987 * CHOOSE(CONTROL!$C$9, $C$13, 100%, $E$13) + CHOOSE(CONTROL!$C$28, 0.0003, 0)</f>
        <v>22.399000000000001</v>
      </c>
      <c r="D244" s="4">
        <f>31.5598 * CHOOSE(CONTROL!$C$9, $C$13, 100%, $E$13) + CHOOSE(CONTROL!$C$28, 0, 0)</f>
        <v>31.559799999999999</v>
      </c>
      <c r="E244" s="4">
        <f>142.399048141805 * CHOOSE(CONTROL!$C$9, $C$13, 100%, $E$13) + CHOOSE(CONTROL!$C$28, 0, 0)</f>
        <v>142.399048141805</v>
      </c>
    </row>
    <row r="245" spans="1:5" ht="15">
      <c r="A245" s="13">
        <v>48945</v>
      </c>
      <c r="B245" s="4">
        <f>22.1703 * CHOOSE(CONTROL!$C$9, $C$13, 100%, $E$13) + CHOOSE(CONTROL!$C$28, 0.0003, 0)</f>
        <v>22.1706</v>
      </c>
      <c r="C245" s="4">
        <f>21.807 * CHOOSE(CONTROL!$C$9, $C$13, 100%, $E$13) + CHOOSE(CONTROL!$C$28, 0.0003, 0)</f>
        <v>21.807299999999998</v>
      </c>
      <c r="D245" s="4">
        <f>30.6112 * CHOOSE(CONTROL!$C$9, $C$13, 100%, $E$13) + CHOOSE(CONTROL!$C$28, 0, 0)</f>
        <v>30.6112</v>
      </c>
      <c r="E245" s="4">
        <f>138.472926489847 * CHOOSE(CONTROL!$C$9, $C$13, 100%, $E$13) + CHOOSE(CONTROL!$C$28, 0, 0)</f>
        <v>138.472926489847</v>
      </c>
    </row>
    <row r="246" spans="1:5" ht="15">
      <c r="A246" s="13">
        <v>48976</v>
      </c>
      <c r="B246" s="4">
        <f>22.6784 * CHOOSE(CONTROL!$C$9, $C$13, 100%, $E$13) + CHOOSE(CONTROL!$C$28, 0.0003, 0)</f>
        <v>22.678699999999999</v>
      </c>
      <c r="C246" s="4">
        <f>22.3151 * CHOOSE(CONTROL!$C$9, $C$13, 100%, $E$13) + CHOOSE(CONTROL!$C$28, 0.0003, 0)</f>
        <v>22.3154</v>
      </c>
      <c r="D246" s="4">
        <f>31.6263 * CHOOSE(CONTROL!$C$9, $C$13, 100%, $E$13) + CHOOSE(CONTROL!$C$28, 0, 0)</f>
        <v>31.626300000000001</v>
      </c>
      <c r="E246" s="4">
        <f>141.760819473979 * CHOOSE(CONTROL!$C$9, $C$13, 100%, $E$13) + CHOOSE(CONTROL!$C$28, 0, 0)</f>
        <v>141.76081947397901</v>
      </c>
    </row>
    <row r="247" spans="1:5" ht="15">
      <c r="A247" s="13">
        <v>49004</v>
      </c>
      <c r="B247" s="4">
        <f>24.0125 * CHOOSE(CONTROL!$C$9, $C$13, 100%, $E$13) + CHOOSE(CONTROL!$C$28, 0.0003, 0)</f>
        <v>24.012799999999999</v>
      </c>
      <c r="C247" s="4">
        <f>23.6492 * CHOOSE(CONTROL!$C$9, $C$13, 100%, $E$13) + CHOOSE(CONTROL!$C$28, 0.0003, 0)</f>
        <v>23.6495</v>
      </c>
      <c r="D247" s="4">
        <f>33.2152 * CHOOSE(CONTROL!$C$9, $C$13, 100%, $E$13) + CHOOSE(CONTROL!$C$28, 0, 0)</f>
        <v>33.215200000000003</v>
      </c>
      <c r="E247" s="4">
        <f>150.395001179555 * CHOOSE(CONTROL!$C$9, $C$13, 100%, $E$13) + CHOOSE(CONTROL!$C$28, 0, 0)</f>
        <v>150.39500117955501</v>
      </c>
    </row>
    <row r="248" spans="1:5" ht="15">
      <c r="A248" s="13">
        <v>49035</v>
      </c>
      <c r="B248" s="4">
        <f>24.9605 * CHOOSE(CONTROL!$C$9, $C$13, 100%, $E$13) + CHOOSE(CONTROL!$C$28, 0.0003, 0)</f>
        <v>24.960799999999999</v>
      </c>
      <c r="C248" s="4">
        <f>24.5972 * CHOOSE(CONTROL!$C$9, $C$13, 100%, $E$13) + CHOOSE(CONTROL!$C$28, 0.0003, 0)</f>
        <v>24.5975</v>
      </c>
      <c r="D248" s="4">
        <f>34.1305 * CHOOSE(CONTROL!$C$9, $C$13, 100%, $E$13) + CHOOSE(CONTROL!$C$28, 0, 0)</f>
        <v>34.130499999999998</v>
      </c>
      <c r="E248" s="4">
        <f>156.529702346967 * CHOOSE(CONTROL!$C$9, $C$13, 100%, $E$13) + CHOOSE(CONTROL!$C$28, 0, 0)</f>
        <v>156.52970234696701</v>
      </c>
    </row>
    <row r="249" spans="1:5" ht="15">
      <c r="A249" s="13">
        <v>49065</v>
      </c>
      <c r="B249" s="4">
        <f>25.5396 * CHOOSE(CONTROL!$C$9, $C$13, 100%, $E$13) + CHOOSE(CONTROL!$C$28, 0.0136, 0)</f>
        <v>25.5532</v>
      </c>
      <c r="C249" s="4">
        <f>25.1763 * CHOOSE(CONTROL!$C$9, $C$13, 100%, $E$13) + CHOOSE(CONTROL!$C$28, 0.0136, 0)</f>
        <v>25.189900000000002</v>
      </c>
      <c r="D249" s="4">
        <f>33.7688 * CHOOSE(CONTROL!$C$9, $C$13, 100%, $E$13) + CHOOSE(CONTROL!$C$28, 0, 0)</f>
        <v>33.768799999999999</v>
      </c>
      <c r="E249" s="4">
        <f>160.277857731989 * CHOOSE(CONTROL!$C$9, $C$13, 100%, $E$13) + CHOOSE(CONTROL!$C$28, 0, 0)</f>
        <v>160.277857731989</v>
      </c>
    </row>
    <row r="250" spans="1:5" ht="15">
      <c r="A250" s="13">
        <v>49096</v>
      </c>
      <c r="B250" s="4">
        <f>25.618 * CHOOSE(CONTROL!$C$9, $C$13, 100%, $E$13) + CHOOSE(CONTROL!$C$28, 0.0136, 0)</f>
        <v>25.631599999999999</v>
      </c>
      <c r="C250" s="4">
        <f>25.2547 * CHOOSE(CONTROL!$C$9, $C$13, 100%, $E$13) + CHOOSE(CONTROL!$C$28, 0.0136, 0)</f>
        <v>25.2683</v>
      </c>
      <c r="D250" s="4">
        <f>34.0634 * CHOOSE(CONTROL!$C$9, $C$13, 100%, $E$13) + CHOOSE(CONTROL!$C$28, 0, 0)</f>
        <v>34.063400000000001</v>
      </c>
      <c r="E250" s="4">
        <f>160.784998710746 * CHOOSE(CONTROL!$C$9, $C$13, 100%, $E$13) + CHOOSE(CONTROL!$C$28, 0, 0)</f>
        <v>160.78499871074601</v>
      </c>
    </row>
    <row r="251" spans="1:5" ht="15">
      <c r="A251" s="13">
        <v>49126</v>
      </c>
      <c r="B251" s="4">
        <f>25.6101 * CHOOSE(CONTROL!$C$9, $C$13, 100%, $E$13) + CHOOSE(CONTROL!$C$28, 0.0136, 0)</f>
        <v>25.623699999999999</v>
      </c>
      <c r="C251" s="4">
        <f>25.2468 * CHOOSE(CONTROL!$C$9, $C$13, 100%, $E$13) + CHOOSE(CONTROL!$C$28, 0.0136, 0)</f>
        <v>25.260400000000001</v>
      </c>
      <c r="D251" s="4">
        <f>34.5949 * CHOOSE(CONTROL!$C$9, $C$13, 100%, $E$13) + CHOOSE(CONTROL!$C$28, 0, 0)</f>
        <v>34.594900000000003</v>
      </c>
      <c r="E251" s="4">
        <f>160.733858443981 * CHOOSE(CONTROL!$C$9, $C$13, 100%, $E$13) + CHOOSE(CONTROL!$C$28, 0, 0)</f>
        <v>160.73385844398101</v>
      </c>
    </row>
    <row r="252" spans="1:5" ht="15">
      <c r="A252" s="13">
        <v>49157</v>
      </c>
      <c r="B252" s="4">
        <f>26.2047 * CHOOSE(CONTROL!$C$9, $C$13, 100%, $E$13) + CHOOSE(CONTROL!$C$28, 0.0136, 0)</f>
        <v>26.218299999999999</v>
      </c>
      <c r="C252" s="4">
        <f>25.8415 * CHOOSE(CONTROL!$C$9, $C$13, 100%, $E$13) + CHOOSE(CONTROL!$C$28, 0.0136, 0)</f>
        <v>25.8551</v>
      </c>
      <c r="D252" s="4">
        <f>34.2439 * CHOOSE(CONTROL!$C$9, $C$13, 100%, $E$13) + CHOOSE(CONTROL!$C$28, 0, 0)</f>
        <v>34.243899999999996</v>
      </c>
      <c r="E252" s="4">
        <f>164.582163518085 * CHOOSE(CONTROL!$C$9, $C$13, 100%, $E$13) + CHOOSE(CONTROL!$C$28, 0, 0)</f>
        <v>164.582163518085</v>
      </c>
    </row>
    <row r="253" spans="1:5" ht="15">
      <c r="A253" s="13">
        <v>49188</v>
      </c>
      <c r="B253" s="4">
        <f>25.1913 * CHOOSE(CONTROL!$C$9, $C$13, 100%, $E$13) + CHOOSE(CONTROL!$C$28, 0.0136, 0)</f>
        <v>25.204899999999999</v>
      </c>
      <c r="C253" s="4">
        <f>24.828 * CHOOSE(CONTROL!$C$9, $C$13, 100%, $E$13) + CHOOSE(CONTROL!$C$28, 0.0136, 0)</f>
        <v>24.8416</v>
      </c>
      <c r="D253" s="4">
        <f>34.078 * CHOOSE(CONTROL!$C$9, $C$13, 100%, $E$13) + CHOOSE(CONTROL!$C$28, 0, 0)</f>
        <v>34.078000000000003</v>
      </c>
      <c r="E253" s="4">
        <f>158.023424305409 * CHOOSE(CONTROL!$C$9, $C$13, 100%, $E$13) + CHOOSE(CONTROL!$C$28, 0, 0)</f>
        <v>158.02342430540901</v>
      </c>
    </row>
    <row r="254" spans="1:5" ht="15">
      <c r="A254" s="13">
        <v>49218</v>
      </c>
      <c r="B254" s="4">
        <f>24.38 * CHOOSE(CONTROL!$C$9, $C$13, 100%, $E$13) + CHOOSE(CONTROL!$C$28, 0.0003, 0)</f>
        <v>24.380299999999998</v>
      </c>
      <c r="C254" s="4">
        <f>24.0167 * CHOOSE(CONTROL!$C$9, $C$13, 100%, $E$13) + CHOOSE(CONTROL!$C$28, 0.0003, 0)</f>
        <v>24.016999999999999</v>
      </c>
      <c r="D254" s="4">
        <f>33.634 * CHOOSE(CONTROL!$C$9, $C$13, 100%, $E$13) + CHOOSE(CONTROL!$C$28, 0, 0)</f>
        <v>33.634</v>
      </c>
      <c r="E254" s="4">
        <f>152.773023584151 * CHOOSE(CONTROL!$C$9, $C$13, 100%, $E$13) + CHOOSE(CONTROL!$C$28, 0, 0)</f>
        <v>152.77302358415099</v>
      </c>
    </row>
    <row r="255" spans="1:5" ht="15">
      <c r="A255" s="13">
        <v>49249</v>
      </c>
      <c r="B255" s="4">
        <f>23.8574 * CHOOSE(CONTROL!$C$9, $C$13, 100%, $E$13) + CHOOSE(CONTROL!$C$28, 0.0003, 0)</f>
        <v>23.857699999999998</v>
      </c>
      <c r="C255" s="4">
        <f>23.4942 * CHOOSE(CONTROL!$C$9, $C$13, 100%, $E$13) + CHOOSE(CONTROL!$C$28, 0.0003, 0)</f>
        <v>23.494499999999999</v>
      </c>
      <c r="D255" s="4">
        <f>33.4813 * CHOOSE(CONTROL!$C$9, $C$13, 100%, $E$13) + CHOOSE(CONTROL!$C$28, 0, 0)</f>
        <v>33.481299999999997</v>
      </c>
      <c r="E255" s="4">
        <f>149.391373444282 * CHOOSE(CONTROL!$C$9, $C$13, 100%, $E$13) + CHOOSE(CONTROL!$C$28, 0, 0)</f>
        <v>149.39137344428201</v>
      </c>
    </row>
    <row r="256" spans="1:5" ht="15">
      <c r="A256" s="13">
        <v>49279</v>
      </c>
      <c r="B256" s="4">
        <f>23.4959 * CHOOSE(CONTROL!$C$9, $C$13, 100%, $E$13) + CHOOSE(CONTROL!$C$28, 0.0003, 0)</f>
        <v>23.496199999999998</v>
      </c>
      <c r="C256" s="4">
        <f>23.1326 * CHOOSE(CONTROL!$C$9, $C$13, 100%, $E$13) + CHOOSE(CONTROL!$C$28, 0.0003, 0)</f>
        <v>23.132899999999999</v>
      </c>
      <c r="D256" s="4">
        <f>32.3574 * CHOOSE(CONTROL!$C$9, $C$13, 100%, $E$13) + CHOOSE(CONTROL!$C$28, 0, 0)</f>
        <v>32.357399999999998</v>
      </c>
      <c r="E256" s="4">
        <f>147.05170623976 * CHOOSE(CONTROL!$C$9, $C$13, 100%, $E$13) + CHOOSE(CONTROL!$C$28, 0, 0)</f>
        <v>147.05170623975999</v>
      </c>
    </row>
    <row r="257" spans="1:5" ht="15">
      <c r="A257" s="13">
        <v>49310</v>
      </c>
      <c r="B257" s="4">
        <f>22.8615 * CHOOSE(CONTROL!$C$9, $C$13, 100%, $E$13) + CHOOSE(CONTROL!$C$28, 0.0003, 0)</f>
        <v>22.861799999999999</v>
      </c>
      <c r="C257" s="4">
        <f>22.4982 * CHOOSE(CONTROL!$C$9, $C$13, 100%, $E$13) + CHOOSE(CONTROL!$C$28, 0.0003, 0)</f>
        <v>22.4985</v>
      </c>
      <c r="D257" s="4">
        <f>31.3883 * CHOOSE(CONTROL!$C$9, $C$13, 100%, $E$13) + CHOOSE(CONTROL!$C$28, 0, 0)</f>
        <v>31.388300000000001</v>
      </c>
      <c r="E257" s="4">
        <f>142.853728374705 * CHOOSE(CONTROL!$C$9, $C$13, 100%, $E$13) + CHOOSE(CONTROL!$C$28, 0, 0)</f>
        <v>142.85372837470501</v>
      </c>
    </row>
    <row r="258" spans="1:5" ht="15">
      <c r="A258" s="13">
        <v>49341</v>
      </c>
      <c r="B258" s="4">
        <f>23.3859 * CHOOSE(CONTROL!$C$9, $C$13, 100%, $E$13) + CHOOSE(CONTROL!$C$28, 0.0003, 0)</f>
        <v>23.386199999999999</v>
      </c>
      <c r="C258" s="4">
        <f>23.0226 * CHOOSE(CONTROL!$C$9, $C$13, 100%, $E$13) + CHOOSE(CONTROL!$C$28, 0.0003, 0)</f>
        <v>23.0229</v>
      </c>
      <c r="D258" s="4">
        <f>32.4308 * CHOOSE(CONTROL!$C$9, $C$13, 100%, $E$13) + CHOOSE(CONTROL!$C$28, 0, 0)</f>
        <v>32.430799999999998</v>
      </c>
      <c r="E258" s="4">
        <f>146.245638859927 * CHOOSE(CONTROL!$C$9, $C$13, 100%, $E$13) + CHOOSE(CONTROL!$C$28, 0, 0)</f>
        <v>146.245638859927</v>
      </c>
    </row>
    <row r="259" spans="1:5" ht="15">
      <c r="A259" s="13">
        <v>49369</v>
      </c>
      <c r="B259" s="4">
        <f>24.7632 * CHOOSE(CONTROL!$C$9, $C$13, 100%, $E$13) + CHOOSE(CONTROL!$C$28, 0.0003, 0)</f>
        <v>24.763500000000001</v>
      </c>
      <c r="C259" s="4">
        <f>24.3999 * CHOOSE(CONTROL!$C$9, $C$13, 100%, $E$13) + CHOOSE(CONTROL!$C$28, 0.0003, 0)</f>
        <v>24.400199999999998</v>
      </c>
      <c r="D259" s="4">
        <f>34.0627 * CHOOSE(CONTROL!$C$9, $C$13, 100%, $E$13) + CHOOSE(CONTROL!$C$28, 0, 0)</f>
        <v>34.0627</v>
      </c>
      <c r="E259" s="4">
        <f>155.152976051192 * CHOOSE(CONTROL!$C$9, $C$13, 100%, $E$13) + CHOOSE(CONTROL!$C$28, 0, 0)</f>
        <v>155.15297605119201</v>
      </c>
    </row>
    <row r="260" spans="1:5" ht="15">
      <c r="A260" s="13">
        <v>49400</v>
      </c>
      <c r="B260" s="4">
        <f>25.7417 * CHOOSE(CONTROL!$C$9, $C$13, 100%, $E$13) + CHOOSE(CONTROL!$C$28, 0.0003, 0)</f>
        <v>25.742000000000001</v>
      </c>
      <c r="C260" s="4">
        <f>25.3784 * CHOOSE(CONTROL!$C$9, $C$13, 100%, $E$13) + CHOOSE(CONTROL!$C$28, 0.0003, 0)</f>
        <v>25.378699999999998</v>
      </c>
      <c r="D260" s="4">
        <f>35.0027 * CHOOSE(CONTROL!$C$9, $C$13, 100%, $E$13) + CHOOSE(CONTROL!$C$28, 0, 0)</f>
        <v>35.002699999999997</v>
      </c>
      <c r="E260" s="4">
        <f>161.48175783146 * CHOOSE(CONTROL!$C$9, $C$13, 100%, $E$13) + CHOOSE(CONTROL!$C$28, 0, 0)</f>
        <v>161.48175783145999</v>
      </c>
    </row>
    <row r="261" spans="1:5" ht="15">
      <c r="A261" s="13">
        <v>49430</v>
      </c>
      <c r="B261" s="4">
        <f>26.3396 * CHOOSE(CONTROL!$C$9, $C$13, 100%, $E$13) + CHOOSE(CONTROL!$C$28, 0.0136, 0)</f>
        <v>26.353200000000001</v>
      </c>
      <c r="C261" s="4">
        <f>25.9763 * CHOOSE(CONTROL!$C$9, $C$13, 100%, $E$13) + CHOOSE(CONTROL!$C$28, 0.0136, 0)</f>
        <v>25.989899999999999</v>
      </c>
      <c r="D261" s="4">
        <f>34.6312 * CHOOSE(CONTROL!$C$9, $C$13, 100%, $E$13) + CHOOSE(CONTROL!$C$28, 0, 0)</f>
        <v>34.6312</v>
      </c>
      <c r="E261" s="4">
        <f>165.348491819475 * CHOOSE(CONTROL!$C$9, $C$13, 100%, $E$13) + CHOOSE(CONTROL!$C$28, 0, 0)</f>
        <v>165.34849181947499</v>
      </c>
    </row>
    <row r="262" spans="1:5" ht="15">
      <c r="A262" s="14">
        <v>49461</v>
      </c>
      <c r="B262" s="4">
        <f>26.4205 * CHOOSE(CONTROL!$C$9, $C$13, 100%, $E$13) + CHOOSE(CONTROL!$C$28, 0.0136, 0)</f>
        <v>26.434100000000001</v>
      </c>
      <c r="C262" s="4">
        <f>26.0572 * CHOOSE(CONTROL!$C$9, $C$13, 100%, $E$13) + CHOOSE(CONTROL!$C$28, 0.0136, 0)</f>
        <v>26.070800000000002</v>
      </c>
      <c r="D262" s="4">
        <f>34.9337 * CHOOSE(CONTROL!$C$9, $C$13, 100%, $E$13) + CHOOSE(CONTROL!$C$28, 0, 0)</f>
        <v>34.933700000000002</v>
      </c>
      <c r="E262" s="4">
        <f>165.871676975329 * CHOOSE(CONTROL!$C$9, $C$13, 100%, $E$13) + CHOOSE(CONTROL!$C$28, 0, 0)</f>
        <v>165.871676975329</v>
      </c>
    </row>
    <row r="263" spans="1:5" ht="15">
      <c r="A263" s="14">
        <v>49491</v>
      </c>
      <c r="B263" s="4">
        <f>26.4123 * CHOOSE(CONTROL!$C$9, $C$13, 100%, $E$13) + CHOOSE(CONTROL!$C$28, 0.0136, 0)</f>
        <v>26.425899999999999</v>
      </c>
      <c r="C263" s="4">
        <f>26.049 * CHOOSE(CONTROL!$C$9, $C$13, 100%, $E$13) + CHOOSE(CONTROL!$C$28, 0.0136, 0)</f>
        <v>26.0626</v>
      </c>
      <c r="D263" s="4">
        <f>35.4796 * CHOOSE(CONTROL!$C$9, $C$13, 100%, $E$13) + CHOOSE(CONTROL!$C$28, 0, 0)</f>
        <v>35.479599999999998</v>
      </c>
      <c r="E263" s="4">
        <f>165.818918808352 * CHOOSE(CONTROL!$C$9, $C$13, 100%, $E$13) + CHOOSE(CONTROL!$C$28, 0, 0)</f>
        <v>165.81891880835201</v>
      </c>
    </row>
    <row r="264" spans="1:5" ht="15">
      <c r="A264" s="14">
        <v>49522</v>
      </c>
      <c r="B264" s="4">
        <f>27.0262 * CHOOSE(CONTROL!$C$9, $C$13, 100%, $E$13) + CHOOSE(CONTROL!$C$28, 0.0136, 0)</f>
        <v>27.0398</v>
      </c>
      <c r="C264" s="4">
        <f>26.6629 * CHOOSE(CONTROL!$C$9, $C$13, 100%, $E$13) + CHOOSE(CONTROL!$C$28, 0.0136, 0)</f>
        <v>26.676500000000001</v>
      </c>
      <c r="D264" s="4">
        <f>35.1191 * CHOOSE(CONTROL!$C$9, $C$13, 100%, $E$13) + CHOOSE(CONTROL!$C$28, 0, 0)</f>
        <v>35.119100000000003</v>
      </c>
      <c r="E264" s="4">
        <f>169.788970873363 * CHOOSE(CONTROL!$C$9, $C$13, 100%, $E$13) + CHOOSE(CONTROL!$C$28, 0, 0)</f>
        <v>169.78897087336301</v>
      </c>
    </row>
    <row r="265" spans="1:5" ht="15">
      <c r="A265" s="14">
        <v>49553</v>
      </c>
      <c r="B265" s="4">
        <f>25.98 * CHOOSE(CONTROL!$C$9, $C$13, 100%, $E$13) + CHOOSE(CONTROL!$C$28, 0.0136, 0)</f>
        <v>25.993600000000001</v>
      </c>
      <c r="C265" s="4">
        <f>25.6167 * CHOOSE(CONTROL!$C$9, $C$13, 100%, $E$13) + CHOOSE(CONTROL!$C$28, 0.0136, 0)</f>
        <v>25.630300000000002</v>
      </c>
      <c r="D265" s="4">
        <f>34.9488 * CHOOSE(CONTROL!$C$9, $C$13, 100%, $E$13) + CHOOSE(CONTROL!$C$28, 0, 0)</f>
        <v>34.948799999999999</v>
      </c>
      <c r="E265" s="4">
        <f>163.022735958577 * CHOOSE(CONTROL!$C$9, $C$13, 100%, $E$13) + CHOOSE(CONTROL!$C$28, 0, 0)</f>
        <v>163.02273595857699</v>
      </c>
    </row>
    <row r="266" spans="1:5" ht="15">
      <c r="A266" s="14">
        <v>49583</v>
      </c>
      <c r="B266" s="4">
        <f>25.1425 * CHOOSE(CONTROL!$C$9, $C$13, 100%, $E$13) + CHOOSE(CONTROL!$C$28, 0.0003, 0)</f>
        <v>25.142799999999998</v>
      </c>
      <c r="C266" s="4">
        <f>24.7792 * CHOOSE(CONTROL!$C$9, $C$13, 100%, $E$13) + CHOOSE(CONTROL!$C$28, 0.0003, 0)</f>
        <v>24.779499999999999</v>
      </c>
      <c r="D266" s="4">
        <f>34.4928 * CHOOSE(CONTROL!$C$9, $C$13, 100%, $E$13) + CHOOSE(CONTROL!$C$28, 0, 0)</f>
        <v>34.492800000000003</v>
      </c>
      <c r="E266" s="4">
        <f>157.606230815617 * CHOOSE(CONTROL!$C$9, $C$13, 100%, $E$13) + CHOOSE(CONTROL!$C$28, 0, 0)</f>
        <v>157.60623081561701</v>
      </c>
    </row>
    <row r="267" spans="1:5" ht="15">
      <c r="A267" s="14">
        <v>49614</v>
      </c>
      <c r="B267" s="4">
        <f>24.6031 * CHOOSE(CONTROL!$C$9, $C$13, 100%, $E$13) + CHOOSE(CONTROL!$C$28, 0.0003, 0)</f>
        <v>24.603400000000001</v>
      </c>
      <c r="C267" s="4">
        <f>24.2398 * CHOOSE(CONTROL!$C$9, $C$13, 100%, $E$13) + CHOOSE(CONTROL!$C$28, 0.0003, 0)</f>
        <v>24.240099999999998</v>
      </c>
      <c r="D267" s="4">
        <f>34.336 * CHOOSE(CONTROL!$C$9, $C$13, 100%, $E$13) + CHOOSE(CONTROL!$C$28, 0, 0)</f>
        <v>34.335999999999999</v>
      </c>
      <c r="E267" s="4">
        <f>154.11759702427 * CHOOSE(CONTROL!$C$9, $C$13, 100%, $E$13) + CHOOSE(CONTROL!$C$28, 0, 0)</f>
        <v>154.11759702427</v>
      </c>
    </row>
    <row r="268" spans="1:5" ht="15">
      <c r="A268" s="14">
        <v>49644</v>
      </c>
      <c r="B268" s="4">
        <f>24.2299 * CHOOSE(CONTROL!$C$9, $C$13, 100%, $E$13) + CHOOSE(CONTROL!$C$28, 0.0003, 0)</f>
        <v>24.2302</v>
      </c>
      <c r="C268" s="4">
        <f>23.8666 * CHOOSE(CONTROL!$C$9, $C$13, 100%, $E$13) + CHOOSE(CONTROL!$C$28, 0.0003, 0)</f>
        <v>23.866899999999998</v>
      </c>
      <c r="D268" s="4">
        <f>33.1817 * CHOOSE(CONTROL!$C$9, $C$13, 100%, $E$13) + CHOOSE(CONTROL!$C$28, 0, 0)</f>
        <v>33.181699999999999</v>
      </c>
      <c r="E268" s="4">
        <f>151.703910885078 * CHOOSE(CONTROL!$C$9, $C$13, 100%, $E$13) + CHOOSE(CONTROL!$C$28, 0, 0)</f>
        <v>151.70391088507799</v>
      </c>
    </row>
    <row r="269" spans="1:5" ht="15">
      <c r="A269" s="14">
        <v>49675</v>
      </c>
      <c r="B269" s="4">
        <f>23.2088 * CHOOSE(CONTROL!$C$9, $C$13, 100%, $E$13) + CHOOSE(CONTROL!$C$28, 0.0003, 0)</f>
        <v>23.209099999999999</v>
      </c>
      <c r="C269" s="4">
        <f>22.8455 * CHOOSE(CONTROL!$C$9, $C$13, 100%, $E$13) + CHOOSE(CONTROL!$C$28, 0.0003, 0)</f>
        <v>22.845800000000001</v>
      </c>
      <c r="D269" s="4">
        <f>31.9102 * CHOOSE(CONTROL!$C$9, $C$13, 100%, $E$13) + CHOOSE(CONTROL!$C$28, 0, 0)</f>
        <v>31.9102</v>
      </c>
      <c r="E269" s="4">
        <f>145.384826561507 * CHOOSE(CONTROL!$C$9, $C$13, 100%, $E$13) + CHOOSE(CONTROL!$C$28, 0, 0)</f>
        <v>145.384826561507</v>
      </c>
    </row>
    <row r="270" spans="1:5" ht="15">
      <c r="A270" s="14">
        <v>49706</v>
      </c>
      <c r="B270" s="4">
        <f>23.7415 * CHOOSE(CONTROL!$C$9, $C$13, 100%, $E$13) + CHOOSE(CONTROL!$C$28, 0.0003, 0)</f>
        <v>23.741799999999998</v>
      </c>
      <c r="C270" s="4">
        <f>23.3782 * CHOOSE(CONTROL!$C$9, $C$13, 100%, $E$13) + CHOOSE(CONTROL!$C$28, 0.0003, 0)</f>
        <v>23.378499999999999</v>
      </c>
      <c r="D270" s="4">
        <f>32.971 * CHOOSE(CONTROL!$C$9, $C$13, 100%, $E$13) + CHOOSE(CONTROL!$C$28, 0, 0)</f>
        <v>32.970999999999997</v>
      </c>
      <c r="E270" s="4">
        <f>148.836835292513 * CHOOSE(CONTROL!$C$9, $C$13, 100%, $E$13) + CHOOSE(CONTROL!$C$28, 0, 0)</f>
        <v>148.836835292513</v>
      </c>
    </row>
    <row r="271" spans="1:5" ht="15">
      <c r="A271" s="14">
        <v>49735</v>
      </c>
      <c r="B271" s="4">
        <f>25.1404 * CHOOSE(CONTROL!$C$9, $C$13, 100%, $E$13) + CHOOSE(CONTROL!$C$28, 0.0003, 0)</f>
        <v>25.140699999999999</v>
      </c>
      <c r="C271" s="4">
        <f>24.7771 * CHOOSE(CONTROL!$C$9, $C$13, 100%, $E$13) + CHOOSE(CONTROL!$C$28, 0.0003, 0)</f>
        <v>24.7774</v>
      </c>
      <c r="D271" s="4">
        <f>34.6318 * CHOOSE(CONTROL!$C$9, $C$13, 100%, $E$13) + CHOOSE(CONTROL!$C$28, 0, 0)</f>
        <v>34.631799999999998</v>
      </c>
      <c r="E271" s="4">
        <f>157.901993671019 * CHOOSE(CONTROL!$C$9, $C$13, 100%, $E$13) + CHOOSE(CONTROL!$C$28, 0, 0)</f>
        <v>157.901993671019</v>
      </c>
    </row>
    <row r="272" spans="1:5" ht="15">
      <c r="A272" s="14">
        <v>49766</v>
      </c>
      <c r="B272" s="4">
        <f>26.1343 * CHOOSE(CONTROL!$C$9, $C$13, 100%, $E$13) + CHOOSE(CONTROL!$C$28, 0.0003, 0)</f>
        <v>26.134599999999999</v>
      </c>
      <c r="C272" s="4">
        <f>25.7711 * CHOOSE(CONTROL!$C$9, $C$13, 100%, $E$13) + CHOOSE(CONTROL!$C$28, 0.0003, 0)</f>
        <v>25.7714</v>
      </c>
      <c r="D272" s="4">
        <f>35.5884 * CHOOSE(CONTROL!$C$9, $C$13, 100%, $E$13) + CHOOSE(CONTROL!$C$28, 0, 0)</f>
        <v>35.5884</v>
      </c>
      <c r="E272" s="4">
        <f>164.342909508067 * CHOOSE(CONTROL!$C$9, $C$13, 100%, $E$13) + CHOOSE(CONTROL!$C$28, 0, 0)</f>
        <v>164.34290950806701</v>
      </c>
    </row>
    <row r="273" spans="1:5" ht="15">
      <c r="A273" s="14">
        <v>49796</v>
      </c>
      <c r="B273" s="4">
        <f>26.7416 * CHOOSE(CONTROL!$C$9, $C$13, 100%, $E$13) + CHOOSE(CONTROL!$C$28, 0.0136, 0)</f>
        <v>26.755199999999999</v>
      </c>
      <c r="C273" s="4">
        <f>26.3783 * CHOOSE(CONTROL!$C$9, $C$13, 100%, $E$13) + CHOOSE(CONTROL!$C$28, 0.0136, 0)</f>
        <v>26.3919</v>
      </c>
      <c r="D273" s="4">
        <f>35.2104 * CHOOSE(CONTROL!$C$9, $C$13, 100%, $E$13) + CHOOSE(CONTROL!$C$28, 0, 0)</f>
        <v>35.2104</v>
      </c>
      <c r="E273" s="4">
        <f>168.278154717296 * CHOOSE(CONTROL!$C$9, $C$13, 100%, $E$13) + CHOOSE(CONTROL!$C$28, 0, 0)</f>
        <v>168.27815471729599</v>
      </c>
    </row>
    <row r="274" spans="1:5" ht="15">
      <c r="A274" s="14">
        <v>49827</v>
      </c>
      <c r="B274" s="4">
        <f>26.8238 * CHOOSE(CONTROL!$C$9, $C$13, 100%, $E$13) + CHOOSE(CONTROL!$C$28, 0.0136, 0)</f>
        <v>26.837399999999999</v>
      </c>
      <c r="C274" s="4">
        <f>26.4605 * CHOOSE(CONTROL!$C$9, $C$13, 100%, $E$13) + CHOOSE(CONTROL!$C$28, 0.0136, 0)</f>
        <v>26.4741</v>
      </c>
      <c r="D274" s="4">
        <f>35.5182 * CHOOSE(CONTROL!$C$9, $C$13, 100%, $E$13) + CHOOSE(CONTROL!$C$28, 0, 0)</f>
        <v>35.5182</v>
      </c>
      <c r="E274" s="4">
        <f>168.810609725707 * CHOOSE(CONTROL!$C$9, $C$13, 100%, $E$13) + CHOOSE(CONTROL!$C$28, 0, 0)</f>
        <v>168.810609725707</v>
      </c>
    </row>
    <row r="275" spans="1:5" ht="15">
      <c r="A275" s="14">
        <v>49857</v>
      </c>
      <c r="B275" s="4">
        <f>26.8155 * CHOOSE(CONTROL!$C$9, $C$13, 100%, $E$13) + CHOOSE(CONTROL!$C$28, 0.0136, 0)</f>
        <v>26.8291</v>
      </c>
      <c r="C275" s="4">
        <f>26.4522 * CHOOSE(CONTROL!$C$9, $C$13, 100%, $E$13) + CHOOSE(CONTROL!$C$28, 0.0136, 0)</f>
        <v>26.465800000000002</v>
      </c>
      <c r="D275" s="4">
        <f>36.0737 * CHOOSE(CONTROL!$C$9, $C$13, 100%, $E$13) + CHOOSE(CONTROL!$C$28, 0, 0)</f>
        <v>36.073700000000002</v>
      </c>
      <c r="E275" s="4">
        <f>168.756916783683 * CHOOSE(CONTROL!$C$9, $C$13, 100%, $E$13) + CHOOSE(CONTROL!$C$28, 0, 0)</f>
        <v>168.75691678368301</v>
      </c>
    </row>
    <row r="276" spans="1:5" ht="15">
      <c r="A276" s="14">
        <v>49888</v>
      </c>
      <c r="B276" s="4">
        <f>27.439 * CHOOSE(CONTROL!$C$9, $C$13, 100%, $E$13) + CHOOSE(CONTROL!$C$28, 0.0136, 0)</f>
        <v>27.4526</v>
      </c>
      <c r="C276" s="4">
        <f>27.0757 * CHOOSE(CONTROL!$C$9, $C$13, 100%, $E$13) + CHOOSE(CONTROL!$C$28, 0.0136, 0)</f>
        <v>27.089300000000001</v>
      </c>
      <c r="D276" s="4">
        <f>35.7069 * CHOOSE(CONTROL!$C$9, $C$13, 100%, $E$13) + CHOOSE(CONTROL!$C$28, 0, 0)</f>
        <v>35.706899999999997</v>
      </c>
      <c r="E276" s="4">
        <f>172.797310671043 * CHOOSE(CONTROL!$C$9, $C$13, 100%, $E$13) + CHOOSE(CONTROL!$C$28, 0, 0)</f>
        <v>172.79731067104299</v>
      </c>
    </row>
    <row r="277" spans="1:5" ht="15">
      <c r="A277" s="14">
        <v>49919</v>
      </c>
      <c r="B277" s="4">
        <f>26.3764 * CHOOSE(CONTROL!$C$9, $C$13, 100%, $E$13) + CHOOSE(CONTROL!$C$28, 0.0136, 0)</f>
        <v>26.39</v>
      </c>
      <c r="C277" s="4">
        <f>26.0131 * CHOOSE(CONTROL!$C$9, $C$13, 100%, $E$13) + CHOOSE(CONTROL!$C$28, 0.0136, 0)</f>
        <v>26.026700000000002</v>
      </c>
      <c r="D277" s="4">
        <f>35.5336 * CHOOSE(CONTROL!$C$9, $C$13, 100%, $E$13) + CHOOSE(CONTROL!$C$28, 0, 0)</f>
        <v>35.5336</v>
      </c>
      <c r="E277" s="4">
        <f>165.911190856373 * CHOOSE(CONTROL!$C$9, $C$13, 100%, $E$13) + CHOOSE(CONTROL!$C$28, 0, 0)</f>
        <v>165.911190856373</v>
      </c>
    </row>
    <row r="278" spans="1:5" ht="15">
      <c r="A278" s="14">
        <v>49949</v>
      </c>
      <c r="B278" s="4">
        <f>25.5257 * CHOOSE(CONTROL!$C$9, $C$13, 100%, $E$13) + CHOOSE(CONTROL!$C$28, 0.0003, 0)</f>
        <v>25.526</v>
      </c>
      <c r="C278" s="4">
        <f>25.1624 * CHOOSE(CONTROL!$C$9, $C$13, 100%, $E$13) + CHOOSE(CONTROL!$C$28, 0.0003, 0)</f>
        <v>25.162700000000001</v>
      </c>
      <c r="D278" s="4">
        <f>35.0695 * CHOOSE(CONTROL!$C$9, $C$13, 100%, $E$13) + CHOOSE(CONTROL!$C$28, 0, 0)</f>
        <v>35.069499999999998</v>
      </c>
      <c r="E278" s="4">
        <f>160.398715475169 * CHOOSE(CONTROL!$C$9, $C$13, 100%, $E$13) + CHOOSE(CONTROL!$C$28, 0, 0)</f>
        <v>160.39871547516901</v>
      </c>
    </row>
    <row r="279" spans="1:5" ht="15">
      <c r="A279" s="14">
        <v>49980</v>
      </c>
      <c r="B279" s="4">
        <f>24.9778 * CHOOSE(CONTROL!$C$9, $C$13, 100%, $E$13) + CHOOSE(CONTROL!$C$28, 0.0003, 0)</f>
        <v>24.978099999999998</v>
      </c>
      <c r="C279" s="4">
        <f>24.6145 * CHOOSE(CONTROL!$C$9, $C$13, 100%, $E$13) + CHOOSE(CONTROL!$C$28, 0.0003, 0)</f>
        <v>24.614799999999999</v>
      </c>
      <c r="D279" s="4">
        <f>34.9099 * CHOOSE(CONTROL!$C$9, $C$13, 100%, $E$13) + CHOOSE(CONTROL!$C$28, 0, 0)</f>
        <v>34.9099</v>
      </c>
      <c r="E279" s="4">
        <f>156.848269683784 * CHOOSE(CONTROL!$C$9, $C$13, 100%, $E$13) + CHOOSE(CONTROL!$C$28, 0, 0)</f>
        <v>156.848269683784</v>
      </c>
    </row>
    <row r="280" spans="1:5" ht="15">
      <c r="A280" s="14">
        <v>50010</v>
      </c>
      <c r="B280" s="4">
        <f>24.5987 * CHOOSE(CONTROL!$C$9, $C$13, 100%, $E$13) + CHOOSE(CONTROL!$C$28, 0.0003, 0)</f>
        <v>24.599</v>
      </c>
      <c r="C280" s="4">
        <f>24.2354 * CHOOSE(CONTROL!$C$9, $C$13, 100%, $E$13) + CHOOSE(CONTROL!$C$28, 0.0003, 0)</f>
        <v>24.235699999999998</v>
      </c>
      <c r="D280" s="4">
        <f>33.7352 * CHOOSE(CONTROL!$C$9, $C$13, 100%, $E$13) + CHOOSE(CONTROL!$C$28, 0, 0)</f>
        <v>33.735199999999999</v>
      </c>
      <c r="E280" s="4">
        <f>154.391817586153 * CHOOSE(CONTROL!$C$9, $C$13, 100%, $E$13) + CHOOSE(CONTROL!$C$28, 0, 0)</f>
        <v>154.391817586153</v>
      </c>
    </row>
    <row r="281" spans="1:5" ht="15">
      <c r="A281" s="14">
        <v>50041</v>
      </c>
      <c r="B281" s="4">
        <f>23.5616 * CHOOSE(CONTROL!$C$9, $C$13, 100%, $E$13) + CHOOSE(CONTROL!$C$28, 0.0003, 0)</f>
        <v>23.561899999999998</v>
      </c>
      <c r="C281" s="4">
        <f>23.1983 * CHOOSE(CONTROL!$C$9, $C$13, 100%, $E$13) + CHOOSE(CONTROL!$C$28, 0.0003, 0)</f>
        <v>23.198599999999999</v>
      </c>
      <c r="D281" s="4">
        <f>32.4412 * CHOOSE(CONTROL!$C$9, $C$13, 100%, $E$13) + CHOOSE(CONTROL!$C$28, 0, 0)</f>
        <v>32.441200000000002</v>
      </c>
      <c r="E281" s="4">
        <f>147.960771026416 * CHOOSE(CONTROL!$C$9, $C$13, 100%, $E$13) + CHOOSE(CONTROL!$C$28, 0, 0)</f>
        <v>147.96077102641601</v>
      </c>
    </row>
    <row r="282" spans="1:5" ht="15">
      <c r="A282" s="14">
        <v>50072</v>
      </c>
      <c r="B282" s="4">
        <f>24.1027 * CHOOSE(CONTROL!$C$9, $C$13, 100%, $E$13) + CHOOSE(CONTROL!$C$28, 0.0003, 0)</f>
        <v>24.102999999999998</v>
      </c>
      <c r="C282" s="4">
        <f>23.7394 * CHOOSE(CONTROL!$C$9, $C$13, 100%, $E$13) + CHOOSE(CONTROL!$C$28, 0.0003, 0)</f>
        <v>23.739699999999999</v>
      </c>
      <c r="D282" s="4">
        <f>33.5209 * CHOOSE(CONTROL!$C$9, $C$13, 100%, $E$13) + CHOOSE(CONTROL!$C$28, 0, 0)</f>
        <v>33.520899999999997</v>
      </c>
      <c r="E282" s="4">
        <f>151.473942830583 * CHOOSE(CONTROL!$C$9, $C$13, 100%, $E$13) + CHOOSE(CONTROL!$C$28, 0, 0)</f>
        <v>151.47394283058301</v>
      </c>
    </row>
    <row r="283" spans="1:5" ht="15">
      <c r="A283" s="14">
        <v>50100</v>
      </c>
      <c r="B283" s="4">
        <f>25.5236 * CHOOSE(CONTROL!$C$9, $C$13, 100%, $E$13) + CHOOSE(CONTROL!$C$28, 0.0003, 0)</f>
        <v>25.523899999999998</v>
      </c>
      <c r="C283" s="4">
        <f>25.1603 * CHOOSE(CONTROL!$C$9, $C$13, 100%, $E$13) + CHOOSE(CONTROL!$C$28, 0.0003, 0)</f>
        <v>25.160599999999999</v>
      </c>
      <c r="D283" s="4">
        <f>35.2109 * CHOOSE(CONTROL!$C$9, $C$13, 100%, $E$13) + CHOOSE(CONTROL!$C$28, 0, 0)</f>
        <v>35.210900000000002</v>
      </c>
      <c r="E283" s="4">
        <f>160.699718689612 * CHOOSE(CONTROL!$C$9, $C$13, 100%, $E$13) + CHOOSE(CONTROL!$C$28, 0, 0)</f>
        <v>160.69971868961201</v>
      </c>
    </row>
    <row r="284" spans="1:5" ht="15">
      <c r="A284" s="14">
        <v>50131</v>
      </c>
      <c r="B284" s="4">
        <f>26.5331 * CHOOSE(CONTROL!$C$9, $C$13, 100%, $E$13) + CHOOSE(CONTROL!$C$28, 0.0003, 0)</f>
        <v>26.5334</v>
      </c>
      <c r="C284" s="4">
        <f>26.1699 * CHOOSE(CONTROL!$C$9, $C$13, 100%, $E$13) + CHOOSE(CONTROL!$C$28, 0.0003, 0)</f>
        <v>26.170199999999998</v>
      </c>
      <c r="D284" s="4">
        <f>36.1845 * CHOOSE(CONTROL!$C$9, $C$13, 100%, $E$13) + CHOOSE(CONTROL!$C$28, 0, 0)</f>
        <v>36.1845</v>
      </c>
      <c r="E284" s="4">
        <f>167.254755387082 * CHOOSE(CONTROL!$C$9, $C$13, 100%, $E$13) + CHOOSE(CONTROL!$C$28, 0, 0)</f>
        <v>167.25475538708201</v>
      </c>
    </row>
    <row r="285" spans="1:5" ht="15">
      <c r="A285" s="14">
        <v>50161</v>
      </c>
      <c r="B285" s="4">
        <f>27.15 * CHOOSE(CONTROL!$C$9, $C$13, 100%, $E$13) + CHOOSE(CONTROL!$C$28, 0.0136, 0)</f>
        <v>27.163599999999999</v>
      </c>
      <c r="C285" s="4">
        <f>26.7867 * CHOOSE(CONTROL!$C$9, $C$13, 100%, $E$13) + CHOOSE(CONTROL!$C$28, 0.0136, 0)</f>
        <v>26.8003</v>
      </c>
      <c r="D285" s="4">
        <f>35.7998 * CHOOSE(CONTROL!$C$9, $C$13, 100%, $E$13) + CHOOSE(CONTROL!$C$28, 0, 0)</f>
        <v>35.799799999999998</v>
      </c>
      <c r="E285" s="4">
        <f>171.259725706932 * CHOOSE(CONTROL!$C$9, $C$13, 100%, $E$13) + CHOOSE(CONTROL!$C$28, 0, 0)</f>
        <v>171.25972570693199</v>
      </c>
    </row>
    <row r="286" spans="1:5" ht="15">
      <c r="A286" s="14">
        <v>50192</v>
      </c>
      <c r="B286" s="4">
        <f>27.2334 * CHOOSE(CONTROL!$C$9, $C$13, 100%, $E$13) + CHOOSE(CONTROL!$C$28, 0.0136, 0)</f>
        <v>27.247</v>
      </c>
      <c r="C286" s="4">
        <f>26.8701 * CHOOSE(CONTROL!$C$9, $C$13, 100%, $E$13) + CHOOSE(CONTROL!$C$28, 0.0136, 0)</f>
        <v>26.883700000000001</v>
      </c>
      <c r="D286" s="4">
        <f>36.1131 * CHOOSE(CONTROL!$C$9, $C$13, 100%, $E$13) + CHOOSE(CONTROL!$C$28, 0, 0)</f>
        <v>36.113100000000003</v>
      </c>
      <c r="E286" s="4">
        <f>171.801614812176 * CHOOSE(CONTROL!$C$9, $C$13, 100%, $E$13) + CHOOSE(CONTROL!$C$28, 0, 0)</f>
        <v>171.80161481217601</v>
      </c>
    </row>
    <row r="287" spans="1:5" ht="15">
      <c r="A287" s="14">
        <v>50222</v>
      </c>
      <c r="B287" s="4">
        <f>27.225 * CHOOSE(CONTROL!$C$9, $C$13, 100%, $E$13) + CHOOSE(CONTROL!$C$28, 0.0136, 0)</f>
        <v>27.238600000000002</v>
      </c>
      <c r="C287" s="4">
        <f>26.8617 * CHOOSE(CONTROL!$C$9, $C$13, 100%, $E$13) + CHOOSE(CONTROL!$C$28, 0.0136, 0)</f>
        <v>26.875299999999999</v>
      </c>
      <c r="D287" s="4">
        <f>36.6784 * CHOOSE(CONTROL!$C$9, $C$13, 100%, $E$13) + CHOOSE(CONTROL!$C$28, 0, 0)</f>
        <v>36.678400000000003</v>
      </c>
      <c r="E287" s="4">
        <f>171.746970532655 * CHOOSE(CONTROL!$C$9, $C$13, 100%, $E$13) + CHOOSE(CONTROL!$C$28, 0, 0)</f>
        <v>171.74697053265501</v>
      </c>
    </row>
    <row r="288" spans="1:5" ht="15">
      <c r="A288" s="14">
        <v>50253</v>
      </c>
      <c r="B288" s="4">
        <f>27.8583 * CHOOSE(CONTROL!$C$9, $C$13, 100%, $E$13) + CHOOSE(CONTROL!$C$28, 0.0136, 0)</f>
        <v>27.8719</v>
      </c>
      <c r="C288" s="4">
        <f>27.495 * CHOOSE(CONTROL!$C$9, $C$13, 100%, $E$13) + CHOOSE(CONTROL!$C$28, 0.0136, 0)</f>
        <v>27.508600000000001</v>
      </c>
      <c r="D288" s="4">
        <f>36.305 * CHOOSE(CONTROL!$C$9, $C$13, 100%, $E$13) + CHOOSE(CONTROL!$C$28, 0, 0)</f>
        <v>36.305</v>
      </c>
      <c r="E288" s="4">
        <f>175.858952566566 * CHOOSE(CONTROL!$C$9, $C$13, 100%, $E$13) + CHOOSE(CONTROL!$C$28, 0, 0)</f>
        <v>175.85895256656599</v>
      </c>
    </row>
    <row r="289" spans="1:5" ht="15">
      <c r="A289" s="14">
        <v>50284</v>
      </c>
      <c r="B289" s="4">
        <f>26.779 * CHOOSE(CONTROL!$C$9, $C$13, 100%, $E$13) + CHOOSE(CONTROL!$C$28, 0.0136, 0)</f>
        <v>26.7926</v>
      </c>
      <c r="C289" s="4">
        <f>26.4157 * CHOOSE(CONTROL!$C$9, $C$13, 100%, $E$13) + CHOOSE(CONTROL!$C$28, 0.0136, 0)</f>
        <v>26.429300000000001</v>
      </c>
      <c r="D289" s="4">
        <f>36.1287 * CHOOSE(CONTROL!$C$9, $C$13, 100%, $E$13) + CHOOSE(CONTROL!$C$28, 0, 0)</f>
        <v>36.128700000000002</v>
      </c>
      <c r="E289" s="4">
        <f>168.850823718074 * CHOOSE(CONTROL!$C$9, $C$13, 100%, $E$13) + CHOOSE(CONTROL!$C$28, 0, 0)</f>
        <v>168.850823718074</v>
      </c>
    </row>
    <row r="290" spans="1:5" ht="15">
      <c r="A290" s="14">
        <v>50314</v>
      </c>
      <c r="B290" s="4">
        <f>25.9149 * CHOOSE(CONTROL!$C$9, $C$13, 100%, $E$13) + CHOOSE(CONTROL!$C$28, 0.0003, 0)</f>
        <v>25.915199999999999</v>
      </c>
      <c r="C290" s="4">
        <f>25.5516 * CHOOSE(CONTROL!$C$9, $C$13, 100%, $E$13) + CHOOSE(CONTROL!$C$28, 0.0003, 0)</f>
        <v>25.5519</v>
      </c>
      <c r="D290" s="4">
        <f>35.6564 * CHOOSE(CONTROL!$C$9, $C$13, 100%, $E$13) + CHOOSE(CONTROL!$C$28, 0, 0)</f>
        <v>35.656399999999998</v>
      </c>
      <c r="E290" s="4">
        <f>163.240677687311 * CHOOSE(CONTROL!$C$9, $C$13, 100%, $E$13) + CHOOSE(CONTROL!$C$28, 0, 0)</f>
        <v>163.24067768731101</v>
      </c>
    </row>
    <row r="291" spans="1:5" ht="15">
      <c r="A291" s="14">
        <v>50345</v>
      </c>
      <c r="B291" s="4">
        <f>25.3584 * CHOOSE(CONTROL!$C$9, $C$13, 100%, $E$13) + CHOOSE(CONTROL!$C$28, 0.0003, 0)</f>
        <v>25.358699999999999</v>
      </c>
      <c r="C291" s="4">
        <f>24.9951 * CHOOSE(CONTROL!$C$9, $C$13, 100%, $E$13) + CHOOSE(CONTROL!$C$28, 0.0003, 0)</f>
        <v>24.9954</v>
      </c>
      <c r="D291" s="4">
        <f>35.494 * CHOOSE(CONTROL!$C$9, $C$13, 100%, $E$13) + CHOOSE(CONTROL!$C$28, 0, 0)</f>
        <v>35.494</v>
      </c>
      <c r="E291" s="4">
        <f>159.627324704024 * CHOOSE(CONTROL!$C$9, $C$13, 100%, $E$13) + CHOOSE(CONTROL!$C$28, 0, 0)</f>
        <v>159.62732470402401</v>
      </c>
    </row>
    <row r="292" spans="1:5" ht="15">
      <c r="A292" s="14">
        <v>50375</v>
      </c>
      <c r="B292" s="4">
        <f>24.9734 * CHOOSE(CONTROL!$C$9, $C$13, 100%, $E$13) + CHOOSE(CONTROL!$C$28, 0.0003, 0)</f>
        <v>24.973700000000001</v>
      </c>
      <c r="C292" s="4">
        <f>24.6101 * CHOOSE(CONTROL!$C$9, $C$13, 100%, $E$13) + CHOOSE(CONTROL!$C$28, 0.0003, 0)</f>
        <v>24.610399999999998</v>
      </c>
      <c r="D292" s="4">
        <f>34.2986 * CHOOSE(CONTROL!$C$9, $C$13, 100%, $E$13) + CHOOSE(CONTROL!$C$28, 0, 0)</f>
        <v>34.2986</v>
      </c>
      <c r="E292" s="4">
        <f>157.127348915965 * CHOOSE(CONTROL!$C$9, $C$13, 100%, $E$13) + CHOOSE(CONTROL!$C$28, 0, 0)</f>
        <v>157.127348915965</v>
      </c>
    </row>
    <row r="293" spans="1:5" ht="15">
      <c r="A293" s="13">
        <v>50436</v>
      </c>
      <c r="B293" s="4">
        <f>23.9199 * CHOOSE(CONTROL!$C$9, $C$13, 100%, $E$13) + CHOOSE(CONTROL!$C$28, 0.0003, 0)</f>
        <v>23.920199999999998</v>
      </c>
      <c r="C293" s="4">
        <f>23.5566 * CHOOSE(CONTROL!$C$9, $C$13, 100%, $E$13) + CHOOSE(CONTROL!$C$28, 0.0003, 0)</f>
        <v>23.556899999999999</v>
      </c>
      <c r="D293" s="4">
        <f>32.9817 * CHOOSE(CONTROL!$C$9, $C$13, 100%, $E$13) + CHOOSE(CONTROL!$C$28, 0, 0)</f>
        <v>32.981699999999996</v>
      </c>
      <c r="E293" s="4">
        <f>150.582356360755 * CHOOSE(CONTROL!$C$9, $C$13, 100%, $E$13) + CHOOSE(CONTROL!$C$28, 0, 0)</f>
        <v>150.582356360755</v>
      </c>
    </row>
    <row r="294" spans="1:5" ht="15">
      <c r="A294" s="13">
        <v>50464</v>
      </c>
      <c r="B294" s="4">
        <f>24.4695 * CHOOSE(CONTROL!$C$9, $C$13, 100%, $E$13) + CHOOSE(CONTROL!$C$28, 0.0003, 0)</f>
        <v>24.469799999999999</v>
      </c>
      <c r="C294" s="4">
        <f>24.1062 * CHOOSE(CONTROL!$C$9, $C$13, 100%, $E$13) + CHOOSE(CONTROL!$C$28, 0.0003, 0)</f>
        <v>24.1065</v>
      </c>
      <c r="D294" s="4">
        <f>34.0804 * CHOOSE(CONTROL!$C$9, $C$13, 100%, $E$13) + CHOOSE(CONTROL!$C$28, 0, 0)</f>
        <v>34.080399999999997</v>
      </c>
      <c r="E294" s="4">
        <f>154.15777493219 * CHOOSE(CONTROL!$C$9, $C$13, 100%, $E$13) + CHOOSE(CONTROL!$C$28, 0, 0)</f>
        <v>154.15777493218999</v>
      </c>
    </row>
    <row r="295" spans="1:5" ht="15">
      <c r="A295" s="13">
        <v>50495</v>
      </c>
      <c r="B295" s="4">
        <f>25.9128 * CHOOSE(CONTROL!$C$9, $C$13, 100%, $E$13) + CHOOSE(CONTROL!$C$28, 0.0003, 0)</f>
        <v>25.9131</v>
      </c>
      <c r="C295" s="4">
        <f>25.5495 * CHOOSE(CONTROL!$C$9, $C$13, 100%, $E$13) + CHOOSE(CONTROL!$C$28, 0.0003, 0)</f>
        <v>25.549799999999998</v>
      </c>
      <c r="D295" s="4">
        <f>35.8003 * CHOOSE(CONTROL!$C$9, $C$13, 100%, $E$13) + CHOOSE(CONTROL!$C$28, 0, 0)</f>
        <v>35.8003</v>
      </c>
      <c r="E295" s="4">
        <f>163.547014110058 * CHOOSE(CONTROL!$C$9, $C$13, 100%, $E$13) + CHOOSE(CONTROL!$C$28, 0, 0)</f>
        <v>163.547014110058</v>
      </c>
    </row>
    <row r="296" spans="1:5" ht="15">
      <c r="A296" s="13">
        <v>50525</v>
      </c>
      <c r="B296" s="4">
        <f>26.9382 * CHOOSE(CONTROL!$C$9, $C$13, 100%, $E$13) + CHOOSE(CONTROL!$C$28, 0.0003, 0)</f>
        <v>26.938499999999998</v>
      </c>
      <c r="C296" s="4">
        <f>26.5749 * CHOOSE(CONTROL!$C$9, $C$13, 100%, $E$13) + CHOOSE(CONTROL!$C$28, 0.0003, 0)</f>
        <v>26.575199999999999</v>
      </c>
      <c r="D296" s="4">
        <f>36.7911 * CHOOSE(CONTROL!$C$9, $C$13, 100%, $E$13) + CHOOSE(CONTROL!$C$28, 0, 0)</f>
        <v>36.7911</v>
      </c>
      <c r="E296" s="4">
        <f>170.218193673998 * CHOOSE(CONTROL!$C$9, $C$13, 100%, $E$13) + CHOOSE(CONTROL!$C$28, 0, 0)</f>
        <v>170.218193673998</v>
      </c>
    </row>
    <row r="297" spans="1:5" ht="15">
      <c r="A297" s="13">
        <v>50556</v>
      </c>
      <c r="B297" s="4">
        <f>27.5647 * CHOOSE(CONTROL!$C$9, $C$13, 100%, $E$13) + CHOOSE(CONTROL!$C$28, 0.0136, 0)</f>
        <v>27.578299999999999</v>
      </c>
      <c r="C297" s="4">
        <f>27.2015 * CHOOSE(CONTROL!$C$9, $C$13, 100%, $E$13) + CHOOSE(CONTROL!$C$28, 0.0136, 0)</f>
        <v>27.2151</v>
      </c>
      <c r="D297" s="4">
        <f>36.3996 * CHOOSE(CONTROL!$C$9, $C$13, 100%, $E$13) + CHOOSE(CONTROL!$C$28, 0, 0)</f>
        <v>36.3996</v>
      </c>
      <c r="E297" s="4">
        <f>174.294124501705 * CHOOSE(CONTROL!$C$9, $C$13, 100%, $E$13) + CHOOSE(CONTROL!$C$28, 0, 0)</f>
        <v>174.294124501705</v>
      </c>
    </row>
    <row r="298" spans="1:5" ht="15">
      <c r="A298" s="13">
        <v>50586</v>
      </c>
      <c r="B298" s="4">
        <f>27.6495 * CHOOSE(CONTROL!$C$9, $C$13, 100%, $E$13) + CHOOSE(CONTROL!$C$28, 0.0136, 0)</f>
        <v>27.6631</v>
      </c>
      <c r="C298" s="4">
        <f>27.2862 * CHOOSE(CONTROL!$C$9, $C$13, 100%, $E$13) + CHOOSE(CONTROL!$C$28, 0.0136, 0)</f>
        <v>27.299800000000001</v>
      </c>
      <c r="D298" s="4">
        <f>36.7184 * CHOOSE(CONTROL!$C$9, $C$13, 100%, $E$13) + CHOOSE(CONTROL!$C$28, 0, 0)</f>
        <v>36.718400000000003</v>
      </c>
      <c r="E298" s="4">
        <f>174.845614858154 * CHOOSE(CONTROL!$C$9, $C$13, 100%, $E$13) + CHOOSE(CONTROL!$C$28, 0, 0)</f>
        <v>174.84561485815399</v>
      </c>
    </row>
    <row r="299" spans="1:5" ht="15">
      <c r="A299" s="13">
        <v>50617</v>
      </c>
      <c r="B299" s="4">
        <f>27.641 * CHOOSE(CONTROL!$C$9, $C$13, 100%, $E$13) + CHOOSE(CONTROL!$C$28, 0.0136, 0)</f>
        <v>27.654599999999999</v>
      </c>
      <c r="C299" s="4">
        <f>27.2777 * CHOOSE(CONTROL!$C$9, $C$13, 100%, $E$13) + CHOOSE(CONTROL!$C$28, 0.0136, 0)</f>
        <v>27.2913</v>
      </c>
      <c r="D299" s="4">
        <f>37.2937 * CHOOSE(CONTROL!$C$9, $C$13, 100%, $E$13) + CHOOSE(CONTROL!$C$28, 0, 0)</f>
        <v>37.293700000000001</v>
      </c>
      <c r="E299" s="4">
        <f>174.790002385235 * CHOOSE(CONTROL!$C$9, $C$13, 100%, $E$13) + CHOOSE(CONTROL!$C$28, 0, 0)</f>
        <v>174.790002385235</v>
      </c>
    </row>
    <row r="300" spans="1:5" ht="15">
      <c r="A300" s="13">
        <v>50648</v>
      </c>
      <c r="B300" s="4">
        <f>28.2842 * CHOOSE(CONTROL!$C$9, $C$13, 100%, $E$13) + CHOOSE(CONTROL!$C$28, 0.0136, 0)</f>
        <v>28.297799999999999</v>
      </c>
      <c r="C300" s="4">
        <f>27.9209 * CHOOSE(CONTROL!$C$9, $C$13, 100%, $E$13) + CHOOSE(CONTROL!$C$28, 0.0136, 0)</f>
        <v>27.9345</v>
      </c>
      <c r="D300" s="4">
        <f>36.9138 * CHOOSE(CONTROL!$C$9, $C$13, 100%, $E$13) + CHOOSE(CONTROL!$C$28, 0, 0)</f>
        <v>36.913800000000002</v>
      </c>
      <c r="E300" s="4">
        <f>178.974840972409 * CHOOSE(CONTROL!$C$9, $C$13, 100%, $E$13) + CHOOSE(CONTROL!$C$28, 0, 0)</f>
        <v>178.974840972409</v>
      </c>
    </row>
    <row r="301" spans="1:5" ht="15">
      <c r="A301" s="13">
        <v>50678</v>
      </c>
      <c r="B301" s="4">
        <f>27.1879 * CHOOSE(CONTROL!$C$9, $C$13, 100%, $E$13) + CHOOSE(CONTROL!$C$28, 0.0136, 0)</f>
        <v>27.201499999999999</v>
      </c>
      <c r="C301" s="4">
        <f>26.8246 * CHOOSE(CONTROL!$C$9, $C$13, 100%, $E$13) + CHOOSE(CONTROL!$C$28, 0.0136, 0)</f>
        <v>26.838200000000001</v>
      </c>
      <c r="D301" s="4">
        <f>36.7343 * CHOOSE(CONTROL!$C$9, $C$13, 100%, $E$13) + CHOOSE(CONTROL!$C$28, 0, 0)</f>
        <v>36.734299999999998</v>
      </c>
      <c r="E301" s="4">
        <f>171.842541320514 * CHOOSE(CONTROL!$C$9, $C$13, 100%, $E$13) + CHOOSE(CONTROL!$C$28, 0, 0)</f>
        <v>171.84254132051399</v>
      </c>
    </row>
    <row r="302" spans="1:5" ht="15">
      <c r="A302" s="13">
        <v>50709</v>
      </c>
      <c r="B302" s="4">
        <f>26.3103 * CHOOSE(CONTROL!$C$9, $C$13, 100%, $E$13) + CHOOSE(CONTROL!$C$28, 0.0003, 0)</f>
        <v>26.310600000000001</v>
      </c>
      <c r="C302" s="4">
        <f>25.947 * CHOOSE(CONTROL!$C$9, $C$13, 100%, $E$13) + CHOOSE(CONTROL!$C$28, 0.0003, 0)</f>
        <v>25.947299999999998</v>
      </c>
      <c r="D302" s="4">
        <f>36.2536 * CHOOSE(CONTROL!$C$9, $C$13, 100%, $E$13) + CHOOSE(CONTROL!$C$28, 0, 0)</f>
        <v>36.253599999999999</v>
      </c>
      <c r="E302" s="4">
        <f>166.132994100804 * CHOOSE(CONTROL!$C$9, $C$13, 100%, $E$13) + CHOOSE(CONTROL!$C$28, 0, 0)</f>
        <v>166.13299410080401</v>
      </c>
    </row>
    <row r="303" spans="1:5" ht="15">
      <c r="A303" s="13">
        <v>50739</v>
      </c>
      <c r="B303" s="4">
        <f>25.745 * CHOOSE(CONTROL!$C$9, $C$13, 100%, $E$13) + CHOOSE(CONTROL!$C$28, 0.0003, 0)</f>
        <v>25.7453</v>
      </c>
      <c r="C303" s="4">
        <f>25.3817 * CHOOSE(CONTROL!$C$9, $C$13, 100%, $E$13) + CHOOSE(CONTROL!$C$28, 0.0003, 0)</f>
        <v>25.381999999999998</v>
      </c>
      <c r="D303" s="4">
        <f>36.0884 * CHOOSE(CONTROL!$C$9, $C$13, 100%, $E$13) + CHOOSE(CONTROL!$C$28, 0, 0)</f>
        <v>36.0884</v>
      </c>
      <c r="E303" s="4">
        <f>162.455619329017 * CHOOSE(CONTROL!$C$9, $C$13, 100%, $E$13) + CHOOSE(CONTROL!$C$28, 0, 0)</f>
        <v>162.455619329017</v>
      </c>
    </row>
    <row r="304" spans="1:5" ht="15">
      <c r="A304" s="13">
        <v>50770</v>
      </c>
      <c r="B304" s="4">
        <f>25.3539 * CHOOSE(CONTROL!$C$9, $C$13, 100%, $E$13) + CHOOSE(CONTROL!$C$28, 0.0003, 0)</f>
        <v>25.354199999999999</v>
      </c>
      <c r="C304" s="4">
        <f>24.9906 * CHOOSE(CONTROL!$C$9, $C$13, 100%, $E$13) + CHOOSE(CONTROL!$C$28, 0.0003, 0)</f>
        <v>24.9909</v>
      </c>
      <c r="D304" s="4">
        <f>34.8718 * CHOOSE(CONTROL!$C$9, $C$13, 100%, $E$13) + CHOOSE(CONTROL!$C$28, 0, 0)</f>
        <v>34.8718</v>
      </c>
      <c r="E304" s="4">
        <f>159.911348692961 * CHOOSE(CONTROL!$C$9, $C$13, 100%, $E$13) + CHOOSE(CONTROL!$C$28, 0, 0)</f>
        <v>159.91134869296101</v>
      </c>
    </row>
    <row r="305" spans="1:5" ht="15">
      <c r="A305" s="13">
        <v>50801</v>
      </c>
      <c r="B305" s="4">
        <f>24.2839 * CHOOSE(CONTROL!$C$9, $C$13, 100%, $E$13) + CHOOSE(CONTROL!$C$28, 0.0003, 0)</f>
        <v>24.284199999999998</v>
      </c>
      <c r="C305" s="4">
        <f>23.9206 * CHOOSE(CONTROL!$C$9, $C$13, 100%, $E$13) + CHOOSE(CONTROL!$C$28, 0.0003, 0)</f>
        <v>23.9209</v>
      </c>
      <c r="D305" s="4">
        <f>33.5317 * CHOOSE(CONTROL!$C$9, $C$13, 100%, $E$13) + CHOOSE(CONTROL!$C$28, 0, 0)</f>
        <v>33.531700000000001</v>
      </c>
      <c r="E305" s="4">
        <f>153.250391234507 * CHOOSE(CONTROL!$C$9, $C$13, 100%, $E$13) + CHOOSE(CONTROL!$C$28, 0, 0)</f>
        <v>153.25039123450699</v>
      </c>
    </row>
    <row r="306" spans="1:5" ht="15">
      <c r="A306" s="13">
        <v>50829</v>
      </c>
      <c r="B306" s="4">
        <f>24.8421 * CHOOSE(CONTROL!$C$9, $C$13, 100%, $E$13) + CHOOSE(CONTROL!$C$28, 0.0003, 0)</f>
        <v>24.842399999999998</v>
      </c>
      <c r="C306" s="4">
        <f>24.4789 * CHOOSE(CONTROL!$C$9, $C$13, 100%, $E$13) + CHOOSE(CONTROL!$C$28, 0.0003, 0)</f>
        <v>24.479199999999999</v>
      </c>
      <c r="D306" s="4">
        <f>34.6498 * CHOOSE(CONTROL!$C$9, $C$13, 100%, $E$13) + CHOOSE(CONTROL!$C$28, 0, 0)</f>
        <v>34.649799999999999</v>
      </c>
      <c r="E306" s="4">
        <f>156.889159468328 * CHOOSE(CONTROL!$C$9, $C$13, 100%, $E$13) + CHOOSE(CONTROL!$C$28, 0, 0)</f>
        <v>156.88915946832799</v>
      </c>
    </row>
    <row r="307" spans="1:5" ht="15">
      <c r="A307" s="13">
        <v>50860</v>
      </c>
      <c r="B307" s="4">
        <f>26.3081 * CHOOSE(CONTROL!$C$9, $C$13, 100%, $E$13) + CHOOSE(CONTROL!$C$28, 0.0003, 0)</f>
        <v>26.308399999999999</v>
      </c>
      <c r="C307" s="4">
        <f>25.9448 * CHOOSE(CONTROL!$C$9, $C$13, 100%, $E$13) + CHOOSE(CONTROL!$C$28, 0.0003, 0)</f>
        <v>25.9451</v>
      </c>
      <c r="D307" s="4">
        <f>36.4001 * CHOOSE(CONTROL!$C$9, $C$13, 100%, $E$13) + CHOOSE(CONTROL!$C$28, 0, 0)</f>
        <v>36.400100000000002</v>
      </c>
      <c r="E307" s="4">
        <f>166.444758226229 * CHOOSE(CONTROL!$C$9, $C$13, 100%, $E$13) + CHOOSE(CONTROL!$C$28, 0, 0)</f>
        <v>166.444758226229</v>
      </c>
    </row>
    <row r="308" spans="1:5" ht="15">
      <c r="A308" s="13">
        <v>50890</v>
      </c>
      <c r="B308" s="4">
        <f>27.3497 * CHOOSE(CONTROL!$C$9, $C$13, 100%, $E$13) + CHOOSE(CONTROL!$C$28, 0.0003, 0)</f>
        <v>27.349999999999998</v>
      </c>
      <c r="C308" s="4">
        <f>26.9864 * CHOOSE(CONTROL!$C$9, $C$13, 100%, $E$13) + CHOOSE(CONTROL!$C$28, 0.0003, 0)</f>
        <v>26.986699999999999</v>
      </c>
      <c r="D308" s="4">
        <f>37.4084 * CHOOSE(CONTROL!$C$9, $C$13, 100%, $E$13) + CHOOSE(CONTROL!$C$28, 0, 0)</f>
        <v>37.4084</v>
      </c>
      <c r="E308" s="4">
        <f>173.234138488815 * CHOOSE(CONTROL!$C$9, $C$13, 100%, $E$13) + CHOOSE(CONTROL!$C$28, 0, 0)</f>
        <v>173.23413848881501</v>
      </c>
    </row>
    <row r="309" spans="1:5" ht="15">
      <c r="A309" s="13">
        <v>50921</v>
      </c>
      <c r="B309" s="4">
        <f>27.986 * CHOOSE(CONTROL!$C$9, $C$13, 100%, $E$13) + CHOOSE(CONTROL!$C$28, 0.0136, 0)</f>
        <v>27.999600000000001</v>
      </c>
      <c r="C309" s="4">
        <f>27.6227 * CHOOSE(CONTROL!$C$9, $C$13, 100%, $E$13) + CHOOSE(CONTROL!$C$28, 0.0136, 0)</f>
        <v>27.636299999999999</v>
      </c>
      <c r="D309" s="4">
        <f>37.01 * CHOOSE(CONTROL!$C$9, $C$13, 100%, $E$13) + CHOOSE(CONTROL!$C$28, 0, 0)</f>
        <v>37.01</v>
      </c>
      <c r="E309" s="4">
        <f>177.38228711052 * CHOOSE(CONTROL!$C$9, $C$13, 100%, $E$13) + CHOOSE(CONTROL!$C$28, 0, 0)</f>
        <v>177.38228711052</v>
      </c>
    </row>
    <row r="310" spans="1:5" ht="15">
      <c r="A310" s="13">
        <v>50951</v>
      </c>
      <c r="B310" s="4">
        <f>28.0721 * CHOOSE(CONTROL!$C$9, $C$13, 100%, $E$13) + CHOOSE(CONTROL!$C$28, 0.0136, 0)</f>
        <v>28.085699999999999</v>
      </c>
      <c r="C310" s="4">
        <f>27.7088 * CHOOSE(CONTROL!$C$9, $C$13, 100%, $E$13) + CHOOSE(CONTROL!$C$28, 0.0136, 0)</f>
        <v>27.7224</v>
      </c>
      <c r="D310" s="4">
        <f>37.3344 * CHOOSE(CONTROL!$C$9, $C$13, 100%, $E$13) + CHOOSE(CONTROL!$C$28, 0, 0)</f>
        <v>37.334400000000002</v>
      </c>
      <c r="E310" s="4">
        <f>177.943548834207 * CHOOSE(CONTROL!$C$9, $C$13, 100%, $E$13) + CHOOSE(CONTROL!$C$28, 0, 0)</f>
        <v>177.94354883420701</v>
      </c>
    </row>
    <row r="311" spans="1:5" ht="15">
      <c r="A311" s="13">
        <v>50982</v>
      </c>
      <c r="B311" s="4">
        <f>28.0634 * CHOOSE(CONTROL!$C$9, $C$13, 100%, $E$13) + CHOOSE(CONTROL!$C$28, 0.0136, 0)</f>
        <v>28.077000000000002</v>
      </c>
      <c r="C311" s="4">
        <f>27.7002 * CHOOSE(CONTROL!$C$9, $C$13, 100%, $E$13) + CHOOSE(CONTROL!$C$28, 0.0136, 0)</f>
        <v>27.713799999999999</v>
      </c>
      <c r="D311" s="4">
        <f>37.9199 * CHOOSE(CONTROL!$C$9, $C$13, 100%, $E$13) + CHOOSE(CONTROL!$C$28, 0, 0)</f>
        <v>37.919899999999998</v>
      </c>
      <c r="E311" s="4">
        <f>177.886951013331 * CHOOSE(CONTROL!$C$9, $C$13, 100%, $E$13) + CHOOSE(CONTROL!$C$28, 0, 0)</f>
        <v>177.88695101333099</v>
      </c>
    </row>
    <row r="312" spans="1:5" ht="15">
      <c r="A312" s="13">
        <v>51013</v>
      </c>
      <c r="B312" s="4">
        <f>28.7168 * CHOOSE(CONTROL!$C$9, $C$13, 100%, $E$13) + CHOOSE(CONTROL!$C$28, 0.0136, 0)</f>
        <v>28.730399999999999</v>
      </c>
      <c r="C312" s="4">
        <f>28.3535 * CHOOSE(CONTROL!$C$9, $C$13, 100%, $E$13) + CHOOSE(CONTROL!$C$28, 0.0136, 0)</f>
        <v>28.367100000000001</v>
      </c>
      <c r="D312" s="4">
        <f>37.5333 * CHOOSE(CONTROL!$C$9, $C$13, 100%, $E$13) + CHOOSE(CONTROL!$C$28, 0, 0)</f>
        <v>37.533299999999997</v>
      </c>
      <c r="E312" s="4">
        <f>182.145937034252 * CHOOSE(CONTROL!$C$9, $C$13, 100%, $E$13) + CHOOSE(CONTROL!$C$28, 0, 0)</f>
        <v>182.145937034252</v>
      </c>
    </row>
    <row r="313" spans="1:5" ht="15">
      <c r="A313" s="13">
        <v>51043</v>
      </c>
      <c r="B313" s="4">
        <f>27.6033 * CHOOSE(CONTROL!$C$9, $C$13, 100%, $E$13) + CHOOSE(CONTROL!$C$28, 0.0136, 0)</f>
        <v>27.616900000000001</v>
      </c>
      <c r="C313" s="4">
        <f>27.24 * CHOOSE(CONTROL!$C$9, $C$13, 100%, $E$13) + CHOOSE(CONTROL!$C$28, 0.0136, 0)</f>
        <v>27.253599999999999</v>
      </c>
      <c r="D313" s="4">
        <f>37.3506 * CHOOSE(CONTROL!$C$9, $C$13, 100%, $E$13) + CHOOSE(CONTROL!$C$28, 0, 0)</f>
        <v>37.3506</v>
      </c>
      <c r="E313" s="4">
        <f>174.887266506902 * CHOOSE(CONTROL!$C$9, $C$13, 100%, $E$13) + CHOOSE(CONTROL!$C$28, 0, 0)</f>
        <v>174.88726650690199</v>
      </c>
    </row>
    <row r="314" spans="1:5" ht="15">
      <c r="A314" s="13">
        <v>51074</v>
      </c>
      <c r="B314" s="4">
        <f>26.7118 * CHOOSE(CONTROL!$C$9, $C$13, 100%, $E$13) + CHOOSE(CONTROL!$C$28, 0.0003, 0)</f>
        <v>26.7121</v>
      </c>
      <c r="C314" s="4">
        <f>26.3485 * CHOOSE(CONTROL!$C$9, $C$13, 100%, $E$13) + CHOOSE(CONTROL!$C$28, 0.0003, 0)</f>
        <v>26.348800000000001</v>
      </c>
      <c r="D314" s="4">
        <f>36.8615 * CHOOSE(CONTROL!$C$9, $C$13, 100%, $E$13) + CHOOSE(CONTROL!$C$28, 0, 0)</f>
        <v>36.861499999999999</v>
      </c>
      <c r="E314" s="4">
        <f>169.076556896964 * CHOOSE(CONTROL!$C$9, $C$13, 100%, $E$13) + CHOOSE(CONTROL!$C$28, 0, 0)</f>
        <v>169.07655689696401</v>
      </c>
    </row>
    <row r="315" spans="1:5" ht="15">
      <c r="A315" s="13">
        <v>51104</v>
      </c>
      <c r="B315" s="4">
        <f>26.1377 * CHOOSE(CONTROL!$C$9, $C$13, 100%, $E$13) + CHOOSE(CONTROL!$C$28, 0.0003, 0)</f>
        <v>26.137999999999998</v>
      </c>
      <c r="C315" s="4">
        <f>25.7744 * CHOOSE(CONTROL!$C$9, $C$13, 100%, $E$13) + CHOOSE(CONTROL!$C$28, 0.0003, 0)</f>
        <v>25.774699999999999</v>
      </c>
      <c r="D315" s="4">
        <f>36.6933 * CHOOSE(CONTROL!$C$9, $C$13, 100%, $E$13) + CHOOSE(CONTROL!$C$28, 0, 0)</f>
        <v>36.693300000000001</v>
      </c>
      <c r="E315" s="4">
        <f>165.334025991537 * CHOOSE(CONTROL!$C$9, $C$13, 100%, $E$13) + CHOOSE(CONTROL!$C$28, 0, 0)</f>
        <v>165.334025991537</v>
      </c>
    </row>
    <row r="316" spans="1:5" ht="15">
      <c r="A316" s="13">
        <v>51135</v>
      </c>
      <c r="B316" s="4">
        <f>25.7404 * CHOOSE(CONTROL!$C$9, $C$13, 100%, $E$13) + CHOOSE(CONTROL!$C$28, 0.0003, 0)</f>
        <v>25.7407</v>
      </c>
      <c r="C316" s="4">
        <f>25.3772 * CHOOSE(CONTROL!$C$9, $C$13, 100%, $E$13) + CHOOSE(CONTROL!$C$28, 0.0003, 0)</f>
        <v>25.377499999999998</v>
      </c>
      <c r="D316" s="4">
        <f>35.4552 * CHOOSE(CONTROL!$C$9, $C$13, 100%, $E$13) + CHOOSE(CONTROL!$C$28, 0, 0)</f>
        <v>35.455199999999998</v>
      </c>
      <c r="E316" s="4">
        <f>162.744675686459 * CHOOSE(CONTROL!$C$9, $C$13, 100%, $E$13) + CHOOSE(CONTROL!$C$28, 0, 0)</f>
        <v>162.744675686459</v>
      </c>
    </row>
    <row r="317" spans="1:5" ht="15">
      <c r="A317" s="13">
        <v>51166</v>
      </c>
      <c r="B317" s="4">
        <f>24.6536 * CHOOSE(CONTROL!$C$9, $C$13, 100%, $E$13) + CHOOSE(CONTROL!$C$28, 0.0003, 0)</f>
        <v>24.6539</v>
      </c>
      <c r="C317" s="4">
        <f>24.2903 * CHOOSE(CONTROL!$C$9, $C$13, 100%, $E$13) + CHOOSE(CONTROL!$C$28, 0.0003, 0)</f>
        <v>24.290599999999998</v>
      </c>
      <c r="D317" s="4">
        <f>34.0914 * CHOOSE(CONTROL!$C$9, $C$13, 100%, $E$13) + CHOOSE(CONTROL!$C$28, 0, 0)</f>
        <v>34.0914</v>
      </c>
      <c r="E317" s="4">
        <f>155.965698645756 * CHOOSE(CONTROL!$C$9, $C$13, 100%, $E$13) + CHOOSE(CONTROL!$C$28, 0, 0)</f>
        <v>155.96569864575599</v>
      </c>
    </row>
    <row r="318" spans="1:5" ht="15">
      <c r="A318" s="13">
        <v>51194</v>
      </c>
      <c r="B318" s="4">
        <f>25.2206 * CHOOSE(CONTROL!$C$9, $C$13, 100%, $E$13) + CHOOSE(CONTROL!$C$28, 0.0003, 0)</f>
        <v>25.2209</v>
      </c>
      <c r="C318" s="4">
        <f>24.8573 * CHOOSE(CONTROL!$C$9, $C$13, 100%, $E$13) + CHOOSE(CONTROL!$C$28, 0.0003, 0)</f>
        <v>24.857599999999998</v>
      </c>
      <c r="D318" s="4">
        <f>35.2293 * CHOOSE(CONTROL!$C$9, $C$13, 100%, $E$13) + CHOOSE(CONTROL!$C$28, 0, 0)</f>
        <v>35.229300000000002</v>
      </c>
      <c r="E318" s="4">
        <f>159.6689389783 * CHOOSE(CONTROL!$C$9, $C$13, 100%, $E$13) + CHOOSE(CONTROL!$C$28, 0, 0)</f>
        <v>159.66893897829999</v>
      </c>
    </row>
    <row r="319" spans="1:5" ht="15">
      <c r="A319" s="13">
        <v>51226</v>
      </c>
      <c r="B319" s="4">
        <f>26.7096 * CHOOSE(CONTROL!$C$9, $C$13, 100%, $E$13) + CHOOSE(CONTROL!$C$28, 0.0003, 0)</f>
        <v>26.709899999999998</v>
      </c>
      <c r="C319" s="4">
        <f>26.3463 * CHOOSE(CONTROL!$C$9, $C$13, 100%, $E$13) + CHOOSE(CONTROL!$C$28, 0.0003, 0)</f>
        <v>26.346599999999999</v>
      </c>
      <c r="D319" s="4">
        <f>37.0106 * CHOOSE(CONTROL!$C$9, $C$13, 100%, $E$13) + CHOOSE(CONTROL!$C$28, 0, 0)</f>
        <v>37.010599999999997</v>
      </c>
      <c r="E319" s="4">
        <f>169.393844893705 * CHOOSE(CONTROL!$C$9, $C$13, 100%, $E$13) + CHOOSE(CONTROL!$C$28, 0, 0)</f>
        <v>169.39384489370499</v>
      </c>
    </row>
    <row r="320" spans="1:5" ht="15">
      <c r="A320" s="13">
        <v>51256</v>
      </c>
      <c r="B320" s="4">
        <f>27.7676 * CHOOSE(CONTROL!$C$9, $C$13, 100%, $E$13) + CHOOSE(CONTROL!$C$28, 0.0003, 0)</f>
        <v>27.767900000000001</v>
      </c>
      <c r="C320" s="4">
        <f>27.4043 * CHOOSE(CONTROL!$C$9, $C$13, 100%, $E$13) + CHOOSE(CONTROL!$C$28, 0.0003, 0)</f>
        <v>27.404599999999999</v>
      </c>
      <c r="D320" s="4">
        <f>38.0366 * CHOOSE(CONTROL!$C$9, $C$13, 100%, $E$13) + CHOOSE(CONTROL!$C$28, 0, 0)</f>
        <v>38.0366</v>
      </c>
      <c r="E320" s="4">
        <f>176.303520148012 * CHOOSE(CONTROL!$C$9, $C$13, 100%, $E$13) + CHOOSE(CONTROL!$C$28, 0, 0)</f>
        <v>176.30352014801201</v>
      </c>
    </row>
    <row r="321" spans="1:5" ht="15">
      <c r="A321" s="13">
        <v>51287</v>
      </c>
      <c r="B321" s="4">
        <f>28.4139 * CHOOSE(CONTROL!$C$9, $C$13, 100%, $E$13) + CHOOSE(CONTROL!$C$28, 0.0136, 0)</f>
        <v>28.427500000000002</v>
      </c>
      <c r="C321" s="4">
        <f>28.0507 * CHOOSE(CONTROL!$C$9, $C$13, 100%, $E$13) + CHOOSE(CONTROL!$C$28, 0.0136, 0)</f>
        <v>28.064299999999999</v>
      </c>
      <c r="D321" s="4">
        <f>37.6312 * CHOOSE(CONTROL!$C$9, $C$13, 100%, $E$13) + CHOOSE(CONTROL!$C$28, 0, 0)</f>
        <v>37.6312</v>
      </c>
      <c r="E321" s="4">
        <f>180.52516612659 * CHOOSE(CONTROL!$C$9, $C$13, 100%, $E$13) + CHOOSE(CONTROL!$C$28, 0, 0)</f>
        <v>180.52516612658999</v>
      </c>
    </row>
    <row r="322" spans="1:5" ht="15">
      <c r="A322" s="13">
        <v>51317</v>
      </c>
      <c r="B322" s="4">
        <f>28.5014 * CHOOSE(CONTROL!$C$9, $C$13, 100%, $E$13) + CHOOSE(CONTROL!$C$28, 0.0136, 0)</f>
        <v>28.515000000000001</v>
      </c>
      <c r="C322" s="4">
        <f>28.1381 * CHOOSE(CONTROL!$C$9, $C$13, 100%, $E$13) + CHOOSE(CONTROL!$C$28, 0.0136, 0)</f>
        <v>28.151700000000002</v>
      </c>
      <c r="D322" s="4">
        <f>37.9614 * CHOOSE(CONTROL!$C$9, $C$13, 100%, $E$13) + CHOOSE(CONTROL!$C$28, 0, 0)</f>
        <v>37.961399999999998</v>
      </c>
      <c r="E322" s="4">
        <f>181.096372347683 * CHOOSE(CONTROL!$C$9, $C$13, 100%, $E$13) + CHOOSE(CONTROL!$C$28, 0, 0)</f>
        <v>181.096372347683</v>
      </c>
    </row>
    <row r="323" spans="1:5" ht="15">
      <c r="A323" s="13">
        <v>51348</v>
      </c>
      <c r="B323" s="4">
        <f>28.4926 * CHOOSE(CONTROL!$C$9, $C$13, 100%, $E$13) + CHOOSE(CONTROL!$C$28, 0.0136, 0)</f>
        <v>28.5062</v>
      </c>
      <c r="C323" s="4">
        <f>28.1293 * CHOOSE(CONTROL!$C$9, $C$13, 100%, $E$13) + CHOOSE(CONTROL!$C$28, 0.0136, 0)</f>
        <v>28.142900000000001</v>
      </c>
      <c r="D323" s="4">
        <f>38.5572 * CHOOSE(CONTROL!$C$9, $C$13, 100%, $E$13) + CHOOSE(CONTROL!$C$28, 0, 0)</f>
        <v>38.557200000000002</v>
      </c>
      <c r="E323" s="4">
        <f>181.038771720346 * CHOOSE(CONTROL!$C$9, $C$13, 100%, $E$13) + CHOOSE(CONTROL!$C$28, 0, 0)</f>
        <v>181.03877172034601</v>
      </c>
    </row>
    <row r="324" spans="1:5" ht="15">
      <c r="A324" s="13">
        <v>51379</v>
      </c>
      <c r="B324" s="4">
        <f>29.1562 * CHOOSE(CONTROL!$C$9, $C$13, 100%, $E$13) + CHOOSE(CONTROL!$C$28, 0.0136, 0)</f>
        <v>29.169799999999999</v>
      </c>
      <c r="C324" s="4">
        <f>28.793 * CHOOSE(CONTROL!$C$9, $C$13, 100%, $E$13) + CHOOSE(CONTROL!$C$28, 0.0136, 0)</f>
        <v>28.8066</v>
      </c>
      <c r="D324" s="4">
        <f>38.1637 * CHOOSE(CONTROL!$C$9, $C$13, 100%, $E$13) + CHOOSE(CONTROL!$C$28, 0, 0)</f>
        <v>38.163699999999999</v>
      </c>
      <c r="E324" s="4">
        <f>185.373218927459 * CHOOSE(CONTROL!$C$9, $C$13, 100%, $E$13) + CHOOSE(CONTROL!$C$28, 0, 0)</f>
        <v>185.37321892745899</v>
      </c>
    </row>
    <row r="325" spans="1:5" ht="15">
      <c r="A325" s="13">
        <v>51409</v>
      </c>
      <c r="B325" s="4">
        <f>28.0252 * CHOOSE(CONTROL!$C$9, $C$13, 100%, $E$13) + CHOOSE(CONTROL!$C$28, 0.0136, 0)</f>
        <v>28.038800000000002</v>
      </c>
      <c r="C325" s="4">
        <f>27.6619 * CHOOSE(CONTROL!$C$9, $C$13, 100%, $E$13) + CHOOSE(CONTROL!$C$28, 0.0136, 0)</f>
        <v>27.6755</v>
      </c>
      <c r="D325" s="4">
        <f>37.9778 * CHOOSE(CONTROL!$C$9, $C$13, 100%, $E$13) + CHOOSE(CONTROL!$C$28, 0, 0)</f>
        <v>37.977800000000002</v>
      </c>
      <c r="E325" s="4">
        <f>177.985938471482 * CHOOSE(CONTROL!$C$9, $C$13, 100%, $E$13) + CHOOSE(CONTROL!$C$28, 0, 0)</f>
        <v>177.985938471482</v>
      </c>
    </row>
    <row r="326" spans="1:5" ht="15">
      <c r="A326" s="13">
        <v>51440</v>
      </c>
      <c r="B326" s="4">
        <f>27.1197 * CHOOSE(CONTROL!$C$9, $C$13, 100%, $E$13) + CHOOSE(CONTROL!$C$28, 0.0003, 0)</f>
        <v>27.12</v>
      </c>
      <c r="C326" s="4">
        <f>26.7564 * CHOOSE(CONTROL!$C$9, $C$13, 100%, $E$13) + CHOOSE(CONTROL!$C$28, 0.0003, 0)</f>
        <v>26.756699999999999</v>
      </c>
      <c r="D326" s="4">
        <f>37.48 * CHOOSE(CONTROL!$C$9, $C$13, 100%, $E$13) + CHOOSE(CONTROL!$C$28, 0, 0)</f>
        <v>37.479999999999997</v>
      </c>
      <c r="E326" s="4">
        <f>172.072274064878 * CHOOSE(CONTROL!$C$9, $C$13, 100%, $E$13) + CHOOSE(CONTROL!$C$28, 0, 0)</f>
        <v>172.072274064878</v>
      </c>
    </row>
    <row r="327" spans="1:5" ht="15">
      <c r="A327" s="13">
        <v>51470</v>
      </c>
      <c r="B327" s="4">
        <f>26.5365 * CHOOSE(CONTROL!$C$9, $C$13, 100%, $E$13) + CHOOSE(CONTROL!$C$28, 0.0003, 0)</f>
        <v>26.536799999999999</v>
      </c>
      <c r="C327" s="4">
        <f>26.1732 * CHOOSE(CONTROL!$C$9, $C$13, 100%, $E$13) + CHOOSE(CONTROL!$C$28, 0.0003, 0)</f>
        <v>26.173500000000001</v>
      </c>
      <c r="D327" s="4">
        <f>37.3089 * CHOOSE(CONTROL!$C$9, $C$13, 100%, $E$13) + CHOOSE(CONTROL!$C$28, 0, 0)</f>
        <v>37.308900000000001</v>
      </c>
      <c r="E327" s="4">
        <f>168.263432582216 * CHOOSE(CONTROL!$C$9, $C$13, 100%, $E$13) + CHOOSE(CONTROL!$C$28, 0, 0)</f>
        <v>168.26343258221601</v>
      </c>
    </row>
    <row r="328" spans="1:5" ht="15">
      <c r="A328" s="13">
        <v>51501</v>
      </c>
      <c r="B328" s="4">
        <f>26.133 * CHOOSE(CONTROL!$C$9, $C$13, 100%, $E$13) + CHOOSE(CONTROL!$C$28, 0.0003, 0)</f>
        <v>26.133299999999998</v>
      </c>
      <c r="C328" s="4">
        <f>25.7698 * CHOOSE(CONTROL!$C$9, $C$13, 100%, $E$13) + CHOOSE(CONTROL!$C$28, 0.0003, 0)</f>
        <v>25.770099999999999</v>
      </c>
      <c r="D328" s="4">
        <f>36.049 * CHOOSE(CONTROL!$C$9, $C$13, 100%, $E$13) + CHOOSE(CONTROL!$C$28, 0, 0)</f>
        <v>36.048999999999999</v>
      </c>
      <c r="E328" s="4">
        <f>165.628203881546 * CHOOSE(CONTROL!$C$9, $C$13, 100%, $E$13) + CHOOSE(CONTROL!$C$28, 0, 0)</f>
        <v>165.628203881546</v>
      </c>
    </row>
    <row r="329" spans="1:5" ht="15">
      <c r="A329" s="13">
        <v>51532</v>
      </c>
      <c r="B329" s="4">
        <f>25.0291 * CHOOSE(CONTROL!$C$9, $C$13, 100%, $E$13) + CHOOSE(CONTROL!$C$28, 0.0003, 0)</f>
        <v>25.029399999999999</v>
      </c>
      <c r="C329" s="4">
        <f>24.6658 * CHOOSE(CONTROL!$C$9, $C$13, 100%, $E$13) + CHOOSE(CONTROL!$C$28, 0.0003, 0)</f>
        <v>24.6661</v>
      </c>
      <c r="D329" s="4">
        <f>34.6611 * CHOOSE(CONTROL!$C$9, $C$13, 100%, $E$13) + CHOOSE(CONTROL!$C$28, 0, 0)</f>
        <v>34.661099999999998</v>
      </c>
      <c r="E329" s="4">
        <f>158.72911617456 * CHOOSE(CONTROL!$C$9, $C$13, 100%, $E$13) + CHOOSE(CONTROL!$C$28, 0, 0)</f>
        <v>158.72911617456</v>
      </c>
    </row>
    <row r="330" spans="1:5" ht="15">
      <c r="A330" s="13">
        <v>51560</v>
      </c>
      <c r="B330" s="4">
        <f>25.605 * CHOOSE(CONTROL!$C$9, $C$13, 100%, $E$13) + CHOOSE(CONTROL!$C$28, 0.0003, 0)</f>
        <v>25.6053</v>
      </c>
      <c r="C330" s="4">
        <f>25.2418 * CHOOSE(CONTROL!$C$9, $C$13, 100%, $E$13) + CHOOSE(CONTROL!$C$28, 0.0003, 0)</f>
        <v>25.242100000000001</v>
      </c>
      <c r="D330" s="4">
        <f>35.819 * CHOOSE(CONTROL!$C$9, $C$13, 100%, $E$13) + CHOOSE(CONTROL!$C$28, 0, 0)</f>
        <v>35.819000000000003</v>
      </c>
      <c r="E330" s="4">
        <f>162.497970929616 * CHOOSE(CONTROL!$C$9, $C$13, 100%, $E$13) + CHOOSE(CONTROL!$C$28, 0, 0)</f>
        <v>162.497970929616</v>
      </c>
    </row>
    <row r="331" spans="1:5" ht="15">
      <c r="A331" s="13">
        <v>51591</v>
      </c>
      <c r="B331" s="4">
        <f>27.1175 * CHOOSE(CONTROL!$C$9, $C$13, 100%, $E$13) + CHOOSE(CONTROL!$C$28, 0.0003, 0)</f>
        <v>27.117799999999999</v>
      </c>
      <c r="C331" s="4">
        <f>26.7542 * CHOOSE(CONTROL!$C$9, $C$13, 100%, $E$13) + CHOOSE(CONTROL!$C$28, 0.0003, 0)</f>
        <v>26.7545</v>
      </c>
      <c r="D331" s="4">
        <f>37.6317 * CHOOSE(CONTROL!$C$9, $C$13, 100%, $E$13) + CHOOSE(CONTROL!$C$28, 0, 0)</f>
        <v>37.631700000000002</v>
      </c>
      <c r="E331" s="4">
        <f>172.3951838055 * CHOOSE(CONTROL!$C$9, $C$13, 100%, $E$13) + CHOOSE(CONTROL!$C$28, 0, 0)</f>
        <v>172.39518380550001</v>
      </c>
    </row>
    <row r="332" spans="1:5" ht="15">
      <c r="A332" s="13">
        <v>51621</v>
      </c>
      <c r="B332" s="4">
        <f>28.192 * CHOOSE(CONTROL!$C$9, $C$13, 100%, $E$13) + CHOOSE(CONTROL!$C$28, 0.0003, 0)</f>
        <v>28.192299999999999</v>
      </c>
      <c r="C332" s="4">
        <f>27.8288 * CHOOSE(CONTROL!$C$9, $C$13, 100%, $E$13) + CHOOSE(CONTROL!$C$28, 0.0003, 0)</f>
        <v>27.8291</v>
      </c>
      <c r="D332" s="4">
        <f>38.6759 * CHOOSE(CONTROL!$C$9, $C$13, 100%, $E$13) + CHOOSE(CONTROL!$C$28, 0, 0)</f>
        <v>38.675899999999999</v>
      </c>
      <c r="E332" s="4">
        <f>179.427285451519 * CHOOSE(CONTROL!$C$9, $C$13, 100%, $E$13) + CHOOSE(CONTROL!$C$28, 0, 0)</f>
        <v>179.427285451519</v>
      </c>
    </row>
    <row r="333" spans="1:5" ht="15">
      <c r="A333" s="13">
        <v>51652</v>
      </c>
      <c r="B333" s="4">
        <f>28.8486 * CHOOSE(CONTROL!$C$9, $C$13, 100%, $E$13) + CHOOSE(CONTROL!$C$28, 0.0136, 0)</f>
        <v>28.862200000000001</v>
      </c>
      <c r="C333" s="4">
        <f>28.4853 * CHOOSE(CONTROL!$C$9, $C$13, 100%, $E$13) + CHOOSE(CONTROL!$C$28, 0.0136, 0)</f>
        <v>28.498899999999999</v>
      </c>
      <c r="D333" s="4">
        <f>38.2633 * CHOOSE(CONTROL!$C$9, $C$13, 100%, $E$13) + CHOOSE(CONTROL!$C$28, 0, 0)</f>
        <v>38.263300000000001</v>
      </c>
      <c r="E333" s="4">
        <f>183.723731021282 * CHOOSE(CONTROL!$C$9, $C$13, 100%, $E$13) + CHOOSE(CONTROL!$C$28, 0, 0)</f>
        <v>183.72373102128199</v>
      </c>
    </row>
    <row r="334" spans="1:5" ht="15">
      <c r="A334" s="13">
        <v>51682</v>
      </c>
      <c r="B334" s="4">
        <f>28.9374 * CHOOSE(CONTROL!$C$9, $C$13, 100%, $E$13) + CHOOSE(CONTROL!$C$28, 0.0136, 0)</f>
        <v>28.951000000000001</v>
      </c>
      <c r="C334" s="4">
        <f>28.5741 * CHOOSE(CONTROL!$C$9, $C$13, 100%, $E$13) + CHOOSE(CONTROL!$C$28, 0.0136, 0)</f>
        <v>28.587700000000002</v>
      </c>
      <c r="D334" s="4">
        <f>38.5994 * CHOOSE(CONTROL!$C$9, $C$13, 100%, $E$13) + CHOOSE(CONTROL!$C$28, 0, 0)</f>
        <v>38.599400000000003</v>
      </c>
      <c r="E334" s="4">
        <f>184.305057937487 * CHOOSE(CONTROL!$C$9, $C$13, 100%, $E$13) + CHOOSE(CONTROL!$C$28, 0, 0)</f>
        <v>184.30505793748699</v>
      </c>
    </row>
    <row r="335" spans="1:5" ht="15">
      <c r="A335" s="13">
        <v>51713</v>
      </c>
      <c r="B335" s="4">
        <f>28.9285 * CHOOSE(CONTROL!$C$9, $C$13, 100%, $E$13) + CHOOSE(CONTROL!$C$28, 0.0136, 0)</f>
        <v>28.9421</v>
      </c>
      <c r="C335" s="4">
        <f>28.5652 * CHOOSE(CONTROL!$C$9, $C$13, 100%, $E$13) + CHOOSE(CONTROL!$C$28, 0.0136, 0)</f>
        <v>28.578800000000001</v>
      </c>
      <c r="D335" s="4">
        <f>39.2057 * CHOOSE(CONTROL!$C$9, $C$13, 100%, $E$13) + CHOOSE(CONTROL!$C$28, 0, 0)</f>
        <v>39.2057</v>
      </c>
      <c r="E335" s="4">
        <f>184.246436735853 * CHOOSE(CONTROL!$C$9, $C$13, 100%, $E$13) + CHOOSE(CONTROL!$C$28, 0, 0)</f>
        <v>184.246436735853</v>
      </c>
    </row>
    <row r="336" spans="1:5" ht="15">
      <c r="A336" s="13">
        <v>51744</v>
      </c>
      <c r="B336" s="4">
        <f>29.6026 * CHOOSE(CONTROL!$C$9, $C$13, 100%, $E$13) + CHOOSE(CONTROL!$C$28, 0.0136, 0)</f>
        <v>29.616199999999999</v>
      </c>
      <c r="C336" s="4">
        <f>29.2393 * CHOOSE(CONTROL!$C$9, $C$13, 100%, $E$13) + CHOOSE(CONTROL!$C$28, 0.0136, 0)</f>
        <v>29.2529</v>
      </c>
      <c r="D336" s="4">
        <f>38.8053 * CHOOSE(CONTROL!$C$9, $C$13, 100%, $E$13) + CHOOSE(CONTROL!$C$28, 0, 0)</f>
        <v>38.805300000000003</v>
      </c>
      <c r="E336" s="4">
        <f>188.657682158816 * CHOOSE(CONTROL!$C$9, $C$13, 100%, $E$13) + CHOOSE(CONTROL!$C$28, 0, 0)</f>
        <v>188.65768215881599</v>
      </c>
    </row>
    <row r="337" spans="1:5" ht="15">
      <c r="A337" s="13">
        <v>51774</v>
      </c>
      <c r="B337" s="4">
        <f>28.4537 * CHOOSE(CONTROL!$C$9, $C$13, 100%, $E$13) + CHOOSE(CONTROL!$C$28, 0.0136, 0)</f>
        <v>28.467300000000002</v>
      </c>
      <c r="C337" s="4">
        <f>28.0904 * CHOOSE(CONTROL!$C$9, $C$13, 100%, $E$13) + CHOOSE(CONTROL!$C$28, 0.0136, 0)</f>
        <v>28.103999999999999</v>
      </c>
      <c r="D337" s="4">
        <f>38.6161 * CHOOSE(CONTROL!$C$9, $C$13, 100%, $E$13) + CHOOSE(CONTROL!$C$28, 0, 0)</f>
        <v>38.616100000000003</v>
      </c>
      <c r="E337" s="4">
        <f>181.139513049247 * CHOOSE(CONTROL!$C$9, $C$13, 100%, $E$13) + CHOOSE(CONTROL!$C$28, 0, 0)</f>
        <v>181.139513049247</v>
      </c>
    </row>
    <row r="338" spans="1:5" ht="15">
      <c r="A338" s="13">
        <v>51805</v>
      </c>
      <c r="B338" s="4">
        <f>27.534 * CHOOSE(CONTROL!$C$9, $C$13, 100%, $E$13) + CHOOSE(CONTROL!$C$28, 0.0003, 0)</f>
        <v>27.534299999999998</v>
      </c>
      <c r="C338" s="4">
        <f>27.1707 * CHOOSE(CONTROL!$C$9, $C$13, 100%, $E$13) + CHOOSE(CONTROL!$C$28, 0.0003, 0)</f>
        <v>27.170999999999999</v>
      </c>
      <c r="D338" s="4">
        <f>38.1095 * CHOOSE(CONTROL!$C$9, $C$13, 100%, $E$13) + CHOOSE(CONTROL!$C$28, 0, 0)</f>
        <v>38.109499999999997</v>
      </c>
      <c r="E338" s="4">
        <f>175.121069681484 * CHOOSE(CONTROL!$C$9, $C$13, 100%, $E$13) + CHOOSE(CONTROL!$C$28, 0, 0)</f>
        <v>175.12106968148399</v>
      </c>
    </row>
    <row r="339" spans="1:5" ht="15">
      <c r="A339" s="13">
        <v>51835</v>
      </c>
      <c r="B339" s="4">
        <f>26.9417 * CHOOSE(CONTROL!$C$9, $C$13, 100%, $E$13) + CHOOSE(CONTROL!$C$28, 0.0003, 0)</f>
        <v>26.942</v>
      </c>
      <c r="C339" s="4">
        <f>26.5784 * CHOOSE(CONTROL!$C$9, $C$13, 100%, $E$13) + CHOOSE(CONTROL!$C$28, 0.0003, 0)</f>
        <v>26.578699999999998</v>
      </c>
      <c r="D339" s="4">
        <f>37.9353 * CHOOSE(CONTROL!$C$9, $C$13, 100%, $E$13) + CHOOSE(CONTROL!$C$28, 0, 0)</f>
        <v>37.935299999999998</v>
      </c>
      <c r="E339" s="4">
        <f>171.244742723432 * CHOOSE(CONTROL!$C$9, $C$13, 100%, $E$13) + CHOOSE(CONTROL!$C$28, 0, 0)</f>
        <v>171.24474272343201</v>
      </c>
    </row>
    <row r="340" spans="1:5" ht="15">
      <c r="A340" s="13">
        <v>51866</v>
      </c>
      <c r="B340" s="4">
        <f>26.5318 * CHOOSE(CONTROL!$C$9, $C$13, 100%, $E$13) + CHOOSE(CONTROL!$C$28, 0.0003, 0)</f>
        <v>26.5321</v>
      </c>
      <c r="C340" s="4">
        <f>26.1685 * CHOOSE(CONTROL!$C$9, $C$13, 100%, $E$13) + CHOOSE(CONTROL!$C$28, 0.0003, 0)</f>
        <v>26.168800000000001</v>
      </c>
      <c r="D340" s="4">
        <f>36.6532 * CHOOSE(CONTROL!$C$9, $C$13, 100%, $E$13) + CHOOSE(CONTROL!$C$28, 0, 0)</f>
        <v>36.653199999999998</v>
      </c>
      <c r="E340" s="4">
        <f>168.562822748673 * CHOOSE(CONTROL!$C$9, $C$13, 100%, $E$13) + CHOOSE(CONTROL!$C$28, 0, 0)</f>
        <v>168.562822748673</v>
      </c>
    </row>
    <row r="341" spans="1:5" ht="15">
      <c r="A341" s="13">
        <v>51897</v>
      </c>
      <c r="B341" s="4">
        <f>25.4105 * CHOOSE(CONTROL!$C$9, $C$13, 100%, $E$13) + CHOOSE(CONTROL!$C$28, 0.0003, 0)</f>
        <v>25.410799999999998</v>
      </c>
      <c r="C341" s="4">
        <f>25.0473 * CHOOSE(CONTROL!$C$9, $C$13, 100%, $E$13) + CHOOSE(CONTROL!$C$28, 0.0003, 0)</f>
        <v>25.047599999999999</v>
      </c>
      <c r="D341" s="4">
        <f>35.2408 * CHOOSE(CONTROL!$C$9, $C$13, 100%, $E$13) + CHOOSE(CONTROL!$C$28, 0, 0)</f>
        <v>35.2408</v>
      </c>
      <c r="E341" s="4">
        <f>161.541496241311 * CHOOSE(CONTROL!$C$9, $C$13, 100%, $E$13) + CHOOSE(CONTROL!$C$28, 0, 0)</f>
        <v>161.54149624131099</v>
      </c>
    </row>
    <row r="342" spans="1:5" ht="15">
      <c r="A342" s="13">
        <v>51925</v>
      </c>
      <c r="B342" s="4">
        <f>25.9955 * CHOOSE(CONTROL!$C$9, $C$13, 100%, $E$13) + CHOOSE(CONTROL!$C$28, 0.0003, 0)</f>
        <v>25.995799999999999</v>
      </c>
      <c r="C342" s="4">
        <f>25.6322 * CHOOSE(CONTROL!$C$9, $C$13, 100%, $E$13) + CHOOSE(CONTROL!$C$28, 0.0003, 0)</f>
        <v>25.6325</v>
      </c>
      <c r="D342" s="4">
        <f>36.4192 * CHOOSE(CONTROL!$C$9, $C$13, 100%, $E$13) + CHOOSE(CONTROL!$C$28, 0, 0)</f>
        <v>36.419199999999996</v>
      </c>
      <c r="E342" s="4">
        <f>165.377127982487 * CHOOSE(CONTROL!$C$9, $C$13, 100%, $E$13) + CHOOSE(CONTROL!$C$28, 0, 0)</f>
        <v>165.377127982487</v>
      </c>
    </row>
    <row r="343" spans="1:5" ht="15">
      <c r="A343" s="13">
        <v>51956</v>
      </c>
      <c r="B343" s="4">
        <f>27.5317 * CHOOSE(CONTROL!$C$9, $C$13, 100%, $E$13) + CHOOSE(CONTROL!$C$28, 0.0003, 0)</f>
        <v>27.532</v>
      </c>
      <c r="C343" s="4">
        <f>27.1684 * CHOOSE(CONTROL!$C$9, $C$13, 100%, $E$13) + CHOOSE(CONTROL!$C$28, 0.0003, 0)</f>
        <v>27.168699999999998</v>
      </c>
      <c r="D343" s="4">
        <f>38.2639 * CHOOSE(CONTROL!$C$9, $C$13, 100%, $E$13) + CHOOSE(CONTROL!$C$28, 0, 0)</f>
        <v>38.2639</v>
      </c>
      <c r="E343" s="4">
        <f>175.449700772667 * CHOOSE(CONTROL!$C$9, $C$13, 100%, $E$13) + CHOOSE(CONTROL!$C$28, 0, 0)</f>
        <v>175.449700772667</v>
      </c>
    </row>
    <row r="344" spans="1:5" ht="15">
      <c r="A344" s="13">
        <v>51986</v>
      </c>
      <c r="B344" s="4">
        <f>28.6232 * CHOOSE(CONTROL!$C$9, $C$13, 100%, $E$13) + CHOOSE(CONTROL!$C$28, 0.0003, 0)</f>
        <v>28.6235</v>
      </c>
      <c r="C344" s="4">
        <f>28.2599 * CHOOSE(CONTROL!$C$9, $C$13, 100%, $E$13) + CHOOSE(CONTROL!$C$28, 0.0003, 0)</f>
        <v>28.260199999999998</v>
      </c>
      <c r="D344" s="4">
        <f>39.3265 * CHOOSE(CONTROL!$C$9, $C$13, 100%, $E$13) + CHOOSE(CONTROL!$C$28, 0, 0)</f>
        <v>39.326500000000003</v>
      </c>
      <c r="E344" s="4">
        <f>182.606397974771 * CHOOSE(CONTROL!$C$9, $C$13, 100%, $E$13) + CHOOSE(CONTROL!$C$28, 0, 0)</f>
        <v>182.606397974771</v>
      </c>
    </row>
    <row r="345" spans="1:5" ht="15">
      <c r="A345" s="13">
        <v>52017</v>
      </c>
      <c r="B345" s="4">
        <f>29.2901 * CHOOSE(CONTROL!$C$9, $C$13, 100%, $E$13) + CHOOSE(CONTROL!$C$28, 0.0136, 0)</f>
        <v>29.303699999999999</v>
      </c>
      <c r="C345" s="4">
        <f>28.9268 * CHOOSE(CONTROL!$C$9, $C$13, 100%, $E$13) + CHOOSE(CONTROL!$C$28, 0.0136, 0)</f>
        <v>28.9404</v>
      </c>
      <c r="D345" s="4">
        <f>38.9066 * CHOOSE(CONTROL!$C$9, $C$13, 100%, $E$13) + CHOOSE(CONTROL!$C$28, 0, 0)</f>
        <v>38.906599999999997</v>
      </c>
      <c r="E345" s="4">
        <f>186.978968443163 * CHOOSE(CONTROL!$C$9, $C$13, 100%, $E$13) + CHOOSE(CONTROL!$C$28, 0, 0)</f>
        <v>186.97896844316301</v>
      </c>
    </row>
    <row r="346" spans="1:5" ht="15">
      <c r="A346" s="13">
        <v>52047</v>
      </c>
      <c r="B346" s="4">
        <f>29.3803 * CHOOSE(CONTROL!$C$9, $C$13, 100%, $E$13) + CHOOSE(CONTROL!$C$28, 0.0136, 0)</f>
        <v>29.393899999999999</v>
      </c>
      <c r="C346" s="4">
        <f>29.017 * CHOOSE(CONTROL!$C$9, $C$13, 100%, $E$13) + CHOOSE(CONTROL!$C$28, 0.0136, 0)</f>
        <v>29.0306</v>
      </c>
      <c r="D346" s="4">
        <f>39.2486 * CHOOSE(CONTROL!$C$9, $C$13, 100%, $E$13) + CHOOSE(CONTROL!$C$28, 0, 0)</f>
        <v>39.248600000000003</v>
      </c>
      <c r="E346" s="4">
        <f>187.570595374077 * CHOOSE(CONTROL!$C$9, $C$13, 100%, $E$13) + CHOOSE(CONTROL!$C$28, 0, 0)</f>
        <v>187.57059537407699</v>
      </c>
    </row>
    <row r="347" spans="1:5" ht="15">
      <c r="A347" s="13">
        <v>52078</v>
      </c>
      <c r="B347" s="4">
        <f>29.3712 * CHOOSE(CONTROL!$C$9, $C$13, 100%, $E$13) + CHOOSE(CONTROL!$C$28, 0.0136, 0)</f>
        <v>29.384800000000002</v>
      </c>
      <c r="C347" s="4">
        <f>29.0079 * CHOOSE(CONTROL!$C$9, $C$13, 100%, $E$13) + CHOOSE(CONTROL!$C$28, 0.0136, 0)</f>
        <v>29.0215</v>
      </c>
      <c r="D347" s="4">
        <f>39.8657 * CHOOSE(CONTROL!$C$9, $C$13, 100%, $E$13) + CHOOSE(CONTROL!$C$28, 0, 0)</f>
        <v>39.865699999999997</v>
      </c>
      <c r="E347" s="4">
        <f>187.510935515497 * CHOOSE(CONTROL!$C$9, $C$13, 100%, $E$13) + CHOOSE(CONTROL!$C$28, 0, 0)</f>
        <v>187.51093551549701</v>
      </c>
    </row>
    <row r="348" spans="1:5" ht="15">
      <c r="A348" s="13">
        <v>52109</v>
      </c>
      <c r="B348" s="4">
        <f>30.0559 * CHOOSE(CONTROL!$C$9, $C$13, 100%, $E$13) + CHOOSE(CONTROL!$C$28, 0.0136, 0)</f>
        <v>30.069500000000001</v>
      </c>
      <c r="C348" s="4">
        <f>29.6926 * CHOOSE(CONTROL!$C$9, $C$13, 100%, $E$13) + CHOOSE(CONTROL!$C$28, 0.0136, 0)</f>
        <v>29.706199999999999</v>
      </c>
      <c r="D348" s="4">
        <f>39.4582 * CHOOSE(CONTROL!$C$9, $C$13, 100%, $E$13) + CHOOSE(CONTROL!$C$28, 0, 0)</f>
        <v>39.458199999999998</v>
      </c>
      <c r="E348" s="4">
        <f>192.000339873608 * CHOOSE(CONTROL!$C$9, $C$13, 100%, $E$13) + CHOOSE(CONTROL!$C$28, 0, 0)</f>
        <v>192.000339873608</v>
      </c>
    </row>
    <row r="349" spans="1:5" ht="15">
      <c r="A349" s="13">
        <v>52139</v>
      </c>
      <c r="B349" s="4">
        <f>28.889 * CHOOSE(CONTROL!$C$9, $C$13, 100%, $E$13) + CHOOSE(CONTROL!$C$28, 0.0136, 0)</f>
        <v>28.9026</v>
      </c>
      <c r="C349" s="4">
        <f>28.5257 * CHOOSE(CONTROL!$C$9, $C$13, 100%, $E$13) + CHOOSE(CONTROL!$C$28, 0.0136, 0)</f>
        <v>28.539300000000001</v>
      </c>
      <c r="D349" s="4">
        <f>39.2656 * CHOOSE(CONTROL!$C$9, $C$13, 100%, $E$13) + CHOOSE(CONTROL!$C$28, 0, 0)</f>
        <v>39.265599999999999</v>
      </c>
      <c r="E349" s="4">
        <f>184.348963010781 * CHOOSE(CONTROL!$C$9, $C$13, 100%, $E$13) + CHOOSE(CONTROL!$C$28, 0, 0)</f>
        <v>184.34896301078101</v>
      </c>
    </row>
    <row r="350" spans="1:5" ht="15">
      <c r="A350" s="13">
        <v>52170</v>
      </c>
      <c r="B350" s="4">
        <f>27.9548 * CHOOSE(CONTROL!$C$9, $C$13, 100%, $E$13) + CHOOSE(CONTROL!$C$28, 0.0003, 0)</f>
        <v>27.955099999999998</v>
      </c>
      <c r="C350" s="4">
        <f>27.5915 * CHOOSE(CONTROL!$C$9, $C$13, 100%, $E$13) + CHOOSE(CONTROL!$C$28, 0.0003, 0)</f>
        <v>27.591799999999999</v>
      </c>
      <c r="D350" s="4">
        <f>38.7501 * CHOOSE(CONTROL!$C$9, $C$13, 100%, $E$13) + CHOOSE(CONTROL!$C$28, 0, 0)</f>
        <v>38.750100000000003</v>
      </c>
      <c r="E350" s="4">
        <f>178.223884196615 * CHOOSE(CONTROL!$C$9, $C$13, 100%, $E$13) + CHOOSE(CONTROL!$C$28, 0, 0)</f>
        <v>178.22388419661499</v>
      </c>
    </row>
    <row r="351" spans="1:5" ht="15">
      <c r="A351" s="13">
        <v>52200</v>
      </c>
      <c r="B351" s="4">
        <f>27.3531 * CHOOSE(CONTROL!$C$9, $C$13, 100%, $E$13) + CHOOSE(CONTROL!$C$28, 0.0003, 0)</f>
        <v>27.353400000000001</v>
      </c>
      <c r="C351" s="4">
        <f>26.9899 * CHOOSE(CONTROL!$C$9, $C$13, 100%, $E$13) + CHOOSE(CONTROL!$C$28, 0.0003, 0)</f>
        <v>26.990199999999998</v>
      </c>
      <c r="D351" s="4">
        <f>38.5729 * CHOOSE(CONTROL!$C$9, $C$13, 100%, $E$13) + CHOOSE(CONTROL!$C$28, 0, 0)</f>
        <v>38.572899999999997</v>
      </c>
      <c r="E351" s="4">
        <f>174.278876048043 * CHOOSE(CONTROL!$C$9, $C$13, 100%, $E$13) + CHOOSE(CONTROL!$C$28, 0, 0)</f>
        <v>174.278876048043</v>
      </c>
    </row>
    <row r="352" spans="1:5" ht="15">
      <c r="A352" s="13">
        <v>52231</v>
      </c>
      <c r="B352" s="4">
        <f>26.9369 * CHOOSE(CONTROL!$C$9, $C$13, 100%, $E$13) + CHOOSE(CONTROL!$C$28, 0.0003, 0)</f>
        <v>26.937200000000001</v>
      </c>
      <c r="C352" s="4">
        <f>26.5736 * CHOOSE(CONTROL!$C$9, $C$13, 100%, $E$13) + CHOOSE(CONTROL!$C$28, 0.0003, 0)</f>
        <v>26.573899999999998</v>
      </c>
      <c r="D352" s="4">
        <f>37.268 * CHOOSE(CONTROL!$C$9, $C$13, 100%, $E$13) + CHOOSE(CONTROL!$C$28, 0, 0)</f>
        <v>37.268000000000001</v>
      </c>
      <c r="E352" s="4">
        <f>171.549437518029 * CHOOSE(CONTROL!$C$9, $C$13, 100%, $E$13) + CHOOSE(CONTROL!$C$28, 0, 0)</f>
        <v>171.54943751802901</v>
      </c>
    </row>
    <row r="353" spans="1:5" ht="15">
      <c r="A353" s="13">
        <v>52262</v>
      </c>
      <c r="B353" s="4">
        <f>25.798 * CHOOSE(CONTROL!$C$9, $C$13, 100%, $E$13) + CHOOSE(CONTROL!$C$28, 0.0003, 0)</f>
        <v>25.798299999999998</v>
      </c>
      <c r="C353" s="4">
        <f>25.4347 * CHOOSE(CONTROL!$C$9, $C$13, 100%, $E$13) + CHOOSE(CONTROL!$C$28, 0.0003, 0)</f>
        <v>25.434999999999999</v>
      </c>
      <c r="D353" s="4">
        <f>35.8307 * CHOOSE(CONTROL!$C$9, $C$13, 100%, $E$13) + CHOOSE(CONTROL!$C$28, 0, 0)</f>
        <v>35.8307</v>
      </c>
      <c r="E353" s="4">
        <f>164.403706369683 * CHOOSE(CONTROL!$C$9, $C$13, 100%, $E$13) + CHOOSE(CONTROL!$C$28, 0, 0)</f>
        <v>164.40370636968299</v>
      </c>
    </row>
    <row r="354" spans="1:5" ht="15">
      <c r="A354" s="13">
        <v>52290</v>
      </c>
      <c r="B354" s="4">
        <f>26.3921 * CHOOSE(CONTROL!$C$9, $C$13, 100%, $E$13) + CHOOSE(CONTROL!$C$28, 0.0003, 0)</f>
        <v>26.392399999999999</v>
      </c>
      <c r="C354" s="4">
        <f>26.0289 * CHOOSE(CONTROL!$C$9, $C$13, 100%, $E$13) + CHOOSE(CONTROL!$C$28, 0.0003, 0)</f>
        <v>26.029199999999999</v>
      </c>
      <c r="D354" s="4">
        <f>37.0299 * CHOOSE(CONTROL!$C$9, $C$13, 100%, $E$13) + CHOOSE(CONTROL!$C$28, 0, 0)</f>
        <v>37.029899999999998</v>
      </c>
      <c r="E354" s="4">
        <f>168.307298259017 * CHOOSE(CONTROL!$C$9, $C$13, 100%, $E$13) + CHOOSE(CONTROL!$C$28, 0, 0)</f>
        <v>168.30729825901699</v>
      </c>
    </row>
    <row r="355" spans="1:5" ht="15">
      <c r="A355" s="13">
        <v>52321</v>
      </c>
      <c r="B355" s="4">
        <f>27.9525 * CHOOSE(CONTROL!$C$9, $C$13, 100%, $E$13) + CHOOSE(CONTROL!$C$28, 0.0003, 0)</f>
        <v>27.9528</v>
      </c>
      <c r="C355" s="4">
        <f>27.5892 * CHOOSE(CONTROL!$C$9, $C$13, 100%, $E$13) + CHOOSE(CONTROL!$C$28, 0.0003, 0)</f>
        <v>27.589500000000001</v>
      </c>
      <c r="D355" s="4">
        <f>38.9073 * CHOOSE(CONTROL!$C$9, $C$13, 100%, $E$13) + CHOOSE(CONTROL!$C$28, 0, 0)</f>
        <v>38.907299999999999</v>
      </c>
      <c r="E355" s="4">
        <f>178.558338009882 * CHOOSE(CONTROL!$C$9, $C$13, 100%, $E$13) + CHOOSE(CONTROL!$C$28, 0, 0)</f>
        <v>178.55833800988199</v>
      </c>
    </row>
    <row r="356" spans="1:5" ht="15">
      <c r="A356" s="13">
        <v>52351</v>
      </c>
      <c r="B356" s="4">
        <f>29.0611 * CHOOSE(CONTROL!$C$9, $C$13, 100%, $E$13) + CHOOSE(CONTROL!$C$28, 0.0003, 0)</f>
        <v>29.061399999999999</v>
      </c>
      <c r="C356" s="4">
        <f>28.6978 * CHOOSE(CONTROL!$C$9, $C$13, 100%, $E$13) + CHOOSE(CONTROL!$C$28, 0.0003, 0)</f>
        <v>28.6981</v>
      </c>
      <c r="D356" s="4">
        <f>39.9887 * CHOOSE(CONTROL!$C$9, $C$13, 100%, $E$13) + CHOOSE(CONTROL!$C$28, 0, 0)</f>
        <v>39.988700000000001</v>
      </c>
      <c r="E356" s="4">
        <f>185.841838365939 * CHOOSE(CONTROL!$C$9, $C$13, 100%, $E$13) + CHOOSE(CONTROL!$C$28, 0, 0)</f>
        <v>185.841838365939</v>
      </c>
    </row>
    <row r="357" spans="1:5" ht="15">
      <c r="A357" s="13">
        <v>52382</v>
      </c>
      <c r="B357" s="4">
        <f>29.7385 * CHOOSE(CONTROL!$C$9, $C$13, 100%, $E$13) + CHOOSE(CONTROL!$C$28, 0.0136, 0)</f>
        <v>29.752099999999999</v>
      </c>
      <c r="C357" s="4">
        <f>29.3752 * CHOOSE(CONTROL!$C$9, $C$13, 100%, $E$13) + CHOOSE(CONTROL!$C$28, 0.0136, 0)</f>
        <v>29.3888</v>
      </c>
      <c r="D357" s="4">
        <f>39.5613 * CHOOSE(CONTROL!$C$9, $C$13, 100%, $E$13) + CHOOSE(CONTROL!$C$28, 0, 0)</f>
        <v>39.561300000000003</v>
      </c>
      <c r="E357" s="4">
        <f>190.291882522348 * CHOOSE(CONTROL!$C$9, $C$13, 100%, $E$13) + CHOOSE(CONTROL!$C$28, 0, 0)</f>
        <v>190.291882522348</v>
      </c>
    </row>
    <row r="358" spans="1:5" ht="15">
      <c r="A358" s="13">
        <v>52412</v>
      </c>
      <c r="B358" s="4">
        <f>29.8301 * CHOOSE(CONTROL!$C$9, $C$13, 100%, $E$13) + CHOOSE(CONTROL!$C$28, 0.0136, 0)</f>
        <v>29.843700000000002</v>
      </c>
      <c r="C358" s="4">
        <f>29.4669 * CHOOSE(CONTROL!$C$9, $C$13, 100%, $E$13) + CHOOSE(CONTROL!$C$28, 0.0136, 0)</f>
        <v>29.480499999999999</v>
      </c>
      <c r="D358" s="4">
        <f>39.9094 * CHOOSE(CONTROL!$C$9, $C$13, 100%, $E$13) + CHOOSE(CONTROL!$C$28, 0, 0)</f>
        <v>39.909399999999998</v>
      </c>
      <c r="E358" s="4">
        <f>190.893991964773 * CHOOSE(CONTROL!$C$9, $C$13, 100%, $E$13) + CHOOSE(CONTROL!$C$28, 0, 0)</f>
        <v>190.89399196477299</v>
      </c>
    </row>
    <row r="359" spans="1:5" ht="15">
      <c r="A359" s="13">
        <v>52443</v>
      </c>
      <c r="B359" s="4">
        <f>29.8209 * CHOOSE(CONTROL!$C$9, $C$13, 100%, $E$13) + CHOOSE(CONTROL!$C$28, 0.0136, 0)</f>
        <v>29.834500000000002</v>
      </c>
      <c r="C359" s="4">
        <f>29.4576 * CHOOSE(CONTROL!$C$9, $C$13, 100%, $E$13) + CHOOSE(CONTROL!$C$28, 0.0136, 0)</f>
        <v>29.4712</v>
      </c>
      <c r="D359" s="4">
        <f>40.5373 * CHOOSE(CONTROL!$C$9, $C$13, 100%, $E$13) + CHOOSE(CONTROL!$C$28, 0, 0)</f>
        <v>40.537300000000002</v>
      </c>
      <c r="E359" s="4">
        <f>190.833275046209 * CHOOSE(CONTROL!$C$9, $C$13, 100%, $E$13) + CHOOSE(CONTROL!$C$28, 0, 0)</f>
        <v>190.833275046209</v>
      </c>
    </row>
    <row r="360" spans="1:5" ht="15">
      <c r="A360" s="13">
        <v>52474</v>
      </c>
      <c r="B360" s="4">
        <f>30.5164 * CHOOSE(CONTROL!$C$9, $C$13, 100%, $E$13) + CHOOSE(CONTROL!$C$28, 0.0136, 0)</f>
        <v>30.53</v>
      </c>
      <c r="C360" s="4">
        <f>30.1531 * CHOOSE(CONTROL!$C$9, $C$13, 100%, $E$13) + CHOOSE(CONTROL!$C$28, 0.0136, 0)</f>
        <v>30.166699999999999</v>
      </c>
      <c r="D360" s="4">
        <f>40.1226 * CHOOSE(CONTROL!$C$9, $C$13, 100%, $E$13) + CHOOSE(CONTROL!$C$28, 0, 0)</f>
        <v>40.122599999999998</v>
      </c>
      <c r="E360" s="4">
        <f>195.402223168139 * CHOOSE(CONTROL!$C$9, $C$13, 100%, $E$13) + CHOOSE(CONTROL!$C$28, 0, 0)</f>
        <v>195.40222316813899</v>
      </c>
    </row>
    <row r="361" spans="1:5" ht="15">
      <c r="A361" s="13">
        <v>52504</v>
      </c>
      <c r="B361" s="4">
        <f>29.3311 * CHOOSE(CONTROL!$C$9, $C$13, 100%, $E$13) + CHOOSE(CONTROL!$C$28, 0.0136, 0)</f>
        <v>29.3447</v>
      </c>
      <c r="C361" s="4">
        <f>28.9678 * CHOOSE(CONTROL!$C$9, $C$13, 100%, $E$13) + CHOOSE(CONTROL!$C$28, 0.0136, 0)</f>
        <v>28.981400000000001</v>
      </c>
      <c r="D361" s="4">
        <f>39.9267 * CHOOSE(CONTROL!$C$9, $C$13, 100%, $E$13) + CHOOSE(CONTROL!$C$28, 0, 0)</f>
        <v>39.926699999999997</v>
      </c>
      <c r="E361" s="4">
        <f>187.615278362325 * CHOOSE(CONTROL!$C$9, $C$13, 100%, $E$13) + CHOOSE(CONTROL!$C$28, 0, 0)</f>
        <v>187.615278362325</v>
      </c>
    </row>
    <row r="362" spans="1:5" ht="15">
      <c r="A362" s="13">
        <v>52535</v>
      </c>
      <c r="B362" s="4">
        <f>28.3822 * CHOOSE(CONTROL!$C$9, $C$13, 100%, $E$13) + CHOOSE(CONTROL!$C$28, 0.0003, 0)</f>
        <v>28.3825</v>
      </c>
      <c r="C362" s="4">
        <f>28.019 * CHOOSE(CONTROL!$C$9, $C$13, 100%, $E$13) + CHOOSE(CONTROL!$C$28, 0.0003, 0)</f>
        <v>28.019299999999998</v>
      </c>
      <c r="D362" s="4">
        <f>39.402 * CHOOSE(CONTROL!$C$9, $C$13, 100%, $E$13) + CHOOSE(CONTROL!$C$28, 0, 0)</f>
        <v>39.402000000000001</v>
      </c>
      <c r="E362" s="4">
        <f>181.381674723102 * CHOOSE(CONTROL!$C$9, $C$13, 100%, $E$13) + CHOOSE(CONTROL!$C$28, 0, 0)</f>
        <v>181.38167472310201</v>
      </c>
    </row>
    <row r="363" spans="1:5" ht="15">
      <c r="A363" s="13">
        <v>52565</v>
      </c>
      <c r="B363" s="4">
        <f>27.7711 * CHOOSE(CONTROL!$C$9, $C$13, 100%, $E$13) + CHOOSE(CONTROL!$C$28, 0.0003, 0)</f>
        <v>27.7714</v>
      </c>
      <c r="C363" s="4">
        <f>27.4078 * CHOOSE(CONTROL!$C$9, $C$13, 100%, $E$13) + CHOOSE(CONTROL!$C$28, 0.0003, 0)</f>
        <v>27.408100000000001</v>
      </c>
      <c r="D363" s="4">
        <f>39.2217 * CHOOSE(CONTROL!$C$9, $C$13, 100%, $E$13) + CHOOSE(CONTROL!$C$28, 0, 0)</f>
        <v>39.221699999999998</v>
      </c>
      <c r="E363" s="4">
        <f>177.366768483066 * CHOOSE(CONTROL!$C$9, $C$13, 100%, $E$13) + CHOOSE(CONTROL!$C$28, 0, 0)</f>
        <v>177.36676848306601</v>
      </c>
    </row>
    <row r="364" spans="1:5" ht="15">
      <c r="A364" s="13">
        <v>52596</v>
      </c>
      <c r="B364" s="4">
        <f>27.3483 * CHOOSE(CONTROL!$C$9, $C$13, 100%, $E$13) + CHOOSE(CONTROL!$C$28, 0.0003, 0)</f>
        <v>27.348599999999998</v>
      </c>
      <c r="C364" s="4">
        <f>26.985 * CHOOSE(CONTROL!$C$9, $C$13, 100%, $E$13) + CHOOSE(CONTROL!$C$28, 0.0003, 0)</f>
        <v>26.985299999999999</v>
      </c>
      <c r="D364" s="4">
        <f>37.8938 * CHOOSE(CONTROL!$C$9, $C$13, 100%, $E$13) + CHOOSE(CONTROL!$C$28, 0, 0)</f>
        <v>37.893799999999999</v>
      </c>
      <c r="E364" s="4">
        <f>174.58896945877 * CHOOSE(CONTROL!$C$9, $C$13, 100%, $E$13) + CHOOSE(CONTROL!$C$28, 0, 0)</f>
        <v>174.58896945877001</v>
      </c>
    </row>
    <row r="365" spans="1:5" ht="15">
      <c r="A365" s="13">
        <v>52627</v>
      </c>
      <c r="B365" s="4">
        <f>26.1915 * CHOOSE(CONTROL!$C$9, $C$13, 100%, $E$13) + CHOOSE(CONTROL!$C$28, 0.0003, 0)</f>
        <v>26.191800000000001</v>
      </c>
      <c r="C365" s="4">
        <f>25.8282 * CHOOSE(CONTROL!$C$9, $C$13, 100%, $E$13) + CHOOSE(CONTROL!$C$28, 0.0003, 0)</f>
        <v>25.828499999999998</v>
      </c>
      <c r="D365" s="4">
        <f>36.431 * CHOOSE(CONTROL!$C$9, $C$13, 100%, $E$13) + CHOOSE(CONTROL!$C$28, 0, 0)</f>
        <v>36.430999999999997</v>
      </c>
      <c r="E365" s="4">
        <f>167.316629454227 * CHOOSE(CONTROL!$C$9, $C$13, 100%, $E$13) + CHOOSE(CONTROL!$C$28, 0, 0)</f>
        <v>167.31662945422701</v>
      </c>
    </row>
    <row r="366" spans="1:5" ht="15">
      <c r="A366" s="13">
        <v>52655</v>
      </c>
      <c r="B366" s="4">
        <f>26.795 * CHOOSE(CONTROL!$C$9, $C$13, 100%, $E$13) + CHOOSE(CONTROL!$C$28, 0.0003, 0)</f>
        <v>26.795300000000001</v>
      </c>
      <c r="C366" s="4">
        <f>26.4317 * CHOOSE(CONTROL!$C$9, $C$13, 100%, $E$13) + CHOOSE(CONTROL!$C$28, 0.0003, 0)</f>
        <v>26.431999999999999</v>
      </c>
      <c r="D366" s="4">
        <f>37.6515 * CHOOSE(CONTROL!$C$9, $C$13, 100%, $E$13) + CHOOSE(CONTROL!$C$28, 0, 0)</f>
        <v>37.651499999999999</v>
      </c>
      <c r="E366" s="4">
        <f>171.289385617155 * CHOOSE(CONTROL!$C$9, $C$13, 100%, $E$13) + CHOOSE(CONTROL!$C$28, 0, 0)</f>
        <v>171.28938561715501</v>
      </c>
    </row>
    <row r="367" spans="1:5" ht="15">
      <c r="A367" s="13">
        <v>52687</v>
      </c>
      <c r="B367" s="4">
        <f>28.3799 * CHOOSE(CONTROL!$C$9, $C$13, 100%, $E$13) + CHOOSE(CONTROL!$C$28, 0.0003, 0)</f>
        <v>28.380199999999999</v>
      </c>
      <c r="C367" s="4">
        <f>28.0166 * CHOOSE(CONTROL!$C$9, $C$13, 100%, $E$13) + CHOOSE(CONTROL!$C$28, 0.0003, 0)</f>
        <v>28.0169</v>
      </c>
      <c r="D367" s="4">
        <f>39.562 * CHOOSE(CONTROL!$C$9, $C$13, 100%, $E$13) + CHOOSE(CONTROL!$C$28, 0, 0)</f>
        <v>39.561999999999998</v>
      </c>
      <c r="E367" s="4">
        <f>181.722054426088 * CHOOSE(CONTROL!$C$9, $C$13, 100%, $E$13) + CHOOSE(CONTROL!$C$28, 0, 0)</f>
        <v>181.72205442608799</v>
      </c>
    </row>
    <row r="368" spans="1:5" ht="15">
      <c r="A368" s="13">
        <v>52717</v>
      </c>
      <c r="B368" s="4">
        <f>29.506 * CHOOSE(CONTROL!$C$9, $C$13, 100%, $E$13) + CHOOSE(CONTROL!$C$28, 0.0003, 0)</f>
        <v>29.5063</v>
      </c>
      <c r="C368" s="4">
        <f>29.1427 * CHOOSE(CONTROL!$C$9, $C$13, 100%, $E$13) + CHOOSE(CONTROL!$C$28, 0.0003, 0)</f>
        <v>29.143000000000001</v>
      </c>
      <c r="D368" s="4">
        <f>40.6625 * CHOOSE(CONTROL!$C$9, $C$13, 100%, $E$13) + CHOOSE(CONTROL!$C$28, 0, 0)</f>
        <v>40.662500000000001</v>
      </c>
      <c r="E368" s="4">
        <f>189.134604648427 * CHOOSE(CONTROL!$C$9, $C$13, 100%, $E$13) + CHOOSE(CONTROL!$C$28, 0, 0)</f>
        <v>189.134604648427</v>
      </c>
    </row>
    <row r="369" spans="1:5" ht="15">
      <c r="A369" s="13">
        <v>52748</v>
      </c>
      <c r="B369" s="4">
        <f>30.194 * CHOOSE(CONTROL!$C$9, $C$13, 100%, $E$13) + CHOOSE(CONTROL!$C$28, 0.0136, 0)</f>
        <v>30.207599999999999</v>
      </c>
      <c r="C369" s="4">
        <f>29.8307 * CHOOSE(CONTROL!$C$9, $C$13, 100%, $E$13) + CHOOSE(CONTROL!$C$28, 0.0136, 0)</f>
        <v>29.8443</v>
      </c>
      <c r="D369" s="4">
        <f>40.2276 * CHOOSE(CONTROL!$C$9, $C$13, 100%, $E$13) + CHOOSE(CONTROL!$C$28, 0, 0)</f>
        <v>40.227600000000002</v>
      </c>
      <c r="E369" s="4">
        <f>193.663495180242 * CHOOSE(CONTROL!$C$9, $C$13, 100%, $E$13) + CHOOSE(CONTROL!$C$28, 0, 0)</f>
        <v>193.66349518024199</v>
      </c>
    </row>
    <row r="370" spans="1:5" ht="15">
      <c r="A370" s="13">
        <v>52778</v>
      </c>
      <c r="B370" s="4">
        <f>30.2871 * CHOOSE(CONTROL!$C$9, $C$13, 100%, $E$13) + CHOOSE(CONTROL!$C$28, 0.0136, 0)</f>
        <v>30.300699999999999</v>
      </c>
      <c r="C370" s="4">
        <f>29.9238 * CHOOSE(CONTROL!$C$9, $C$13, 100%, $E$13) + CHOOSE(CONTROL!$C$28, 0.0136, 0)</f>
        <v>29.9374</v>
      </c>
      <c r="D370" s="4">
        <f>40.5818 * CHOOSE(CONTROL!$C$9, $C$13, 100%, $E$13) + CHOOSE(CONTROL!$C$28, 0, 0)</f>
        <v>40.581800000000001</v>
      </c>
      <c r="E370" s="4">
        <f>194.276272864478 * CHOOSE(CONTROL!$C$9, $C$13, 100%, $E$13) + CHOOSE(CONTROL!$C$28, 0, 0)</f>
        <v>194.27627286447799</v>
      </c>
    </row>
    <row r="371" spans="1:5" ht="15">
      <c r="A371" s="13">
        <v>52809</v>
      </c>
      <c r="B371" s="4">
        <f>30.2777 * CHOOSE(CONTROL!$C$9, $C$13, 100%, $E$13) + CHOOSE(CONTROL!$C$28, 0.0136, 0)</f>
        <v>30.2913</v>
      </c>
      <c r="C371" s="4">
        <f>29.9144 * CHOOSE(CONTROL!$C$9, $C$13, 100%, $E$13) + CHOOSE(CONTROL!$C$28, 0.0136, 0)</f>
        <v>29.928000000000001</v>
      </c>
      <c r="D371" s="4">
        <f>41.2208 * CHOOSE(CONTROL!$C$9, $C$13, 100%, $E$13) + CHOOSE(CONTROL!$C$28, 0, 0)</f>
        <v>41.220799999999997</v>
      </c>
      <c r="E371" s="4">
        <f>194.214480156824 * CHOOSE(CONTROL!$C$9, $C$13, 100%, $E$13) + CHOOSE(CONTROL!$C$28, 0, 0)</f>
        <v>194.21448015682401</v>
      </c>
    </row>
    <row r="372" spans="1:5" ht="15">
      <c r="A372" s="13">
        <v>52840</v>
      </c>
      <c r="B372" s="4">
        <f>30.9841 * CHOOSE(CONTROL!$C$9, $C$13, 100%, $E$13) + CHOOSE(CONTROL!$C$28, 0.0136, 0)</f>
        <v>30.997700000000002</v>
      </c>
      <c r="C372" s="4">
        <f>30.6208 * CHOOSE(CONTROL!$C$9, $C$13, 100%, $E$13) + CHOOSE(CONTROL!$C$28, 0.0136, 0)</f>
        <v>30.634399999999999</v>
      </c>
      <c r="D372" s="4">
        <f>40.7988 * CHOOSE(CONTROL!$C$9, $C$13, 100%, $E$13) + CHOOSE(CONTROL!$C$28, 0, 0)</f>
        <v>40.7988</v>
      </c>
      <c r="E372" s="4">
        <f>198.864381407795 * CHOOSE(CONTROL!$C$9, $C$13, 100%, $E$13) + CHOOSE(CONTROL!$C$28, 0, 0)</f>
        <v>198.86438140779501</v>
      </c>
    </row>
    <row r="373" spans="1:5" ht="15">
      <c r="A373" s="13">
        <v>52870</v>
      </c>
      <c r="B373" s="4">
        <f>29.7801 * CHOOSE(CONTROL!$C$9, $C$13, 100%, $E$13) + CHOOSE(CONTROL!$C$28, 0.0136, 0)</f>
        <v>29.793700000000001</v>
      </c>
      <c r="C373" s="4">
        <f>29.4169 * CHOOSE(CONTROL!$C$9, $C$13, 100%, $E$13) + CHOOSE(CONTROL!$C$28, 0.0136, 0)</f>
        <v>29.430499999999999</v>
      </c>
      <c r="D373" s="4">
        <f>40.5994 * CHOOSE(CONTROL!$C$9, $C$13, 100%, $E$13) + CHOOSE(CONTROL!$C$28, 0, 0)</f>
        <v>40.599400000000003</v>
      </c>
      <c r="E373" s="4">
        <f>190.939466651157 * CHOOSE(CONTROL!$C$9, $C$13, 100%, $E$13) + CHOOSE(CONTROL!$C$28, 0, 0)</f>
        <v>190.93946665115701</v>
      </c>
    </row>
    <row r="374" spans="1:5" ht="15">
      <c r="A374" s="13">
        <v>52901</v>
      </c>
      <c r="B374" s="4">
        <f>28.8164 * CHOOSE(CONTROL!$C$9, $C$13, 100%, $E$13) + CHOOSE(CONTROL!$C$28, 0.0003, 0)</f>
        <v>28.816700000000001</v>
      </c>
      <c r="C374" s="4">
        <f>28.4531 * CHOOSE(CONTROL!$C$9, $C$13, 100%, $E$13) + CHOOSE(CONTROL!$C$28, 0.0003, 0)</f>
        <v>28.453399999999998</v>
      </c>
      <c r="D374" s="4">
        <f>40.0655 * CHOOSE(CONTROL!$C$9, $C$13, 100%, $E$13) + CHOOSE(CONTROL!$C$28, 0, 0)</f>
        <v>40.0655</v>
      </c>
      <c r="E374" s="4">
        <f>184.595415332003 * CHOOSE(CONTROL!$C$9, $C$13, 100%, $E$13) + CHOOSE(CONTROL!$C$28, 0, 0)</f>
        <v>184.595415332003</v>
      </c>
    </row>
    <row r="375" spans="1:5" ht="15">
      <c r="A375" s="13">
        <v>52931</v>
      </c>
      <c r="B375" s="4">
        <f>28.1956 * CHOOSE(CONTROL!$C$9, $C$13, 100%, $E$13) + CHOOSE(CONTROL!$C$28, 0.0003, 0)</f>
        <v>28.195899999999998</v>
      </c>
      <c r="C375" s="4">
        <f>27.8324 * CHOOSE(CONTROL!$C$9, $C$13, 100%, $E$13) + CHOOSE(CONTROL!$C$28, 0.0003, 0)</f>
        <v>27.832699999999999</v>
      </c>
      <c r="D375" s="4">
        <f>39.8819 * CHOOSE(CONTROL!$C$9, $C$13, 100%, $E$13) + CHOOSE(CONTROL!$C$28, 0, 0)</f>
        <v>39.881900000000002</v>
      </c>
      <c r="E375" s="4">
        <f>180.509372538376 * CHOOSE(CONTROL!$C$9, $C$13, 100%, $E$13) + CHOOSE(CONTROL!$C$28, 0, 0)</f>
        <v>180.509372538376</v>
      </c>
    </row>
    <row r="376" spans="1:5" ht="15">
      <c r="A376" s="13">
        <v>52962</v>
      </c>
      <c r="B376" s="4">
        <f>27.7662 * CHOOSE(CONTROL!$C$9, $C$13, 100%, $E$13) + CHOOSE(CONTROL!$C$28, 0.0003, 0)</f>
        <v>27.766500000000001</v>
      </c>
      <c r="C376" s="4">
        <f>27.4029 * CHOOSE(CONTROL!$C$9, $C$13, 100%, $E$13) + CHOOSE(CONTROL!$C$28, 0.0003, 0)</f>
        <v>27.403199999999998</v>
      </c>
      <c r="D376" s="4">
        <f>38.5306 * CHOOSE(CONTROL!$C$9, $C$13, 100%, $E$13) + CHOOSE(CONTROL!$C$28, 0, 0)</f>
        <v>38.5306</v>
      </c>
      <c r="E376" s="4">
        <f>177.682356163201 * CHOOSE(CONTROL!$C$9, $C$13, 100%, $E$13) + CHOOSE(CONTROL!$C$28, 0, 0)</f>
        <v>177.68235616320101</v>
      </c>
    </row>
    <row r="377" spans="1:5" ht="15">
      <c r="A377" s="13">
        <v>52993</v>
      </c>
      <c r="B377" s="4">
        <f>26.5912 * CHOOSE(CONTROL!$C$9, $C$13, 100%, $E$13) + CHOOSE(CONTROL!$C$28, 0.0003, 0)</f>
        <v>26.5915</v>
      </c>
      <c r="C377" s="4">
        <f>26.2279 * CHOOSE(CONTROL!$C$9, $C$13, 100%, $E$13) + CHOOSE(CONTROL!$C$28, 0.0003, 0)</f>
        <v>26.228200000000001</v>
      </c>
      <c r="D377" s="4">
        <f>37.042 * CHOOSE(CONTROL!$C$9, $C$13, 100%, $E$13) + CHOOSE(CONTROL!$C$28, 0, 0)</f>
        <v>37.042000000000002</v>
      </c>
      <c r="E377" s="4">
        <f>170.28116403272 * CHOOSE(CONTROL!$C$9, $C$13, 100%, $E$13) + CHOOSE(CONTROL!$C$28, 0, 0)</f>
        <v>170.28116403272</v>
      </c>
    </row>
    <row r="378" spans="1:5" ht="15">
      <c r="A378" s="13">
        <v>53021</v>
      </c>
      <c r="B378" s="4">
        <f>27.2042 * CHOOSE(CONTROL!$C$9, $C$13, 100%, $E$13) + CHOOSE(CONTROL!$C$28, 0.0003, 0)</f>
        <v>27.204499999999999</v>
      </c>
      <c r="C378" s="4">
        <f>26.8409 * CHOOSE(CONTROL!$C$9, $C$13, 100%, $E$13) + CHOOSE(CONTROL!$C$28, 0.0003, 0)</f>
        <v>26.841200000000001</v>
      </c>
      <c r="D378" s="4">
        <f>38.284 * CHOOSE(CONTROL!$C$9, $C$13, 100%, $E$13) + CHOOSE(CONTROL!$C$28, 0, 0)</f>
        <v>38.283999999999999</v>
      </c>
      <c r="E378" s="4">
        <f>174.324309929503 * CHOOSE(CONTROL!$C$9, $C$13, 100%, $E$13) + CHOOSE(CONTROL!$C$28, 0, 0)</f>
        <v>174.32430992950299</v>
      </c>
    </row>
    <row r="379" spans="1:5" ht="15">
      <c r="A379" s="13">
        <v>53052</v>
      </c>
      <c r="B379" s="4">
        <f>28.814 * CHOOSE(CONTROL!$C$9, $C$13, 100%, $E$13) + CHOOSE(CONTROL!$C$28, 0.0003, 0)</f>
        <v>28.814299999999999</v>
      </c>
      <c r="C379" s="4">
        <f>28.4507 * CHOOSE(CONTROL!$C$9, $C$13, 100%, $E$13) + CHOOSE(CONTROL!$C$28, 0.0003, 0)</f>
        <v>28.451000000000001</v>
      </c>
      <c r="D379" s="4">
        <f>40.2282 * CHOOSE(CONTROL!$C$9, $C$13, 100%, $E$13) + CHOOSE(CONTROL!$C$28, 0, 0)</f>
        <v>40.228200000000001</v>
      </c>
      <c r="E379" s="4">
        <f>184.941825920279 * CHOOSE(CONTROL!$C$9, $C$13, 100%, $E$13) + CHOOSE(CONTROL!$C$28, 0, 0)</f>
        <v>184.941825920279</v>
      </c>
    </row>
    <row r="380" spans="1:5" ht="15">
      <c r="A380" s="13">
        <v>53082</v>
      </c>
      <c r="B380" s="4">
        <f>29.9578 * CHOOSE(CONTROL!$C$9, $C$13, 100%, $E$13) + CHOOSE(CONTROL!$C$28, 0.0003, 0)</f>
        <v>29.958099999999998</v>
      </c>
      <c r="C380" s="4">
        <f>29.5945 * CHOOSE(CONTROL!$C$9, $C$13, 100%, $E$13) + CHOOSE(CONTROL!$C$28, 0.0003, 0)</f>
        <v>29.594799999999999</v>
      </c>
      <c r="D380" s="4">
        <f>41.3482 * CHOOSE(CONTROL!$C$9, $C$13, 100%, $E$13) + CHOOSE(CONTROL!$C$28, 0, 0)</f>
        <v>41.348199999999999</v>
      </c>
      <c r="E380" s="4">
        <f>192.485712528731 * CHOOSE(CONTROL!$C$9, $C$13, 100%, $E$13) + CHOOSE(CONTROL!$C$28, 0, 0)</f>
        <v>192.485712528731</v>
      </c>
    </row>
    <row r="381" spans="1:5" ht="15">
      <c r="A381" s="13">
        <v>53113</v>
      </c>
      <c r="B381" s="4">
        <f>30.6566 * CHOOSE(CONTROL!$C$9, $C$13, 100%, $E$13) + CHOOSE(CONTROL!$C$28, 0.0136, 0)</f>
        <v>30.670200000000001</v>
      </c>
      <c r="C381" s="4">
        <f>30.2933 * CHOOSE(CONTROL!$C$9, $C$13, 100%, $E$13) + CHOOSE(CONTROL!$C$28, 0.0136, 0)</f>
        <v>30.306899999999999</v>
      </c>
      <c r="D381" s="4">
        <f>40.9056 * CHOOSE(CONTROL!$C$9, $C$13, 100%, $E$13) + CHOOSE(CONTROL!$C$28, 0, 0)</f>
        <v>40.9056</v>
      </c>
      <c r="E381" s="4">
        <f>197.094846444766 * CHOOSE(CONTROL!$C$9, $C$13, 100%, $E$13) + CHOOSE(CONTROL!$C$28, 0, 0)</f>
        <v>197.09484644476601</v>
      </c>
    </row>
    <row r="382" spans="1:5" ht="15">
      <c r="A382" s="13">
        <v>53143</v>
      </c>
      <c r="B382" s="4">
        <f>30.7512 * CHOOSE(CONTROL!$C$9, $C$13, 100%, $E$13) + CHOOSE(CONTROL!$C$28, 0.0136, 0)</f>
        <v>30.764800000000001</v>
      </c>
      <c r="C382" s="4">
        <f>30.3879 * CHOOSE(CONTROL!$C$9, $C$13, 100%, $E$13) + CHOOSE(CONTROL!$C$28, 0.0136, 0)</f>
        <v>30.401499999999999</v>
      </c>
      <c r="D382" s="4">
        <f>41.2661 * CHOOSE(CONTROL!$C$9, $C$13, 100%, $E$13) + CHOOSE(CONTROL!$C$28, 0, 0)</f>
        <v>41.266100000000002</v>
      </c>
      <c r="E382" s="4">
        <f>197.718481391904 * CHOOSE(CONTROL!$C$9, $C$13, 100%, $E$13) + CHOOSE(CONTROL!$C$28, 0, 0)</f>
        <v>197.71848139190399</v>
      </c>
    </row>
    <row r="383" spans="1:5" ht="15">
      <c r="A383" s="13">
        <v>53174</v>
      </c>
      <c r="B383" s="4">
        <f>30.7416 * CHOOSE(CONTROL!$C$9, $C$13, 100%, $E$13) + CHOOSE(CONTROL!$C$28, 0.0136, 0)</f>
        <v>30.755199999999999</v>
      </c>
      <c r="C383" s="4">
        <f>30.3783 * CHOOSE(CONTROL!$C$9, $C$13, 100%, $E$13) + CHOOSE(CONTROL!$C$28, 0.0136, 0)</f>
        <v>30.3919</v>
      </c>
      <c r="D383" s="4">
        <f>41.9164 * CHOOSE(CONTROL!$C$9, $C$13, 100%, $E$13) + CHOOSE(CONTROL!$C$28, 0, 0)</f>
        <v>41.916400000000003</v>
      </c>
      <c r="E383" s="4">
        <f>197.65559383421 * CHOOSE(CONTROL!$C$9, $C$13, 100%, $E$13) + CHOOSE(CONTROL!$C$28, 0, 0)</f>
        <v>197.65559383421001</v>
      </c>
    </row>
    <row r="384" spans="1:5" ht="15">
      <c r="A384" s="13">
        <v>53205</v>
      </c>
      <c r="B384" s="4">
        <f>31.4591 * CHOOSE(CONTROL!$C$9, $C$13, 100%, $E$13) + CHOOSE(CONTROL!$C$28, 0.0136, 0)</f>
        <v>31.4727</v>
      </c>
      <c r="C384" s="4">
        <f>31.0958 * CHOOSE(CONTROL!$C$9, $C$13, 100%, $E$13) + CHOOSE(CONTROL!$C$28, 0.0136, 0)</f>
        <v>31.109400000000001</v>
      </c>
      <c r="D384" s="4">
        <f>41.4869 * CHOOSE(CONTROL!$C$9, $C$13, 100%, $E$13) + CHOOSE(CONTROL!$C$28, 0, 0)</f>
        <v>41.486899999999999</v>
      </c>
      <c r="E384" s="4">
        <f>202.38788255073 * CHOOSE(CONTROL!$C$9, $C$13, 100%, $E$13) + CHOOSE(CONTROL!$C$28, 0, 0)</f>
        <v>202.38788255073001</v>
      </c>
    </row>
    <row r="385" spans="1:5" ht="15">
      <c r="A385" s="13">
        <v>53235</v>
      </c>
      <c r="B385" s="4">
        <f>30.2363 * CHOOSE(CONTROL!$C$9, $C$13, 100%, $E$13) + CHOOSE(CONTROL!$C$28, 0.0136, 0)</f>
        <v>30.2499</v>
      </c>
      <c r="C385" s="4">
        <f>29.873 * CHOOSE(CONTROL!$C$9, $C$13, 100%, $E$13) + CHOOSE(CONTROL!$C$28, 0.0136, 0)</f>
        <v>29.886600000000001</v>
      </c>
      <c r="D385" s="4">
        <f>41.284 * CHOOSE(CONTROL!$C$9, $C$13, 100%, $E$13) + CHOOSE(CONTROL!$C$28, 0, 0)</f>
        <v>41.283999999999999</v>
      </c>
      <c r="E385" s="4">
        <f>194.322553276395 * CHOOSE(CONTROL!$C$9, $C$13, 100%, $E$13) + CHOOSE(CONTROL!$C$28, 0, 0)</f>
        <v>194.32255327639501</v>
      </c>
    </row>
    <row r="386" spans="1:5" ht="15">
      <c r="A386" s="13">
        <v>53266</v>
      </c>
      <c r="B386" s="4">
        <f>29.2574 * CHOOSE(CONTROL!$C$9, $C$13, 100%, $E$13) + CHOOSE(CONTROL!$C$28, 0.0003, 0)</f>
        <v>29.2577</v>
      </c>
      <c r="C386" s="4">
        <f>28.8941 * CHOOSE(CONTROL!$C$9, $C$13, 100%, $E$13) + CHOOSE(CONTROL!$C$28, 0.0003, 0)</f>
        <v>28.894400000000001</v>
      </c>
      <c r="D386" s="4">
        <f>40.7407 * CHOOSE(CONTROL!$C$9, $C$13, 100%, $E$13) + CHOOSE(CONTROL!$C$28, 0, 0)</f>
        <v>40.740699999999997</v>
      </c>
      <c r="E386" s="4">
        <f>187.86609735308 * CHOOSE(CONTROL!$C$9, $C$13, 100%, $E$13) + CHOOSE(CONTROL!$C$28, 0, 0)</f>
        <v>187.86609735307999</v>
      </c>
    </row>
    <row r="387" spans="1:5" ht="15">
      <c r="A387" s="13">
        <v>53296</v>
      </c>
      <c r="B387" s="4">
        <f>28.6269 * CHOOSE(CONTROL!$C$9, $C$13, 100%, $E$13) + CHOOSE(CONTROL!$C$28, 0.0003, 0)</f>
        <v>28.627199999999998</v>
      </c>
      <c r="C387" s="4">
        <f>28.2636 * CHOOSE(CONTROL!$C$9, $C$13, 100%, $E$13) + CHOOSE(CONTROL!$C$28, 0.0003, 0)</f>
        <v>28.2639</v>
      </c>
      <c r="D387" s="4">
        <f>40.5539 * CHOOSE(CONTROL!$C$9, $C$13, 100%, $E$13) + CHOOSE(CONTROL!$C$28, 0, 0)</f>
        <v>40.553899999999999</v>
      </c>
      <c r="E387" s="4">
        <f>183.707657600522 * CHOOSE(CONTROL!$C$9, $C$13, 100%, $E$13) + CHOOSE(CONTROL!$C$28, 0, 0)</f>
        <v>183.707657600522</v>
      </c>
    </row>
    <row r="388" spans="1:5" ht="15">
      <c r="A388" s="13">
        <v>53327</v>
      </c>
      <c r="B388" s="4">
        <f>28.1906 * CHOOSE(CONTROL!$C$9, $C$13, 100%, $E$13) + CHOOSE(CONTROL!$C$28, 0.0003, 0)</f>
        <v>28.190899999999999</v>
      </c>
      <c r="C388" s="4">
        <f>27.8274 * CHOOSE(CONTROL!$C$9, $C$13, 100%, $E$13) + CHOOSE(CONTROL!$C$28, 0.0003, 0)</f>
        <v>27.8277</v>
      </c>
      <c r="D388" s="4">
        <f>39.1786 * CHOOSE(CONTROL!$C$9, $C$13, 100%, $E$13) + CHOOSE(CONTROL!$C$28, 0, 0)</f>
        <v>39.178600000000003</v>
      </c>
      <c r="E388" s="4">
        <f>180.830551835993 * CHOOSE(CONTROL!$C$9, $C$13, 100%, $E$13) + CHOOSE(CONTROL!$C$28, 0, 0)</f>
        <v>180.83055183599299</v>
      </c>
    </row>
    <row r="389" spans="1:5" ht="15">
      <c r="A389" s="13">
        <v>53358</v>
      </c>
      <c r="B389" s="4">
        <f>26.9971 * CHOOSE(CONTROL!$C$9, $C$13, 100%, $E$13) + CHOOSE(CONTROL!$C$28, 0.0003, 0)</f>
        <v>26.997399999999999</v>
      </c>
      <c r="C389" s="4">
        <f>26.6339 * CHOOSE(CONTROL!$C$9, $C$13, 100%, $E$13) + CHOOSE(CONTROL!$C$28, 0.0003, 0)</f>
        <v>26.6342</v>
      </c>
      <c r="D389" s="4">
        <f>37.6637 * CHOOSE(CONTROL!$C$9, $C$13, 100%, $E$13) + CHOOSE(CONTROL!$C$28, 0, 0)</f>
        <v>37.663699999999999</v>
      </c>
      <c r="E389" s="4">
        <f>173.29822456333 * CHOOSE(CONTROL!$C$9, $C$13, 100%, $E$13) + CHOOSE(CONTROL!$C$28, 0, 0)</f>
        <v>173.29822456333</v>
      </c>
    </row>
    <row r="390" spans="1:5" ht="15">
      <c r="A390" s="13">
        <v>53386</v>
      </c>
      <c r="B390" s="4">
        <f>27.6198 * CHOOSE(CONTROL!$C$9, $C$13, 100%, $E$13) + CHOOSE(CONTROL!$C$28, 0.0003, 0)</f>
        <v>27.620100000000001</v>
      </c>
      <c r="C390" s="4">
        <f>27.2565 * CHOOSE(CONTROL!$C$9, $C$13, 100%, $E$13) + CHOOSE(CONTROL!$C$28, 0.0003, 0)</f>
        <v>27.256799999999998</v>
      </c>
      <c r="D390" s="4">
        <f>38.9277 * CHOOSE(CONTROL!$C$9, $C$13, 100%, $E$13) + CHOOSE(CONTROL!$C$28, 0, 0)</f>
        <v>38.927700000000002</v>
      </c>
      <c r="E390" s="4">
        <f>177.413007367072 * CHOOSE(CONTROL!$C$9, $C$13, 100%, $E$13) + CHOOSE(CONTROL!$C$28, 0, 0)</f>
        <v>177.413007367072</v>
      </c>
    </row>
    <row r="391" spans="1:5" ht="15">
      <c r="A391" s="13">
        <v>53417</v>
      </c>
      <c r="B391" s="4">
        <f>29.2549 * CHOOSE(CONTROL!$C$9, $C$13, 100%, $E$13) + CHOOSE(CONTROL!$C$28, 0.0003, 0)</f>
        <v>29.255199999999999</v>
      </c>
      <c r="C391" s="4">
        <f>28.8916 * CHOOSE(CONTROL!$C$9, $C$13, 100%, $E$13) + CHOOSE(CONTROL!$C$28, 0.0003, 0)</f>
        <v>28.8919</v>
      </c>
      <c r="D391" s="4">
        <f>40.9063 * CHOOSE(CONTROL!$C$9, $C$13, 100%, $E$13) + CHOOSE(CONTROL!$C$28, 0, 0)</f>
        <v>40.906300000000002</v>
      </c>
      <c r="E391" s="4">
        <f>188.218645682539 * CHOOSE(CONTROL!$C$9, $C$13, 100%, $E$13) + CHOOSE(CONTROL!$C$28, 0, 0)</f>
        <v>188.21864568253901</v>
      </c>
    </row>
    <row r="392" spans="1:5" ht="15">
      <c r="A392" s="13">
        <v>53447</v>
      </c>
      <c r="B392" s="4">
        <f>30.4167 * CHOOSE(CONTROL!$C$9, $C$13, 100%, $E$13) + CHOOSE(CONTROL!$C$28, 0.0003, 0)</f>
        <v>30.416999999999998</v>
      </c>
      <c r="C392" s="4">
        <f>30.0534 * CHOOSE(CONTROL!$C$9, $C$13, 100%, $E$13) + CHOOSE(CONTROL!$C$28, 0.0003, 0)</f>
        <v>30.053699999999999</v>
      </c>
      <c r="D392" s="4">
        <f>42.046 * CHOOSE(CONTROL!$C$9, $C$13, 100%, $E$13) + CHOOSE(CONTROL!$C$28, 0, 0)</f>
        <v>42.045999999999999</v>
      </c>
      <c r="E392" s="4">
        <f>195.896195709743 * CHOOSE(CONTROL!$C$9, $C$13, 100%, $E$13) + CHOOSE(CONTROL!$C$28, 0, 0)</f>
        <v>195.89619570974301</v>
      </c>
    </row>
    <row r="393" spans="1:5" ht="15">
      <c r="A393" s="13">
        <v>53478</v>
      </c>
      <c r="B393" s="4">
        <f>31.1265 * CHOOSE(CONTROL!$C$9, $C$13, 100%, $E$13) + CHOOSE(CONTROL!$C$28, 0.0136, 0)</f>
        <v>31.1401</v>
      </c>
      <c r="C393" s="4">
        <f>30.7632 * CHOOSE(CONTROL!$C$9, $C$13, 100%, $E$13) + CHOOSE(CONTROL!$C$28, 0.0136, 0)</f>
        <v>30.776800000000001</v>
      </c>
      <c r="D393" s="4">
        <f>41.5957 * CHOOSE(CONTROL!$C$9, $C$13, 100%, $E$13) + CHOOSE(CONTROL!$C$28, 0, 0)</f>
        <v>41.595700000000001</v>
      </c>
      <c r="E393" s="4">
        <f>200.586994771171 * CHOOSE(CONTROL!$C$9, $C$13, 100%, $E$13) + CHOOSE(CONTROL!$C$28, 0, 0)</f>
        <v>200.58699477117099</v>
      </c>
    </row>
    <row r="394" spans="1:5" ht="15">
      <c r="A394" s="13">
        <v>53508</v>
      </c>
      <c r="B394" s="4">
        <f>31.2225 * CHOOSE(CONTROL!$C$9, $C$13, 100%, $E$13) + CHOOSE(CONTROL!$C$28, 0.0136, 0)</f>
        <v>31.2361</v>
      </c>
      <c r="C394" s="4">
        <f>30.8593 * CHOOSE(CONTROL!$C$9, $C$13, 100%, $E$13) + CHOOSE(CONTROL!$C$28, 0.0136, 0)</f>
        <v>30.872900000000001</v>
      </c>
      <c r="D394" s="4">
        <f>41.9624 * CHOOSE(CONTROL!$C$9, $C$13, 100%, $E$13) + CHOOSE(CONTROL!$C$28, 0, 0)</f>
        <v>41.962400000000002</v>
      </c>
      <c r="E394" s="4">
        <f>201.221679351398 * CHOOSE(CONTROL!$C$9, $C$13, 100%, $E$13) + CHOOSE(CONTROL!$C$28, 0, 0)</f>
        <v>201.221679351398</v>
      </c>
    </row>
    <row r="395" spans="1:5" ht="15">
      <c r="A395" s="13">
        <v>53539</v>
      </c>
      <c r="B395" s="4">
        <f>31.2129 * CHOOSE(CONTROL!$C$9, $C$13, 100%, $E$13) + CHOOSE(CONTROL!$C$28, 0.0136, 0)</f>
        <v>31.226500000000001</v>
      </c>
      <c r="C395" s="4">
        <f>30.8496 * CHOOSE(CONTROL!$C$9, $C$13, 100%, $E$13) + CHOOSE(CONTROL!$C$28, 0.0136, 0)</f>
        <v>30.863199999999999</v>
      </c>
      <c r="D395" s="4">
        <f>42.6243 * CHOOSE(CONTROL!$C$9, $C$13, 100%, $E$13) + CHOOSE(CONTROL!$C$28, 0, 0)</f>
        <v>42.624299999999998</v>
      </c>
      <c r="E395" s="4">
        <f>201.157677544989 * CHOOSE(CONTROL!$C$9, $C$13, 100%, $E$13) + CHOOSE(CONTROL!$C$28, 0, 0)</f>
        <v>201.15767754498901</v>
      </c>
    </row>
    <row r="396" spans="1:5" ht="15">
      <c r="A396" s="13">
        <v>53570</v>
      </c>
      <c r="B396" s="4">
        <f>31.9416 * CHOOSE(CONTROL!$C$9, $C$13, 100%, $E$13) + CHOOSE(CONTROL!$C$28, 0.0136, 0)</f>
        <v>31.955200000000001</v>
      </c>
      <c r="C396" s="4">
        <f>31.5784 * CHOOSE(CONTROL!$C$9, $C$13, 100%, $E$13) + CHOOSE(CONTROL!$C$28, 0.0136, 0)</f>
        <v>31.591999999999999</v>
      </c>
      <c r="D396" s="4">
        <f>42.1872 * CHOOSE(CONTROL!$C$9, $C$13, 100%, $E$13) + CHOOSE(CONTROL!$C$28, 0, 0)</f>
        <v>42.187199999999997</v>
      </c>
      <c r="E396" s="4">
        <f>205.973813477302 * CHOOSE(CONTROL!$C$9, $C$13, 100%, $E$13) + CHOOSE(CONTROL!$C$28, 0, 0)</f>
        <v>205.973813477302</v>
      </c>
    </row>
    <row r="397" spans="1:5" ht="15">
      <c r="A397" s="13">
        <v>53600</v>
      </c>
      <c r="B397" s="4">
        <f>30.6996 * CHOOSE(CONTROL!$C$9, $C$13, 100%, $E$13) + CHOOSE(CONTROL!$C$28, 0.0136, 0)</f>
        <v>30.713200000000001</v>
      </c>
      <c r="C397" s="4">
        <f>30.3363 * CHOOSE(CONTROL!$C$9, $C$13, 100%, $E$13) + CHOOSE(CONTROL!$C$28, 0.0136, 0)</f>
        <v>30.349900000000002</v>
      </c>
      <c r="D397" s="4">
        <f>41.9807 * CHOOSE(CONTROL!$C$9, $C$13, 100%, $E$13) + CHOOSE(CONTROL!$C$28, 0, 0)</f>
        <v>41.980699999999999</v>
      </c>
      <c r="E397" s="4">
        <f>197.765581805286 * CHOOSE(CONTROL!$C$9, $C$13, 100%, $E$13) + CHOOSE(CONTROL!$C$28, 0, 0)</f>
        <v>197.76558180528599</v>
      </c>
    </row>
    <row r="398" spans="1:5" ht="15">
      <c r="A398" s="13">
        <v>53631</v>
      </c>
      <c r="B398" s="4">
        <f>29.7053 * CHOOSE(CONTROL!$C$9, $C$13, 100%, $E$13) + CHOOSE(CONTROL!$C$28, 0.0003, 0)</f>
        <v>29.7056</v>
      </c>
      <c r="C398" s="4">
        <f>29.342 * CHOOSE(CONTROL!$C$9, $C$13, 100%, $E$13) + CHOOSE(CONTROL!$C$28, 0.0003, 0)</f>
        <v>29.342299999999998</v>
      </c>
      <c r="D398" s="4">
        <f>41.4278 * CHOOSE(CONTROL!$C$9, $C$13, 100%, $E$13) + CHOOSE(CONTROL!$C$28, 0, 0)</f>
        <v>41.427799999999998</v>
      </c>
      <c r="E398" s="4">
        <f>191.19472968058 * CHOOSE(CONTROL!$C$9, $C$13, 100%, $E$13) + CHOOSE(CONTROL!$C$28, 0, 0)</f>
        <v>191.19472968058</v>
      </c>
    </row>
    <row r="399" spans="1:5" ht="15">
      <c r="A399" s="13">
        <v>53661</v>
      </c>
      <c r="B399" s="4">
        <f>29.0648 * CHOOSE(CONTROL!$C$9, $C$13, 100%, $E$13) + CHOOSE(CONTROL!$C$28, 0.0003, 0)</f>
        <v>29.065100000000001</v>
      </c>
      <c r="C399" s="4">
        <f>28.7016 * CHOOSE(CONTROL!$C$9, $C$13, 100%, $E$13) + CHOOSE(CONTROL!$C$28, 0.0003, 0)</f>
        <v>28.701899999999998</v>
      </c>
      <c r="D399" s="4">
        <f>41.2377 * CHOOSE(CONTROL!$C$9, $C$13, 100%, $E$13) + CHOOSE(CONTROL!$C$28, 0, 0)</f>
        <v>41.237699999999997</v>
      </c>
      <c r="E399" s="4">
        <f>186.962610231753 * CHOOSE(CONTROL!$C$9, $C$13, 100%, $E$13) + CHOOSE(CONTROL!$C$28, 0, 0)</f>
        <v>186.96261023175299</v>
      </c>
    </row>
    <row r="400" spans="1:5" ht="15">
      <c r="A400" s="13">
        <v>53692</v>
      </c>
      <c r="B400" s="4">
        <f>28.6218 * CHOOSE(CONTROL!$C$9, $C$13, 100%, $E$13) + CHOOSE(CONTROL!$C$28, 0.0003, 0)</f>
        <v>28.6221</v>
      </c>
      <c r="C400" s="4">
        <f>28.2585 * CHOOSE(CONTROL!$C$9, $C$13, 100%, $E$13) + CHOOSE(CONTROL!$C$28, 0.0003, 0)</f>
        <v>28.258800000000001</v>
      </c>
      <c r="D400" s="4">
        <f>39.8381 * CHOOSE(CONTROL!$C$9, $C$13, 100%, $E$13) + CHOOSE(CONTROL!$C$28, 0, 0)</f>
        <v>39.838099999999997</v>
      </c>
      <c r="E400" s="4">
        <f>184.03452758852 * CHOOSE(CONTROL!$C$9, $C$13, 100%, $E$13) + CHOOSE(CONTROL!$C$28, 0, 0)</f>
        <v>184.03452758852001</v>
      </c>
    </row>
    <row r="401" spans="1:5" ht="15">
      <c r="A401" s="13">
        <v>53723</v>
      </c>
      <c r="B401" s="4">
        <f>27.4095 * CHOOSE(CONTROL!$C$9, $C$13, 100%, $E$13) + CHOOSE(CONTROL!$C$28, 0.0003, 0)</f>
        <v>27.409800000000001</v>
      </c>
      <c r="C401" s="4">
        <f>27.0462 * CHOOSE(CONTROL!$C$9, $C$13, 100%, $E$13) + CHOOSE(CONTROL!$C$28, 0.0003, 0)</f>
        <v>27.046499999999998</v>
      </c>
      <c r="D401" s="4">
        <f>38.2965 * CHOOSE(CONTROL!$C$9, $C$13, 100%, $E$13) + CHOOSE(CONTROL!$C$28, 0, 0)</f>
        <v>38.296500000000002</v>
      </c>
      <c r="E401" s="4">
        <f>176.368741706696 * CHOOSE(CONTROL!$C$9, $C$13, 100%, $E$13) + CHOOSE(CONTROL!$C$28, 0, 0)</f>
        <v>176.368741706696</v>
      </c>
    </row>
    <row r="402" spans="1:5" ht="15">
      <c r="A402" s="13">
        <v>53751</v>
      </c>
      <c r="B402" s="4">
        <f>28.0419 * CHOOSE(CONTROL!$C$9, $C$13, 100%, $E$13) + CHOOSE(CONTROL!$C$28, 0.0003, 0)</f>
        <v>28.042199999999998</v>
      </c>
      <c r="C402" s="4">
        <f>27.6787 * CHOOSE(CONTROL!$C$9, $C$13, 100%, $E$13) + CHOOSE(CONTROL!$C$28, 0.0003, 0)</f>
        <v>27.678999999999998</v>
      </c>
      <c r="D402" s="4">
        <f>39.5827 * CHOOSE(CONTROL!$C$9, $C$13, 100%, $E$13) + CHOOSE(CONTROL!$C$28, 0, 0)</f>
        <v>39.582700000000003</v>
      </c>
      <c r="E402" s="4">
        <f>180.556430688052 * CHOOSE(CONTROL!$C$9, $C$13, 100%, $E$13) + CHOOSE(CONTROL!$C$28, 0, 0)</f>
        <v>180.55643068805199</v>
      </c>
    </row>
    <row r="403" spans="1:5" ht="15">
      <c r="A403" s="13">
        <v>53782</v>
      </c>
      <c r="B403" s="4">
        <f>29.7028 * CHOOSE(CONTROL!$C$9, $C$13, 100%, $E$13) + CHOOSE(CONTROL!$C$28, 0.0003, 0)</f>
        <v>29.703099999999999</v>
      </c>
      <c r="C403" s="4">
        <f>29.3395 * CHOOSE(CONTROL!$C$9, $C$13, 100%, $E$13) + CHOOSE(CONTROL!$C$28, 0.0003, 0)</f>
        <v>29.3398</v>
      </c>
      <c r="D403" s="4">
        <f>41.5963 * CHOOSE(CONTROL!$C$9, $C$13, 100%, $E$13) + CHOOSE(CONTROL!$C$28, 0, 0)</f>
        <v>41.596299999999999</v>
      </c>
      <c r="E403" s="4">
        <f>191.553524500402 * CHOOSE(CONTROL!$C$9, $C$13, 100%, $E$13) + CHOOSE(CONTROL!$C$28, 0, 0)</f>
        <v>191.55352450040201</v>
      </c>
    </row>
    <row r="404" spans="1:5" ht="15">
      <c r="A404" s="13">
        <v>53812</v>
      </c>
      <c r="B404" s="4">
        <f>30.8828 * CHOOSE(CONTROL!$C$9, $C$13, 100%, $E$13) + CHOOSE(CONTROL!$C$28, 0.0003, 0)</f>
        <v>30.883099999999999</v>
      </c>
      <c r="C404" s="4">
        <f>30.5195 * CHOOSE(CONTROL!$C$9, $C$13, 100%, $E$13) + CHOOSE(CONTROL!$C$28, 0.0003, 0)</f>
        <v>30.5198</v>
      </c>
      <c r="D404" s="4">
        <f>42.7562 * CHOOSE(CONTROL!$C$9, $C$13, 100%, $E$13) + CHOOSE(CONTROL!$C$28, 0, 0)</f>
        <v>42.7562</v>
      </c>
      <c r="E404" s="4">
        <f>199.36710620962 * CHOOSE(CONTROL!$C$9, $C$13, 100%, $E$13) + CHOOSE(CONTROL!$C$28, 0, 0)</f>
        <v>199.36710620962</v>
      </c>
    </row>
    <row r="405" spans="1:5" ht="15">
      <c r="A405" s="13">
        <v>53843</v>
      </c>
      <c r="B405" s="4">
        <f>31.6038 * CHOOSE(CONTROL!$C$9, $C$13, 100%, $E$13) + CHOOSE(CONTROL!$C$28, 0.0136, 0)</f>
        <v>31.6174</v>
      </c>
      <c r="C405" s="4">
        <f>31.2405 * CHOOSE(CONTROL!$C$9, $C$13, 100%, $E$13) + CHOOSE(CONTROL!$C$28, 0.0136, 0)</f>
        <v>31.254100000000001</v>
      </c>
      <c r="D405" s="4">
        <f>42.2979 * CHOOSE(CONTROL!$C$9, $C$13, 100%, $E$13) + CHOOSE(CONTROL!$C$28, 0, 0)</f>
        <v>42.297899999999998</v>
      </c>
      <c r="E405" s="4">
        <f>204.141017368535 * CHOOSE(CONTROL!$C$9, $C$13, 100%, $E$13) + CHOOSE(CONTROL!$C$28, 0, 0)</f>
        <v>204.14101736853499</v>
      </c>
    </row>
    <row r="406" spans="1:5" ht="15">
      <c r="A406" s="13">
        <v>53873</v>
      </c>
      <c r="B406" s="4">
        <f>31.7014 * CHOOSE(CONTROL!$C$9, $C$13, 100%, $E$13) + CHOOSE(CONTROL!$C$28, 0.0136, 0)</f>
        <v>31.715</v>
      </c>
      <c r="C406" s="4">
        <f>31.3381 * CHOOSE(CONTROL!$C$9, $C$13, 100%, $E$13) + CHOOSE(CONTROL!$C$28, 0.0136, 0)</f>
        <v>31.351700000000001</v>
      </c>
      <c r="D406" s="4">
        <f>42.6711 * CHOOSE(CONTROL!$C$9, $C$13, 100%, $E$13) + CHOOSE(CONTROL!$C$28, 0, 0)</f>
        <v>42.671100000000003</v>
      </c>
      <c r="E406" s="4">
        <f>204.786947360475 * CHOOSE(CONTROL!$C$9, $C$13, 100%, $E$13) + CHOOSE(CONTROL!$C$28, 0, 0)</f>
        <v>204.78694736047501</v>
      </c>
    </row>
    <row r="407" spans="1:5" ht="15">
      <c r="A407" s="13">
        <v>53904</v>
      </c>
      <c r="B407" s="4">
        <f>31.6915 * CHOOSE(CONTROL!$C$9, $C$13, 100%, $E$13) + CHOOSE(CONTROL!$C$28, 0.0136, 0)</f>
        <v>31.705100000000002</v>
      </c>
      <c r="C407" s="4">
        <f>31.3282 * CHOOSE(CONTROL!$C$9, $C$13, 100%, $E$13) + CHOOSE(CONTROL!$C$28, 0.0136, 0)</f>
        <v>31.341799999999999</v>
      </c>
      <c r="D407" s="4">
        <f>43.3447 * CHOOSE(CONTROL!$C$9, $C$13, 100%, $E$13) + CHOOSE(CONTROL!$C$28, 0, 0)</f>
        <v>43.344700000000003</v>
      </c>
      <c r="E407" s="4">
        <f>204.721811562968 * CHOOSE(CONTROL!$C$9, $C$13, 100%, $E$13) + CHOOSE(CONTROL!$C$28, 0, 0)</f>
        <v>204.72181156296801</v>
      </c>
    </row>
    <row r="408" spans="1:5" ht="15">
      <c r="A408" s="13">
        <v>53935</v>
      </c>
      <c r="B408" s="4">
        <f>32.4318 * CHOOSE(CONTROL!$C$9, $C$13, 100%, $E$13) + CHOOSE(CONTROL!$C$28, 0.0136, 0)</f>
        <v>32.445399999999999</v>
      </c>
      <c r="C408" s="4">
        <f>32.0685 * CHOOSE(CONTROL!$C$9, $C$13, 100%, $E$13) + CHOOSE(CONTROL!$C$28, 0.0136, 0)</f>
        <v>32.082099999999997</v>
      </c>
      <c r="D408" s="4">
        <f>42.8999 * CHOOSE(CONTROL!$C$9, $C$13, 100%, $E$13) + CHOOSE(CONTROL!$C$28, 0, 0)</f>
        <v>42.899900000000002</v>
      </c>
      <c r="E408" s="4">
        <f>209.623280325333 * CHOOSE(CONTROL!$C$9, $C$13, 100%, $E$13) + CHOOSE(CONTROL!$C$28, 0, 0)</f>
        <v>209.62328032533301</v>
      </c>
    </row>
    <row r="409" spans="1:5" ht="15">
      <c r="A409" s="13">
        <v>53965</v>
      </c>
      <c r="B409" s="4">
        <f>31.1702 * CHOOSE(CONTROL!$C$9, $C$13, 100%, $E$13) + CHOOSE(CONTROL!$C$28, 0.0136, 0)</f>
        <v>31.183800000000002</v>
      </c>
      <c r="C409" s="4">
        <f>30.8069 * CHOOSE(CONTROL!$C$9, $C$13, 100%, $E$13) + CHOOSE(CONTROL!$C$28, 0.0136, 0)</f>
        <v>30.820499999999999</v>
      </c>
      <c r="D409" s="4">
        <f>42.6897 * CHOOSE(CONTROL!$C$9, $C$13, 100%, $E$13) + CHOOSE(CONTROL!$C$28, 0, 0)</f>
        <v>42.689700000000002</v>
      </c>
      <c r="E409" s="4">
        <f>201.269614295123 * CHOOSE(CONTROL!$C$9, $C$13, 100%, $E$13) + CHOOSE(CONTROL!$C$28, 0, 0)</f>
        <v>201.26961429512301</v>
      </c>
    </row>
    <row r="410" spans="1:5" ht="15">
      <c r="A410" s="13">
        <v>53996</v>
      </c>
      <c r="B410" s="4">
        <f>30.1602 * CHOOSE(CONTROL!$C$9, $C$13, 100%, $E$13) + CHOOSE(CONTROL!$C$28, 0.0003, 0)</f>
        <v>30.160499999999999</v>
      </c>
      <c r="C410" s="4">
        <f>29.7969 * CHOOSE(CONTROL!$C$9, $C$13, 100%, $E$13) + CHOOSE(CONTROL!$C$28, 0.0003, 0)</f>
        <v>29.7972</v>
      </c>
      <c r="D410" s="4">
        <f>42.127 * CHOOSE(CONTROL!$C$9, $C$13, 100%, $E$13) + CHOOSE(CONTROL!$C$28, 0, 0)</f>
        <v>42.127000000000002</v>
      </c>
      <c r="E410" s="4">
        <f>194.582339084454 * CHOOSE(CONTROL!$C$9, $C$13, 100%, $E$13) + CHOOSE(CONTROL!$C$28, 0, 0)</f>
        <v>194.58233908445399</v>
      </c>
    </row>
    <row r="411" spans="1:5" ht="15">
      <c r="A411" s="13">
        <v>54026</v>
      </c>
      <c r="B411" s="4">
        <f>29.5097 * CHOOSE(CONTROL!$C$9, $C$13, 100%, $E$13) + CHOOSE(CONTROL!$C$28, 0.0003, 0)</f>
        <v>29.509999999999998</v>
      </c>
      <c r="C411" s="4">
        <f>29.1464 * CHOOSE(CONTROL!$C$9, $C$13, 100%, $E$13) + CHOOSE(CONTROL!$C$28, 0.0003, 0)</f>
        <v>29.146699999999999</v>
      </c>
      <c r="D411" s="4">
        <f>41.9335 * CHOOSE(CONTROL!$C$9, $C$13, 100%, $E$13) + CHOOSE(CONTROL!$C$28, 0, 0)</f>
        <v>41.933500000000002</v>
      </c>
      <c r="E411" s="4">
        <f>190.275234474336 * CHOOSE(CONTROL!$C$9, $C$13, 100%, $E$13) + CHOOSE(CONTROL!$C$28, 0, 0)</f>
        <v>190.275234474336</v>
      </c>
    </row>
    <row r="412" spans="1:5" ht="15">
      <c r="A412" s="13">
        <v>54057</v>
      </c>
      <c r="B412" s="4">
        <f>29.0597 * CHOOSE(CONTROL!$C$9, $C$13, 100%, $E$13) + CHOOSE(CONTROL!$C$28, 0.0003, 0)</f>
        <v>29.06</v>
      </c>
      <c r="C412" s="4">
        <f>28.6964 * CHOOSE(CONTROL!$C$9, $C$13, 100%, $E$13) + CHOOSE(CONTROL!$C$28, 0.0003, 0)</f>
        <v>28.6967</v>
      </c>
      <c r="D412" s="4">
        <f>40.5093 * CHOOSE(CONTROL!$C$9, $C$13, 100%, $E$13) + CHOOSE(CONTROL!$C$28, 0, 0)</f>
        <v>40.509300000000003</v>
      </c>
      <c r="E412" s="4">
        <f>187.295271738413 * CHOOSE(CONTROL!$C$9, $C$13, 100%, $E$13) + CHOOSE(CONTROL!$C$28, 0, 0)</f>
        <v>187.29527173841299</v>
      </c>
    </row>
    <row r="413" spans="1:5" ht="15">
      <c r="A413" s="13">
        <v>54088</v>
      </c>
      <c r="B413" s="4">
        <f>27.8284 * CHOOSE(CONTROL!$C$9, $C$13, 100%, $E$13) + CHOOSE(CONTROL!$C$28, 0.0003, 0)</f>
        <v>27.828699999999998</v>
      </c>
      <c r="C413" s="4">
        <f>27.4651 * CHOOSE(CONTROL!$C$9, $C$13, 100%, $E$13) + CHOOSE(CONTROL!$C$28, 0.0003, 0)</f>
        <v>27.465399999999999</v>
      </c>
      <c r="D413" s="4">
        <f>38.9404 * CHOOSE(CONTROL!$C$9, $C$13, 100%, $E$13) + CHOOSE(CONTROL!$C$28, 0, 0)</f>
        <v>38.940399999999997</v>
      </c>
      <c r="E413" s="4">
        <f>179.493662613006 * CHOOSE(CONTROL!$C$9, $C$13, 100%, $E$13) + CHOOSE(CONTROL!$C$28, 0, 0)</f>
        <v>179.49366261300599</v>
      </c>
    </row>
    <row r="414" spans="1:5" ht="15">
      <c r="A414" s="13">
        <v>54116</v>
      </c>
      <c r="B414" s="4">
        <f>28.4707 * CHOOSE(CONTROL!$C$9, $C$13, 100%, $E$13) + CHOOSE(CONTROL!$C$28, 0.0003, 0)</f>
        <v>28.471</v>
      </c>
      <c r="C414" s="4">
        <f>28.1075 * CHOOSE(CONTROL!$C$9, $C$13, 100%, $E$13) + CHOOSE(CONTROL!$C$28, 0.0003, 0)</f>
        <v>28.107800000000001</v>
      </c>
      <c r="D414" s="4">
        <f>40.2494 * CHOOSE(CONTROL!$C$9, $C$13, 100%, $E$13) + CHOOSE(CONTROL!$C$28, 0, 0)</f>
        <v>40.249400000000001</v>
      </c>
      <c r="E414" s="4">
        <f>183.755549531708 * CHOOSE(CONTROL!$C$9, $C$13, 100%, $E$13) + CHOOSE(CONTROL!$C$28, 0, 0)</f>
        <v>183.755549531708</v>
      </c>
    </row>
    <row r="415" spans="1:5" ht="15">
      <c r="A415" s="13">
        <v>54148</v>
      </c>
      <c r="B415" s="4">
        <f>30.1577 * CHOOSE(CONTROL!$C$9, $C$13, 100%, $E$13) + CHOOSE(CONTROL!$C$28, 0.0003, 0)</f>
        <v>30.157999999999998</v>
      </c>
      <c r="C415" s="4">
        <f>29.7944 * CHOOSE(CONTROL!$C$9, $C$13, 100%, $E$13) + CHOOSE(CONTROL!$C$28, 0.0003, 0)</f>
        <v>29.794699999999999</v>
      </c>
      <c r="D415" s="4">
        <f>42.2985 * CHOOSE(CONTROL!$C$9, $C$13, 100%, $E$13) + CHOOSE(CONTROL!$C$28, 0, 0)</f>
        <v>42.298499999999997</v>
      </c>
      <c r="E415" s="4">
        <f>194.947491070646 * CHOOSE(CONTROL!$C$9, $C$13, 100%, $E$13) + CHOOSE(CONTROL!$C$28, 0, 0)</f>
        <v>194.94749107064601</v>
      </c>
    </row>
    <row r="416" spans="1:5" ht="15">
      <c r="A416" s="13">
        <v>54178</v>
      </c>
      <c r="B416" s="4">
        <f>31.3563 * CHOOSE(CONTROL!$C$9, $C$13, 100%, $E$13) + CHOOSE(CONTROL!$C$28, 0.0003, 0)</f>
        <v>31.3566</v>
      </c>
      <c r="C416" s="4">
        <f>30.993 * CHOOSE(CONTROL!$C$9, $C$13, 100%, $E$13) + CHOOSE(CONTROL!$C$28, 0.0003, 0)</f>
        <v>30.993299999999998</v>
      </c>
      <c r="D416" s="4">
        <f>43.4789 * CHOOSE(CONTROL!$C$9, $C$13, 100%, $E$13) + CHOOSE(CONTROL!$C$28, 0, 0)</f>
        <v>43.478900000000003</v>
      </c>
      <c r="E416" s="4">
        <f>202.899514686294 * CHOOSE(CONTROL!$C$9, $C$13, 100%, $E$13) + CHOOSE(CONTROL!$C$28, 0, 0)</f>
        <v>202.899514686294</v>
      </c>
    </row>
    <row r="417" spans="1:5" ht="15">
      <c r="A417" s="13">
        <v>54209</v>
      </c>
      <c r="B417" s="4">
        <f>32.0886 * CHOOSE(CONTROL!$C$9, $C$13, 100%, $E$13) + CHOOSE(CONTROL!$C$28, 0.0136, 0)</f>
        <v>32.102199999999996</v>
      </c>
      <c r="C417" s="4">
        <f>31.7253 * CHOOSE(CONTROL!$C$9, $C$13, 100%, $E$13) + CHOOSE(CONTROL!$C$28, 0.0136, 0)</f>
        <v>31.738900000000001</v>
      </c>
      <c r="D417" s="4">
        <f>43.0125 * CHOOSE(CONTROL!$C$9, $C$13, 100%, $E$13) + CHOOSE(CONTROL!$C$28, 0, 0)</f>
        <v>43.012500000000003</v>
      </c>
      <c r="E417" s="4">
        <f>207.758010532047 * CHOOSE(CONTROL!$C$9, $C$13, 100%, $E$13) + CHOOSE(CONTROL!$C$28, 0, 0)</f>
        <v>207.758010532047</v>
      </c>
    </row>
    <row r="418" spans="1:5" ht="15">
      <c r="A418" s="13">
        <v>54239</v>
      </c>
      <c r="B418" s="4">
        <f>32.1877 * CHOOSE(CONTROL!$C$9, $C$13, 100%, $E$13) + CHOOSE(CONTROL!$C$28, 0.0136, 0)</f>
        <v>32.201299999999996</v>
      </c>
      <c r="C418" s="4">
        <f>31.8244 * CHOOSE(CONTROL!$C$9, $C$13, 100%, $E$13) + CHOOSE(CONTROL!$C$28, 0.0136, 0)</f>
        <v>31.838000000000001</v>
      </c>
      <c r="D418" s="4">
        <f>43.3923 * CHOOSE(CONTROL!$C$9, $C$13, 100%, $E$13) + CHOOSE(CONTROL!$C$28, 0, 0)</f>
        <v>43.392299999999999</v>
      </c>
      <c r="E418" s="4">
        <f>208.415385183149 * CHOOSE(CONTROL!$C$9, $C$13, 100%, $E$13) + CHOOSE(CONTROL!$C$28, 0, 0)</f>
        <v>208.415385183149</v>
      </c>
    </row>
    <row r="419" spans="1:5" ht="15">
      <c r="A419" s="13">
        <v>54270</v>
      </c>
      <c r="B419" s="4">
        <f>32.1777 * CHOOSE(CONTROL!$C$9, $C$13, 100%, $E$13) + CHOOSE(CONTROL!$C$28, 0.0136, 0)</f>
        <v>32.191299999999998</v>
      </c>
      <c r="C419" s="4">
        <f>31.8144 * CHOOSE(CONTROL!$C$9, $C$13, 100%, $E$13) + CHOOSE(CONTROL!$C$28, 0.0136, 0)</f>
        <v>31.827999999999999</v>
      </c>
      <c r="D419" s="4">
        <f>44.0778 * CHOOSE(CONTROL!$C$9, $C$13, 100%, $E$13) + CHOOSE(CONTROL!$C$28, 0, 0)</f>
        <v>44.077800000000003</v>
      </c>
      <c r="E419" s="4">
        <f>208.349095302366 * CHOOSE(CONTROL!$C$9, $C$13, 100%, $E$13) + CHOOSE(CONTROL!$C$28, 0, 0)</f>
        <v>208.34909530236601</v>
      </c>
    </row>
    <row r="420" spans="1:5" ht="15">
      <c r="A420" s="13">
        <v>54301</v>
      </c>
      <c r="B420" s="4">
        <f>32.9296 * CHOOSE(CONTROL!$C$9, $C$13, 100%, $E$13) + CHOOSE(CONTROL!$C$28, 0.0136, 0)</f>
        <v>32.943199999999997</v>
      </c>
      <c r="C420" s="4">
        <f>32.5663 * CHOOSE(CONTROL!$C$9, $C$13, 100%, $E$13) + CHOOSE(CONTROL!$C$28, 0.0136, 0)</f>
        <v>32.579899999999995</v>
      </c>
      <c r="D420" s="4">
        <f>43.6251 * CHOOSE(CONTROL!$C$9, $C$13, 100%, $E$13) + CHOOSE(CONTROL!$C$28, 0, 0)</f>
        <v>43.625100000000003</v>
      </c>
      <c r="E420" s="4">
        <f>213.33740883132 * CHOOSE(CONTROL!$C$9, $C$13, 100%, $E$13) + CHOOSE(CONTROL!$C$28, 0, 0)</f>
        <v>213.33740883132</v>
      </c>
    </row>
    <row r="421" spans="1:5" ht="15">
      <c r="A421" s="13">
        <v>54331</v>
      </c>
      <c r="B421" s="4">
        <f>31.6481 * CHOOSE(CONTROL!$C$9, $C$13, 100%, $E$13) + CHOOSE(CONTROL!$C$28, 0.0136, 0)</f>
        <v>31.6617</v>
      </c>
      <c r="C421" s="4">
        <f>31.2849 * CHOOSE(CONTROL!$C$9, $C$13, 100%, $E$13) + CHOOSE(CONTROL!$C$28, 0.0136, 0)</f>
        <v>31.298500000000001</v>
      </c>
      <c r="D421" s="4">
        <f>43.4112 * CHOOSE(CONTROL!$C$9, $C$13, 100%, $E$13) + CHOOSE(CONTROL!$C$28, 0, 0)</f>
        <v>43.411200000000001</v>
      </c>
      <c r="E421" s="4">
        <f>204.835731620843 * CHOOSE(CONTROL!$C$9, $C$13, 100%, $E$13) + CHOOSE(CONTROL!$C$28, 0, 0)</f>
        <v>204.83573162084301</v>
      </c>
    </row>
    <row r="422" spans="1:5" ht="15">
      <c r="A422" s="13">
        <v>54362</v>
      </c>
      <c r="B422" s="4">
        <f>30.6223 * CHOOSE(CONTROL!$C$9, $C$13, 100%, $E$13) + CHOOSE(CONTROL!$C$28, 0.0003, 0)</f>
        <v>30.622599999999998</v>
      </c>
      <c r="C422" s="4">
        <f>30.259 * CHOOSE(CONTROL!$C$9, $C$13, 100%, $E$13) + CHOOSE(CONTROL!$C$28, 0.0003, 0)</f>
        <v>30.2593</v>
      </c>
      <c r="D422" s="4">
        <f>42.8386 * CHOOSE(CONTROL!$C$9, $C$13, 100%, $E$13) + CHOOSE(CONTROL!$C$28, 0, 0)</f>
        <v>42.8386</v>
      </c>
      <c r="E422" s="4">
        <f>198.029970527076 * CHOOSE(CONTROL!$C$9, $C$13, 100%, $E$13) + CHOOSE(CONTROL!$C$28, 0, 0)</f>
        <v>198.02997052707599</v>
      </c>
    </row>
    <row r="423" spans="1:5" ht="15">
      <c r="A423" s="13">
        <v>54392</v>
      </c>
      <c r="B423" s="4">
        <f>29.9616 * CHOOSE(CONTROL!$C$9, $C$13, 100%, $E$13) + CHOOSE(CONTROL!$C$28, 0.0003, 0)</f>
        <v>29.9619</v>
      </c>
      <c r="C423" s="4">
        <f>29.5983 * CHOOSE(CONTROL!$C$9, $C$13, 100%, $E$13) + CHOOSE(CONTROL!$C$28, 0.0003, 0)</f>
        <v>29.598599999999998</v>
      </c>
      <c r="D423" s="4">
        <f>42.6417 * CHOOSE(CONTROL!$C$9, $C$13, 100%, $E$13) + CHOOSE(CONTROL!$C$28, 0, 0)</f>
        <v>42.6417</v>
      </c>
      <c r="E423" s="4">
        <f>193.646552160271 * CHOOSE(CONTROL!$C$9, $C$13, 100%, $E$13) + CHOOSE(CONTROL!$C$28, 0, 0)</f>
        <v>193.646552160271</v>
      </c>
    </row>
    <row r="424" spans="1:5" ht="15">
      <c r="A424" s="13">
        <v>54423</v>
      </c>
      <c r="B424" s="4">
        <f>29.5045 * CHOOSE(CONTROL!$C$9, $C$13, 100%, $E$13) + CHOOSE(CONTROL!$C$28, 0.0003, 0)</f>
        <v>29.504799999999999</v>
      </c>
      <c r="C424" s="4">
        <f>29.1412 * CHOOSE(CONTROL!$C$9, $C$13, 100%, $E$13) + CHOOSE(CONTROL!$C$28, 0.0003, 0)</f>
        <v>29.141500000000001</v>
      </c>
      <c r="D424" s="4">
        <f>41.1923 * CHOOSE(CONTROL!$C$9, $C$13, 100%, $E$13) + CHOOSE(CONTROL!$C$28, 0, 0)</f>
        <v>41.192300000000003</v>
      </c>
      <c r="E424" s="4">
        <f>190.613790114428 * CHOOSE(CONTROL!$C$9, $C$13, 100%, $E$13) + CHOOSE(CONTROL!$C$28, 0, 0)</f>
        <v>190.61379011442801</v>
      </c>
    </row>
    <row r="425" spans="1:5" ht="15">
      <c r="A425" s="13">
        <v>54454</v>
      </c>
      <c r="B425" s="4">
        <f>28.2538 * CHOOSE(CONTROL!$C$9, $C$13, 100%, $E$13) + CHOOSE(CONTROL!$C$28, 0.0003, 0)</f>
        <v>28.254099999999998</v>
      </c>
      <c r="C425" s="4">
        <f>27.8905 * CHOOSE(CONTROL!$C$9, $C$13, 100%, $E$13) + CHOOSE(CONTROL!$C$28, 0.0003, 0)</f>
        <v>27.890799999999999</v>
      </c>
      <c r="D425" s="4">
        <f>39.5957 * CHOOSE(CONTROL!$C$9, $C$13, 100%, $E$13) + CHOOSE(CONTROL!$C$28, 0, 0)</f>
        <v>39.595700000000001</v>
      </c>
      <c r="E425" s="4">
        <f>182.673951214159 * CHOOSE(CONTROL!$C$9, $C$13, 100%, $E$13) + CHOOSE(CONTROL!$C$28, 0, 0)</f>
        <v>182.67395121415899</v>
      </c>
    </row>
    <row r="426" spans="1:5" ht="15">
      <c r="A426" s="13">
        <v>54482</v>
      </c>
      <c r="B426" s="4">
        <f>28.9063 * CHOOSE(CONTROL!$C$9, $C$13, 100%, $E$13) + CHOOSE(CONTROL!$C$28, 0.0003, 0)</f>
        <v>28.906600000000001</v>
      </c>
      <c r="C426" s="4">
        <f>28.543 * CHOOSE(CONTROL!$C$9, $C$13, 100%, $E$13) + CHOOSE(CONTROL!$C$28, 0.0003, 0)</f>
        <v>28.543299999999999</v>
      </c>
      <c r="D426" s="4">
        <f>40.9278 * CHOOSE(CONTROL!$C$9, $C$13, 100%, $E$13) + CHOOSE(CONTROL!$C$28, 0, 0)</f>
        <v>40.927799999999998</v>
      </c>
      <c r="E426" s="4">
        <f>187.011350717482 * CHOOSE(CONTROL!$C$9, $C$13, 100%, $E$13) + CHOOSE(CONTROL!$C$28, 0, 0)</f>
        <v>187.011350717482</v>
      </c>
    </row>
    <row r="427" spans="1:5" ht="15">
      <c r="A427" s="13">
        <v>54513</v>
      </c>
      <c r="B427" s="4">
        <f>30.6198 * CHOOSE(CONTROL!$C$9, $C$13, 100%, $E$13) + CHOOSE(CONTROL!$C$28, 0.0003, 0)</f>
        <v>30.620100000000001</v>
      </c>
      <c r="C427" s="4">
        <f>30.2565 * CHOOSE(CONTROL!$C$9, $C$13, 100%, $E$13) + CHOOSE(CONTROL!$C$28, 0.0003, 0)</f>
        <v>30.256799999999998</v>
      </c>
      <c r="D427" s="4">
        <f>43.0132 * CHOOSE(CONTROL!$C$9, $C$13, 100%, $E$13) + CHOOSE(CONTROL!$C$28, 0, 0)</f>
        <v>43.013199999999998</v>
      </c>
      <c r="E427" s="4">
        <f>198.401592316616 * CHOOSE(CONTROL!$C$9, $C$13, 100%, $E$13) + CHOOSE(CONTROL!$C$28, 0, 0)</f>
        <v>198.40159231661599</v>
      </c>
    </row>
    <row r="428" spans="1:5" ht="15">
      <c r="A428" s="13">
        <v>54543</v>
      </c>
      <c r="B428" s="4">
        <f>31.8372 * CHOOSE(CONTROL!$C$9, $C$13, 100%, $E$13) + CHOOSE(CONTROL!$C$28, 0.0003, 0)</f>
        <v>31.837499999999999</v>
      </c>
      <c r="C428" s="4">
        <f>31.4739 * CHOOSE(CONTROL!$C$9, $C$13, 100%, $E$13) + CHOOSE(CONTROL!$C$28, 0.0003, 0)</f>
        <v>31.4742</v>
      </c>
      <c r="D428" s="4">
        <f>44.2144 * CHOOSE(CONTROL!$C$9, $C$13, 100%, $E$13) + CHOOSE(CONTROL!$C$28, 0, 0)</f>
        <v>44.214399999999998</v>
      </c>
      <c r="E428" s="4">
        <f>206.494510767729 * CHOOSE(CONTROL!$C$9, $C$13, 100%, $E$13) + CHOOSE(CONTROL!$C$28, 0, 0)</f>
        <v>206.494510767729</v>
      </c>
    </row>
    <row r="429" spans="1:5" ht="15">
      <c r="A429" s="13">
        <v>54574</v>
      </c>
      <c r="B429" s="4">
        <f>32.581 * CHOOSE(CONTROL!$C$9, $C$13, 100%, $E$13) + CHOOSE(CONTROL!$C$28, 0.0136, 0)</f>
        <v>32.5946</v>
      </c>
      <c r="C429" s="4">
        <f>32.2178 * CHOOSE(CONTROL!$C$9, $C$13, 100%, $E$13) + CHOOSE(CONTROL!$C$28, 0.0136, 0)</f>
        <v>32.231399999999994</v>
      </c>
      <c r="D429" s="4">
        <f>43.7397 * CHOOSE(CONTROL!$C$9, $C$13, 100%, $E$13) + CHOOSE(CONTROL!$C$28, 0, 0)</f>
        <v>43.739699999999999</v>
      </c>
      <c r="E429" s="4">
        <f>211.439089981174 * CHOOSE(CONTROL!$C$9, $C$13, 100%, $E$13) + CHOOSE(CONTROL!$C$28, 0, 0)</f>
        <v>211.43908998117399</v>
      </c>
    </row>
    <row r="430" spans="1:5" ht="15">
      <c r="A430" s="13">
        <v>54604</v>
      </c>
      <c r="B430" s="4">
        <f>32.6817 * CHOOSE(CONTROL!$C$9, $C$13, 100%, $E$13) + CHOOSE(CONTROL!$C$28, 0.0136, 0)</f>
        <v>32.695299999999996</v>
      </c>
      <c r="C430" s="4">
        <f>32.3184 * CHOOSE(CONTROL!$C$9, $C$13, 100%, $E$13) + CHOOSE(CONTROL!$C$28, 0.0136, 0)</f>
        <v>32.331999999999994</v>
      </c>
      <c r="D430" s="4">
        <f>44.1263 * CHOOSE(CONTROL!$C$9, $C$13, 100%, $E$13) + CHOOSE(CONTROL!$C$28, 0, 0)</f>
        <v>44.126300000000001</v>
      </c>
      <c r="E430" s="4">
        <f>212.108112069178 * CHOOSE(CONTROL!$C$9, $C$13, 100%, $E$13) + CHOOSE(CONTROL!$C$28, 0, 0)</f>
        <v>212.10811206917799</v>
      </c>
    </row>
    <row r="431" spans="1:5" ht="15">
      <c r="A431" s="13">
        <v>54635</v>
      </c>
      <c r="B431" s="4">
        <f>32.6715 * CHOOSE(CONTROL!$C$9, $C$13, 100%, $E$13) + CHOOSE(CONTROL!$C$28, 0.0136, 0)</f>
        <v>32.685099999999998</v>
      </c>
      <c r="C431" s="4">
        <f>32.3083 * CHOOSE(CONTROL!$C$9, $C$13, 100%, $E$13) + CHOOSE(CONTROL!$C$28, 0.0136, 0)</f>
        <v>32.321899999999999</v>
      </c>
      <c r="D431" s="4">
        <f>44.8238 * CHOOSE(CONTROL!$C$9, $C$13, 100%, $E$13) + CHOOSE(CONTROL!$C$28, 0, 0)</f>
        <v>44.823799999999999</v>
      </c>
      <c r="E431" s="4">
        <f>212.040647656943 * CHOOSE(CONTROL!$C$9, $C$13, 100%, $E$13) + CHOOSE(CONTROL!$C$28, 0, 0)</f>
        <v>212.04064765694301</v>
      </c>
    </row>
    <row r="432" spans="1:5" ht="15">
      <c r="A432" s="13">
        <v>54666</v>
      </c>
      <c r="B432" s="4">
        <f>33.4352 * CHOOSE(CONTROL!$C$9, $C$13, 100%, $E$13) + CHOOSE(CONTROL!$C$28, 0.0136, 0)</f>
        <v>33.448799999999999</v>
      </c>
      <c r="C432" s="4">
        <f>33.072 * CHOOSE(CONTROL!$C$9, $C$13, 100%, $E$13) + CHOOSE(CONTROL!$C$28, 0.0136, 0)</f>
        <v>33.085599999999999</v>
      </c>
      <c r="D432" s="4">
        <f>44.3632 * CHOOSE(CONTROL!$C$9, $C$13, 100%, $E$13) + CHOOSE(CONTROL!$C$28, 0, 0)</f>
        <v>44.363199999999999</v>
      </c>
      <c r="E432" s="4">
        <f>217.117344677682 * CHOOSE(CONTROL!$C$9, $C$13, 100%, $E$13) + CHOOSE(CONTROL!$C$28, 0, 0)</f>
        <v>217.11734467768201</v>
      </c>
    </row>
    <row r="433" spans="1:5" ht="15">
      <c r="A433" s="13">
        <v>54696</v>
      </c>
      <c r="B433" s="4">
        <f>32.1336 * CHOOSE(CONTROL!$C$9, $C$13, 100%, $E$13) + CHOOSE(CONTROL!$C$28, 0.0136, 0)</f>
        <v>32.147199999999998</v>
      </c>
      <c r="C433" s="4">
        <f>31.7704 * CHOOSE(CONTROL!$C$9, $C$13, 100%, $E$13) + CHOOSE(CONTROL!$C$28, 0.0136, 0)</f>
        <v>31.783999999999999</v>
      </c>
      <c r="D433" s="4">
        <f>44.1455 * CHOOSE(CONTROL!$C$9, $C$13, 100%, $E$13) + CHOOSE(CONTROL!$C$28, 0, 0)</f>
        <v>44.145499999999998</v>
      </c>
      <c r="E433" s="4">
        <f>208.465033808448 * CHOOSE(CONTROL!$C$9, $C$13, 100%, $E$13) + CHOOSE(CONTROL!$C$28, 0, 0)</f>
        <v>208.465033808448</v>
      </c>
    </row>
    <row r="434" spans="1:5" ht="15">
      <c r="A434" s="13">
        <v>54727</v>
      </c>
      <c r="B434" s="4">
        <f>31.0917 * CHOOSE(CONTROL!$C$9, $C$13, 100%, $E$13) + CHOOSE(CONTROL!$C$28, 0.0003, 0)</f>
        <v>31.091999999999999</v>
      </c>
      <c r="C434" s="4">
        <f>30.7284 * CHOOSE(CONTROL!$C$9, $C$13, 100%, $E$13) + CHOOSE(CONTROL!$C$28, 0.0003, 0)</f>
        <v>30.7287</v>
      </c>
      <c r="D434" s="4">
        <f>43.5628 * CHOOSE(CONTROL!$C$9, $C$13, 100%, $E$13) + CHOOSE(CONTROL!$C$28, 0, 0)</f>
        <v>43.562800000000003</v>
      </c>
      <c r="E434" s="4">
        <f>201.538687485578 * CHOOSE(CONTROL!$C$9, $C$13, 100%, $E$13) + CHOOSE(CONTROL!$C$28, 0, 0)</f>
        <v>201.53868748557801</v>
      </c>
    </row>
    <row r="435" spans="1:5" ht="15">
      <c r="A435" s="13">
        <v>54757</v>
      </c>
      <c r="B435" s="4">
        <f>30.4206 * CHOOSE(CONTROL!$C$9, $C$13, 100%, $E$13) + CHOOSE(CONTROL!$C$28, 0.0003, 0)</f>
        <v>30.4209</v>
      </c>
      <c r="C435" s="4">
        <f>30.0573 * CHOOSE(CONTROL!$C$9, $C$13, 100%, $E$13) + CHOOSE(CONTROL!$C$28, 0.0003, 0)</f>
        <v>30.057600000000001</v>
      </c>
      <c r="D435" s="4">
        <f>43.3624 * CHOOSE(CONTROL!$C$9, $C$13, 100%, $E$13) + CHOOSE(CONTROL!$C$28, 0, 0)</f>
        <v>43.362400000000001</v>
      </c>
      <c r="E435" s="4">
        <f>197.07760322649 * CHOOSE(CONTROL!$C$9, $C$13, 100%, $E$13) + CHOOSE(CONTROL!$C$28, 0, 0)</f>
        <v>197.07760322649</v>
      </c>
    </row>
    <row r="436" spans="1:5" ht="15">
      <c r="A436" s="13">
        <v>54788</v>
      </c>
      <c r="B436" s="4">
        <f>29.9563 * CHOOSE(CONTROL!$C$9, $C$13, 100%, $E$13) + CHOOSE(CONTROL!$C$28, 0.0003, 0)</f>
        <v>29.956599999999998</v>
      </c>
      <c r="C436" s="4">
        <f>29.593 * CHOOSE(CONTROL!$C$9, $C$13, 100%, $E$13) + CHOOSE(CONTROL!$C$28, 0.0003, 0)</f>
        <v>29.593299999999999</v>
      </c>
      <c r="D436" s="4">
        <f>41.8874 * CHOOSE(CONTROL!$C$9, $C$13, 100%, $E$13) + CHOOSE(CONTROL!$C$28, 0, 0)</f>
        <v>41.8874</v>
      </c>
      <c r="E436" s="4">
        <f>193.991106366705 * CHOOSE(CONTROL!$C$9, $C$13, 100%, $E$13) + CHOOSE(CONTROL!$C$28, 0, 0)</f>
        <v>193.991106366705</v>
      </c>
    </row>
    <row r="437" spans="1:5" ht="15">
      <c r="A437" s="13">
        <v>54819</v>
      </c>
      <c r="B437" s="4">
        <f>28.6859 * CHOOSE(CONTROL!$C$9, $C$13, 100%, $E$13) + CHOOSE(CONTROL!$C$28, 0.0003, 0)</f>
        <v>28.686199999999999</v>
      </c>
      <c r="C437" s="4">
        <f>28.3226 * CHOOSE(CONTROL!$C$9, $C$13, 100%, $E$13) + CHOOSE(CONTROL!$C$28, 0.0003, 0)</f>
        <v>28.322900000000001</v>
      </c>
      <c r="D437" s="4">
        <f>40.2625 * CHOOSE(CONTROL!$C$9, $C$13, 100%, $E$13) + CHOOSE(CONTROL!$C$28, 0, 0)</f>
        <v>40.262500000000003</v>
      </c>
      <c r="E437" s="4">
        <f>185.910588521106 * CHOOSE(CONTROL!$C$9, $C$13, 100%, $E$13) + CHOOSE(CONTROL!$C$28, 0, 0)</f>
        <v>185.91058852110601</v>
      </c>
    </row>
    <row r="438" spans="1:5" ht="15">
      <c r="A438" s="13">
        <v>54847</v>
      </c>
      <c r="B438" s="4">
        <f>29.3487 * CHOOSE(CONTROL!$C$9, $C$13, 100%, $E$13) + CHOOSE(CONTROL!$C$28, 0.0003, 0)</f>
        <v>29.349</v>
      </c>
      <c r="C438" s="4">
        <f>28.9854 * CHOOSE(CONTROL!$C$9, $C$13, 100%, $E$13) + CHOOSE(CONTROL!$C$28, 0.0003, 0)</f>
        <v>28.985699999999998</v>
      </c>
      <c r="D438" s="4">
        <f>41.6182 * CHOOSE(CONTROL!$C$9, $C$13, 100%, $E$13) + CHOOSE(CONTROL!$C$28, 0, 0)</f>
        <v>41.618200000000002</v>
      </c>
      <c r="E438" s="4">
        <f>190.324838549391 * CHOOSE(CONTROL!$C$9, $C$13, 100%, $E$13) + CHOOSE(CONTROL!$C$28, 0, 0)</f>
        <v>190.32483854939099</v>
      </c>
    </row>
    <row r="439" spans="1:5" ht="15">
      <c r="A439" s="13">
        <v>54878</v>
      </c>
      <c r="B439" s="4">
        <f>31.0891 * CHOOSE(CONTROL!$C$9, $C$13, 100%, $E$13) + CHOOSE(CONTROL!$C$28, 0.0003, 0)</f>
        <v>31.089399999999998</v>
      </c>
      <c r="C439" s="4">
        <f>30.7258 * CHOOSE(CONTROL!$C$9, $C$13, 100%, $E$13) + CHOOSE(CONTROL!$C$28, 0.0003, 0)</f>
        <v>30.726099999999999</v>
      </c>
      <c r="D439" s="4">
        <f>43.7404 * CHOOSE(CONTROL!$C$9, $C$13, 100%, $E$13) + CHOOSE(CONTROL!$C$28, 0, 0)</f>
        <v>43.740400000000001</v>
      </c>
      <c r="E439" s="4">
        <f>201.916893711159 * CHOOSE(CONTROL!$C$9, $C$13, 100%, $E$13) + CHOOSE(CONTROL!$C$28, 0, 0)</f>
        <v>201.91689371115899</v>
      </c>
    </row>
    <row r="440" spans="1:5" ht="15">
      <c r="A440" s="13">
        <v>54908</v>
      </c>
      <c r="B440" s="4">
        <f>32.3257 * CHOOSE(CONTROL!$C$9, $C$13, 100%, $E$13) + CHOOSE(CONTROL!$C$28, 0.0003, 0)</f>
        <v>32.326000000000001</v>
      </c>
      <c r="C440" s="4">
        <f>31.9624 * CHOOSE(CONTROL!$C$9, $C$13, 100%, $E$13) + CHOOSE(CONTROL!$C$28, 0.0003, 0)</f>
        <v>31.962699999999998</v>
      </c>
      <c r="D440" s="4">
        <f>44.9629 * CHOOSE(CONTROL!$C$9, $C$13, 100%, $E$13) + CHOOSE(CONTROL!$C$28, 0, 0)</f>
        <v>44.962899999999998</v>
      </c>
      <c r="E440" s="4">
        <f>210.153203388043 * CHOOSE(CONTROL!$C$9, $C$13, 100%, $E$13) + CHOOSE(CONTROL!$C$28, 0, 0)</f>
        <v>210.15320338804301</v>
      </c>
    </row>
    <row r="441" spans="1:5" ht="15">
      <c r="A441" s="13">
        <v>54939</v>
      </c>
      <c r="B441" s="4">
        <f>33.0812 * CHOOSE(CONTROL!$C$9, $C$13, 100%, $E$13) + CHOOSE(CONTROL!$C$28, 0.0136, 0)</f>
        <v>33.094799999999999</v>
      </c>
      <c r="C441" s="4">
        <f>32.7179 * CHOOSE(CONTROL!$C$9, $C$13, 100%, $E$13) + CHOOSE(CONTROL!$C$28, 0.0136, 0)</f>
        <v>32.731499999999997</v>
      </c>
      <c r="D441" s="4">
        <f>44.4798 * CHOOSE(CONTROL!$C$9, $C$13, 100%, $E$13) + CHOOSE(CONTROL!$C$28, 0, 0)</f>
        <v>44.479799999999997</v>
      </c>
      <c r="E441" s="4">
        <f>215.185391203825 * CHOOSE(CONTROL!$C$9, $C$13, 100%, $E$13) + CHOOSE(CONTROL!$C$28, 0, 0)</f>
        <v>215.18539120382499</v>
      </c>
    </row>
    <row r="442" spans="1:5" ht="15">
      <c r="A442" s="13">
        <v>54969</v>
      </c>
      <c r="B442" s="4">
        <f>33.1834 * CHOOSE(CONTROL!$C$9, $C$13, 100%, $E$13) + CHOOSE(CONTROL!$C$28, 0.0136, 0)</f>
        <v>33.196999999999996</v>
      </c>
      <c r="C442" s="4">
        <f>32.8202 * CHOOSE(CONTROL!$C$9, $C$13, 100%, $E$13) + CHOOSE(CONTROL!$C$28, 0.0136, 0)</f>
        <v>32.833799999999997</v>
      </c>
      <c r="D442" s="4">
        <f>44.8732 * CHOOSE(CONTROL!$C$9, $C$13, 100%, $E$13) + CHOOSE(CONTROL!$C$28, 0, 0)</f>
        <v>44.873199999999997</v>
      </c>
      <c r="E442" s="4">
        <f>215.866267099309 * CHOOSE(CONTROL!$C$9, $C$13, 100%, $E$13) + CHOOSE(CONTROL!$C$28, 0, 0)</f>
        <v>215.866267099309</v>
      </c>
    </row>
    <row r="443" spans="1:5" ht="15">
      <c r="A443" s="13">
        <v>55000</v>
      </c>
      <c r="B443" s="4">
        <f>33.1731 * CHOOSE(CONTROL!$C$9, $C$13, 100%, $E$13) + CHOOSE(CONTROL!$C$28, 0.0136, 0)</f>
        <v>33.186699999999995</v>
      </c>
      <c r="C443" s="4">
        <f>32.8099 * CHOOSE(CONTROL!$C$9, $C$13, 100%, $E$13) + CHOOSE(CONTROL!$C$28, 0.0136, 0)</f>
        <v>32.823499999999996</v>
      </c>
      <c r="D443" s="4">
        <f>45.5831 * CHOOSE(CONTROL!$C$9, $C$13, 100%, $E$13) + CHOOSE(CONTROL!$C$28, 0, 0)</f>
        <v>45.583100000000002</v>
      </c>
      <c r="E443" s="4">
        <f>215.797607345143 * CHOOSE(CONTROL!$C$9, $C$13, 100%, $E$13) + CHOOSE(CONTROL!$C$28, 0, 0)</f>
        <v>215.79760734514301</v>
      </c>
    </row>
    <row r="444" spans="1:5" ht="15">
      <c r="A444" s="13">
        <v>55031</v>
      </c>
      <c r="B444" s="4">
        <f>33.9488 * CHOOSE(CONTROL!$C$9, $C$13, 100%, $E$13) + CHOOSE(CONTROL!$C$28, 0.0136, 0)</f>
        <v>33.962399999999995</v>
      </c>
      <c r="C444" s="4">
        <f>33.5856 * CHOOSE(CONTROL!$C$9, $C$13, 100%, $E$13) + CHOOSE(CONTROL!$C$28, 0.0136, 0)</f>
        <v>33.599199999999996</v>
      </c>
      <c r="D444" s="4">
        <f>45.1143 * CHOOSE(CONTROL!$C$9, $C$13, 100%, $E$13) + CHOOSE(CONTROL!$C$28, 0, 0)</f>
        <v>45.1143</v>
      </c>
      <c r="E444" s="4">
        <f>220.964253846168 * CHOOSE(CONTROL!$C$9, $C$13, 100%, $E$13) + CHOOSE(CONTROL!$C$28, 0, 0)</f>
        <v>220.96425384616799</v>
      </c>
    </row>
    <row r="445" spans="1:5" ht="15">
      <c r="A445" s="13">
        <v>55061</v>
      </c>
      <c r="B445" s="4">
        <f>32.6268 * CHOOSE(CONTROL!$C$9, $C$13, 100%, $E$13) + CHOOSE(CONTROL!$C$28, 0.0136, 0)</f>
        <v>32.6404</v>
      </c>
      <c r="C445" s="4">
        <f>32.2635 * CHOOSE(CONTROL!$C$9, $C$13, 100%, $E$13) + CHOOSE(CONTROL!$C$28, 0.0136, 0)</f>
        <v>32.277099999999997</v>
      </c>
      <c r="D445" s="4">
        <f>44.8928 * CHOOSE(CONTROL!$C$9, $C$13, 100%, $E$13) + CHOOSE(CONTROL!$C$28, 0, 0)</f>
        <v>44.892800000000001</v>
      </c>
      <c r="E445" s="4">
        <f>212.158640374321 * CHOOSE(CONTROL!$C$9, $C$13, 100%, $E$13) + CHOOSE(CONTROL!$C$28, 0, 0)</f>
        <v>212.15864037432101</v>
      </c>
    </row>
    <row r="446" spans="1:5" ht="15">
      <c r="A446" s="13">
        <v>55092</v>
      </c>
      <c r="B446" s="4">
        <f>31.5684 * CHOOSE(CONTROL!$C$9, $C$13, 100%, $E$13) + CHOOSE(CONTROL!$C$28, 0.0003, 0)</f>
        <v>31.5687</v>
      </c>
      <c r="C446" s="4">
        <f>31.2052 * CHOOSE(CONTROL!$C$9, $C$13, 100%, $E$13) + CHOOSE(CONTROL!$C$28, 0.0003, 0)</f>
        <v>31.205500000000001</v>
      </c>
      <c r="D446" s="4">
        <f>44.2997 * CHOOSE(CONTROL!$C$9, $C$13, 100%, $E$13) + CHOOSE(CONTROL!$C$28, 0, 0)</f>
        <v>44.299700000000001</v>
      </c>
      <c r="E446" s="4">
        <f>205.109572279899 * CHOOSE(CONTROL!$C$9, $C$13, 100%, $E$13) + CHOOSE(CONTROL!$C$28, 0, 0)</f>
        <v>205.109572279899</v>
      </c>
    </row>
    <row r="447" spans="1:5" ht="15">
      <c r="A447" s="13">
        <v>55122</v>
      </c>
      <c r="B447" s="4">
        <f>30.8868 * CHOOSE(CONTROL!$C$9, $C$13, 100%, $E$13) + CHOOSE(CONTROL!$C$28, 0.0003, 0)</f>
        <v>30.8871</v>
      </c>
      <c r="C447" s="4">
        <f>30.5235 * CHOOSE(CONTROL!$C$9, $C$13, 100%, $E$13) + CHOOSE(CONTROL!$C$28, 0.0003, 0)</f>
        <v>30.523799999999998</v>
      </c>
      <c r="D447" s="4">
        <f>44.0958 * CHOOSE(CONTROL!$C$9, $C$13, 100%, $E$13) + CHOOSE(CONTROL!$C$28, 0, 0)</f>
        <v>44.095799999999997</v>
      </c>
      <c r="E447" s="4">
        <f>200.569446035643 * CHOOSE(CONTROL!$C$9, $C$13, 100%, $E$13) + CHOOSE(CONTROL!$C$28, 0, 0)</f>
        <v>200.56944603564301</v>
      </c>
    </row>
    <row r="448" spans="1:5" ht="15">
      <c r="A448" s="13">
        <v>55153</v>
      </c>
      <c r="B448" s="4">
        <f>30.4152 * CHOOSE(CONTROL!$C$9, $C$13, 100%, $E$13) + CHOOSE(CONTROL!$C$28, 0.0003, 0)</f>
        <v>30.415499999999998</v>
      </c>
      <c r="C448" s="4">
        <f>30.0519 * CHOOSE(CONTROL!$C$9, $C$13, 100%, $E$13) + CHOOSE(CONTROL!$C$28, 0.0003, 0)</f>
        <v>30.052199999999999</v>
      </c>
      <c r="D448" s="4">
        <f>42.5948 * CHOOSE(CONTROL!$C$9, $C$13, 100%, $E$13) + CHOOSE(CONTROL!$C$28, 0, 0)</f>
        <v>42.594799999999999</v>
      </c>
      <c r="E448" s="4">
        <f>197.428262282528 * CHOOSE(CONTROL!$C$9, $C$13, 100%, $E$13) + CHOOSE(CONTROL!$C$28, 0, 0)</f>
        <v>197.42826228252801</v>
      </c>
    </row>
    <row r="449" spans="1:5" ht="15">
      <c r="A449" s="13">
        <v>55184</v>
      </c>
      <c r="B449" s="4">
        <f>29.1248 * CHOOSE(CONTROL!$C$9, $C$13, 100%, $E$13) + CHOOSE(CONTROL!$C$28, 0.0003, 0)</f>
        <v>29.1251</v>
      </c>
      <c r="C449" s="4">
        <f>28.7616 * CHOOSE(CONTROL!$C$9, $C$13, 100%, $E$13) + CHOOSE(CONTROL!$C$28, 0.0003, 0)</f>
        <v>28.761900000000001</v>
      </c>
      <c r="D449" s="4">
        <f>40.9412 * CHOOSE(CONTROL!$C$9, $C$13, 100%, $E$13) + CHOOSE(CONTROL!$C$28, 0, 0)</f>
        <v>40.941200000000002</v>
      </c>
      <c r="E449" s="4">
        <f>189.204572926462 * CHOOSE(CONTROL!$C$9, $C$13, 100%, $E$13) + CHOOSE(CONTROL!$C$28, 0, 0)</f>
        <v>189.20457292646199</v>
      </c>
    </row>
    <row r="450" spans="1:5" ht="15">
      <c r="A450" s="13">
        <v>55212</v>
      </c>
      <c r="B450" s="4">
        <f>29.798 * CHOOSE(CONTROL!$C$9, $C$13, 100%, $E$13) + CHOOSE(CONTROL!$C$28, 0.0003, 0)</f>
        <v>29.798299999999998</v>
      </c>
      <c r="C450" s="4">
        <f>29.4347 * CHOOSE(CONTROL!$C$9, $C$13, 100%, $E$13) + CHOOSE(CONTROL!$C$28, 0.0003, 0)</f>
        <v>29.434999999999999</v>
      </c>
      <c r="D450" s="4">
        <f>42.3208 * CHOOSE(CONTROL!$C$9, $C$13, 100%, $E$13) + CHOOSE(CONTROL!$C$28, 0, 0)</f>
        <v>42.320799999999998</v>
      </c>
      <c r="E450" s="4">
        <f>193.697035125824 * CHOOSE(CONTROL!$C$9, $C$13, 100%, $E$13) + CHOOSE(CONTROL!$C$28, 0, 0)</f>
        <v>193.69703512582399</v>
      </c>
    </row>
    <row r="451" spans="1:5" ht="15">
      <c r="A451" s="13">
        <v>55243</v>
      </c>
      <c r="B451" s="4">
        <f>31.5658 * CHOOSE(CONTROL!$C$9, $C$13, 100%, $E$13) + CHOOSE(CONTROL!$C$28, 0.0003, 0)</f>
        <v>31.566099999999999</v>
      </c>
      <c r="C451" s="4">
        <f>31.2025 * CHOOSE(CONTROL!$C$9, $C$13, 100%, $E$13) + CHOOSE(CONTROL!$C$28, 0.0003, 0)</f>
        <v>31.2028</v>
      </c>
      <c r="D451" s="4">
        <f>44.4805 * CHOOSE(CONTROL!$C$9, $C$13, 100%, $E$13) + CHOOSE(CONTROL!$C$28, 0, 0)</f>
        <v>44.480499999999999</v>
      </c>
      <c r="E451" s="4">
        <f>205.494479605288 * CHOOSE(CONTROL!$C$9, $C$13, 100%, $E$13) + CHOOSE(CONTROL!$C$28, 0, 0)</f>
        <v>205.49447960528801</v>
      </c>
    </row>
    <row r="452" spans="1:5" ht="15">
      <c r="A452" s="13">
        <v>55273</v>
      </c>
      <c r="B452" s="4">
        <f>32.8218 * CHOOSE(CONTROL!$C$9, $C$13, 100%, $E$13) + CHOOSE(CONTROL!$C$28, 0.0003, 0)</f>
        <v>32.822100000000006</v>
      </c>
      <c r="C452" s="4">
        <f>32.4586 * CHOOSE(CONTROL!$C$9, $C$13, 100%, $E$13) + CHOOSE(CONTROL!$C$28, 0.0003, 0)</f>
        <v>32.4589</v>
      </c>
      <c r="D452" s="4">
        <f>45.7246 * CHOOSE(CONTROL!$C$9, $C$13, 100%, $E$13) + CHOOSE(CONTROL!$C$28, 0, 0)</f>
        <v>45.724600000000002</v>
      </c>
      <c r="E452" s="4">
        <f>213.876721129568 * CHOOSE(CONTROL!$C$9, $C$13, 100%, $E$13) + CHOOSE(CONTROL!$C$28, 0, 0)</f>
        <v>213.87672112956801</v>
      </c>
    </row>
    <row r="453" spans="1:5" ht="15">
      <c r="A453" s="13">
        <v>55304</v>
      </c>
      <c r="B453" s="4">
        <f>33.5893 * CHOOSE(CONTROL!$C$9, $C$13, 100%, $E$13) + CHOOSE(CONTROL!$C$28, 0.0136, 0)</f>
        <v>33.602899999999998</v>
      </c>
      <c r="C453" s="4">
        <f>33.226 * CHOOSE(CONTROL!$C$9, $C$13, 100%, $E$13) + CHOOSE(CONTROL!$C$28, 0.0136, 0)</f>
        <v>33.239599999999996</v>
      </c>
      <c r="D453" s="4">
        <f>45.233 * CHOOSE(CONTROL!$C$9, $C$13, 100%, $E$13) + CHOOSE(CONTROL!$C$28, 0, 0)</f>
        <v>45.232999999999997</v>
      </c>
      <c r="E453" s="4">
        <f>218.998069806611 * CHOOSE(CONTROL!$C$9, $C$13, 100%, $E$13) + CHOOSE(CONTROL!$C$28, 0, 0)</f>
        <v>218.998069806611</v>
      </c>
    </row>
    <row r="454" spans="1:5" ht="15">
      <c r="A454" s="13">
        <v>55334</v>
      </c>
      <c r="B454" s="4">
        <f>33.6931 * CHOOSE(CONTROL!$C$9, $C$13, 100%, $E$13) + CHOOSE(CONTROL!$C$28, 0.0136, 0)</f>
        <v>33.706699999999998</v>
      </c>
      <c r="C454" s="4">
        <f>33.3298 * CHOOSE(CONTROL!$C$9, $C$13, 100%, $E$13) + CHOOSE(CONTROL!$C$28, 0.0136, 0)</f>
        <v>33.343399999999995</v>
      </c>
      <c r="D454" s="4">
        <f>45.6333 * CHOOSE(CONTROL!$C$9, $C$13, 100%, $E$13) + CHOOSE(CONTROL!$C$28, 0, 0)</f>
        <v>45.633299999999998</v>
      </c>
      <c r="E454" s="4">
        <f>219.691009536648 * CHOOSE(CONTROL!$C$9, $C$13, 100%, $E$13) + CHOOSE(CONTROL!$C$28, 0, 0)</f>
        <v>219.69100953664801</v>
      </c>
    </row>
    <row r="455" spans="1:5" ht="15">
      <c r="A455" s="13">
        <v>55365</v>
      </c>
      <c r="B455" s="4">
        <f>33.6826 * CHOOSE(CONTROL!$C$9, $C$13, 100%, $E$13) + CHOOSE(CONTROL!$C$28, 0.0136, 0)</f>
        <v>33.696199999999997</v>
      </c>
      <c r="C455" s="4">
        <f>33.3193 * CHOOSE(CONTROL!$C$9, $C$13, 100%, $E$13) + CHOOSE(CONTROL!$C$28, 0.0136, 0)</f>
        <v>33.332899999999995</v>
      </c>
      <c r="D455" s="4">
        <f>46.3557 * CHOOSE(CONTROL!$C$9, $C$13, 100%, $E$13) + CHOOSE(CONTROL!$C$28, 0, 0)</f>
        <v>46.355699999999999</v>
      </c>
      <c r="E455" s="4">
        <f>219.62113326135 * CHOOSE(CONTROL!$C$9, $C$13, 100%, $E$13) + CHOOSE(CONTROL!$C$28, 0, 0)</f>
        <v>219.62113326135</v>
      </c>
    </row>
    <row r="456" spans="1:5" ht="15">
      <c r="A456" s="13">
        <v>55396</v>
      </c>
      <c r="B456" s="4">
        <f>34.4705 * CHOOSE(CONTROL!$C$9, $C$13, 100%, $E$13) + CHOOSE(CONTROL!$C$28, 0.0136, 0)</f>
        <v>34.484099999999998</v>
      </c>
      <c r="C456" s="4">
        <f>34.1072 * CHOOSE(CONTROL!$C$9, $C$13, 100%, $E$13) + CHOOSE(CONTROL!$C$28, 0.0136, 0)</f>
        <v>34.120799999999996</v>
      </c>
      <c r="D456" s="4">
        <f>45.8786 * CHOOSE(CONTROL!$C$9, $C$13, 100%, $E$13) + CHOOSE(CONTROL!$C$28, 0, 0)</f>
        <v>45.878599999999999</v>
      </c>
      <c r="E456" s="4">
        <f>224.879322977519 * CHOOSE(CONTROL!$C$9, $C$13, 100%, $E$13) + CHOOSE(CONTROL!$C$28, 0, 0)</f>
        <v>224.879322977519</v>
      </c>
    </row>
    <row r="457" spans="1:5" ht="15">
      <c r="A457" s="13">
        <v>55426</v>
      </c>
      <c r="B457" s="4">
        <f>33.1277 * CHOOSE(CONTROL!$C$9, $C$13, 100%, $E$13) + CHOOSE(CONTROL!$C$28, 0.0136, 0)</f>
        <v>33.141299999999994</v>
      </c>
      <c r="C457" s="4">
        <f>32.7644 * CHOOSE(CONTROL!$C$9, $C$13, 100%, $E$13) + CHOOSE(CONTROL!$C$28, 0.0136, 0)</f>
        <v>32.777999999999999</v>
      </c>
      <c r="D457" s="4">
        <f>45.6532 * CHOOSE(CONTROL!$C$9, $C$13, 100%, $E$13) + CHOOSE(CONTROL!$C$28, 0, 0)</f>
        <v>45.653199999999998</v>
      </c>
      <c r="E457" s="4">
        <f>215.917690670561 * CHOOSE(CONTROL!$C$9, $C$13, 100%, $E$13) + CHOOSE(CONTROL!$C$28, 0, 0)</f>
        <v>215.917690670561</v>
      </c>
    </row>
    <row r="458" spans="1:5" ht="15">
      <c r="A458" s="13">
        <v>55457</v>
      </c>
      <c r="B458" s="4">
        <f>32.0527 * CHOOSE(CONTROL!$C$9, $C$13, 100%, $E$13) + CHOOSE(CONTROL!$C$28, 0.0003, 0)</f>
        <v>32.053000000000004</v>
      </c>
      <c r="C458" s="4">
        <f>31.6894 * CHOOSE(CONTROL!$C$9, $C$13, 100%, $E$13) + CHOOSE(CONTROL!$C$28, 0.0003, 0)</f>
        <v>31.689699999999998</v>
      </c>
      <c r="D458" s="4">
        <f>45.0497 * CHOOSE(CONTROL!$C$9, $C$13, 100%, $E$13) + CHOOSE(CONTROL!$C$28, 0, 0)</f>
        <v>45.049700000000001</v>
      </c>
      <c r="E458" s="4">
        <f>208.743726406641 * CHOOSE(CONTROL!$C$9, $C$13, 100%, $E$13) + CHOOSE(CONTROL!$C$28, 0, 0)</f>
        <v>208.743726406641</v>
      </c>
    </row>
    <row r="459" spans="1:5" ht="15">
      <c r="A459" s="13">
        <v>55487</v>
      </c>
      <c r="B459" s="4">
        <f>31.3603 * CHOOSE(CONTROL!$C$9, $C$13, 100%, $E$13) + CHOOSE(CONTROL!$C$28, 0.0003, 0)</f>
        <v>31.360599999999998</v>
      </c>
      <c r="C459" s="4">
        <f>30.997 * CHOOSE(CONTROL!$C$9, $C$13, 100%, $E$13) + CHOOSE(CONTROL!$C$28, 0.0003, 0)</f>
        <v>30.997299999999999</v>
      </c>
      <c r="D459" s="4">
        <f>44.8422 * CHOOSE(CONTROL!$C$9, $C$13, 100%, $E$13) + CHOOSE(CONTROL!$C$28, 0, 0)</f>
        <v>44.842199999999998</v>
      </c>
      <c r="E459" s="4">
        <f>204.123157702567 * CHOOSE(CONTROL!$C$9, $C$13, 100%, $E$13) + CHOOSE(CONTROL!$C$28, 0, 0)</f>
        <v>204.123157702567</v>
      </c>
    </row>
    <row r="460" spans="1:5" ht="15">
      <c r="A460" s="13">
        <v>55518</v>
      </c>
      <c r="B460" s="4">
        <f>30.8813 * CHOOSE(CONTROL!$C$9, $C$13, 100%, $E$13) + CHOOSE(CONTROL!$C$28, 0.0003, 0)</f>
        <v>30.881599999999999</v>
      </c>
      <c r="C460" s="4">
        <f>30.518 * CHOOSE(CONTROL!$C$9, $C$13, 100%, $E$13) + CHOOSE(CONTROL!$C$28, 0.0003, 0)</f>
        <v>30.5183</v>
      </c>
      <c r="D460" s="4">
        <f>43.3146 * CHOOSE(CONTROL!$C$9, $C$13, 100%, $E$13) + CHOOSE(CONTROL!$C$28, 0, 0)</f>
        <v>43.314599999999999</v>
      </c>
      <c r="E460" s="4">
        <f>200.926318107687 * CHOOSE(CONTROL!$C$9, $C$13, 100%, $E$13) + CHOOSE(CONTROL!$C$28, 0, 0)</f>
        <v>200.926318107687</v>
      </c>
    </row>
    <row r="461" spans="1:5" ht="15">
      <c r="A461" s="13">
        <v>55549</v>
      </c>
      <c r="B461" s="4">
        <f>29.5707 * CHOOSE(CONTROL!$C$9, $C$13, 100%, $E$13) + CHOOSE(CONTROL!$C$28, 0.0003, 0)</f>
        <v>29.570999999999998</v>
      </c>
      <c r="C461" s="4">
        <f>29.2074 * CHOOSE(CONTROL!$C$9, $C$13, 100%, $E$13) + CHOOSE(CONTROL!$C$28, 0.0003, 0)</f>
        <v>29.207699999999999</v>
      </c>
      <c r="D461" s="4">
        <f>41.6318 * CHOOSE(CONTROL!$C$9, $C$13, 100%, $E$13) + CHOOSE(CONTROL!$C$28, 0, 0)</f>
        <v>41.631799999999998</v>
      </c>
      <c r="E461" s="4">
        <f>192.556920512467 * CHOOSE(CONTROL!$C$9, $C$13, 100%, $E$13) + CHOOSE(CONTROL!$C$28, 0, 0)</f>
        <v>192.556920512467</v>
      </c>
    </row>
    <row r="462" spans="1:5" ht="15">
      <c r="A462" s="13">
        <v>55577</v>
      </c>
      <c r="B462" s="4">
        <f>30.2544 * CHOOSE(CONTROL!$C$9, $C$13, 100%, $E$13) + CHOOSE(CONTROL!$C$28, 0.0003, 0)</f>
        <v>30.2547</v>
      </c>
      <c r="C462" s="4">
        <f>29.8911 * CHOOSE(CONTROL!$C$9, $C$13, 100%, $E$13) + CHOOSE(CONTROL!$C$28, 0.0003, 0)</f>
        <v>29.891400000000001</v>
      </c>
      <c r="D462" s="4">
        <f>43.0358 * CHOOSE(CONTROL!$C$9, $C$13, 100%, $E$13) + CHOOSE(CONTROL!$C$28, 0, 0)</f>
        <v>43.035800000000002</v>
      </c>
      <c r="E462" s="4">
        <f>197.128980654819 * CHOOSE(CONTROL!$C$9, $C$13, 100%, $E$13) + CHOOSE(CONTROL!$C$28, 0, 0)</f>
        <v>197.128980654819</v>
      </c>
    </row>
    <row r="463" spans="1:5" ht="15">
      <c r="A463" s="13">
        <v>55609</v>
      </c>
      <c r="B463" s="4">
        <f>32.05 * CHOOSE(CONTROL!$C$9, $C$13, 100%, $E$13) + CHOOSE(CONTROL!$C$28, 0.0003, 0)</f>
        <v>32.0503</v>
      </c>
      <c r="C463" s="4">
        <f>31.6867 * CHOOSE(CONTROL!$C$9, $C$13, 100%, $E$13) + CHOOSE(CONTROL!$C$28, 0.0003, 0)</f>
        <v>31.686999999999998</v>
      </c>
      <c r="D463" s="4">
        <f>45.2337 * CHOOSE(CONTROL!$C$9, $C$13, 100%, $E$13) + CHOOSE(CONTROL!$C$28, 0, 0)</f>
        <v>45.233699999999999</v>
      </c>
      <c r="E463" s="4">
        <f>209.135453562667 * CHOOSE(CONTROL!$C$9, $C$13, 100%, $E$13) + CHOOSE(CONTROL!$C$28, 0, 0)</f>
        <v>209.13545356266701</v>
      </c>
    </row>
    <row r="464" spans="1:5" ht="15">
      <c r="A464" s="13">
        <v>55639</v>
      </c>
      <c r="B464" s="4">
        <f>33.3258 * CHOOSE(CONTROL!$C$9, $C$13, 100%, $E$13) + CHOOSE(CONTROL!$C$28, 0.0003, 0)</f>
        <v>33.326100000000004</v>
      </c>
      <c r="C464" s="4">
        <f>32.9625 * CHOOSE(CONTROL!$C$9, $C$13, 100%, $E$13) + CHOOSE(CONTROL!$C$28, 0.0003, 0)</f>
        <v>32.962800000000001</v>
      </c>
      <c r="D464" s="4">
        <f>46.4997 * CHOOSE(CONTROL!$C$9, $C$13, 100%, $E$13) + CHOOSE(CONTROL!$C$28, 0, 0)</f>
        <v>46.499699999999997</v>
      </c>
      <c r="E464" s="4">
        <f>217.666212570983 * CHOOSE(CONTROL!$C$9, $C$13, 100%, $E$13) + CHOOSE(CONTROL!$C$28, 0, 0)</f>
        <v>217.66621257098299</v>
      </c>
    </row>
    <row r="465" spans="1:5" ht="15">
      <c r="A465" s="13">
        <v>55670</v>
      </c>
      <c r="B465" s="4">
        <f>34.1053 * CHOOSE(CONTROL!$C$9, $C$13, 100%, $E$13) + CHOOSE(CONTROL!$C$28, 0.0136, 0)</f>
        <v>34.118899999999996</v>
      </c>
      <c r="C465" s="4">
        <f>33.742 * CHOOSE(CONTROL!$C$9, $C$13, 100%, $E$13) + CHOOSE(CONTROL!$C$28, 0.0136, 0)</f>
        <v>33.755599999999994</v>
      </c>
      <c r="D465" s="4">
        <f>45.9994 * CHOOSE(CONTROL!$C$9, $C$13, 100%, $E$13) + CHOOSE(CONTROL!$C$28, 0, 0)</f>
        <v>45.999400000000001</v>
      </c>
      <c r="E465" s="4">
        <f>222.878301871305 * CHOOSE(CONTROL!$C$9, $C$13, 100%, $E$13) + CHOOSE(CONTROL!$C$28, 0, 0)</f>
        <v>222.87830187130501</v>
      </c>
    </row>
    <row r="466" spans="1:5" ht="15">
      <c r="A466" s="13">
        <v>55700</v>
      </c>
      <c r="B466" s="4">
        <f>34.2107 * CHOOSE(CONTROL!$C$9, $C$13, 100%, $E$13) + CHOOSE(CONTROL!$C$28, 0.0136, 0)</f>
        <v>34.224299999999999</v>
      </c>
      <c r="C466" s="4">
        <f>33.8475 * CHOOSE(CONTROL!$C$9, $C$13, 100%, $E$13) + CHOOSE(CONTROL!$C$28, 0.0136, 0)</f>
        <v>33.861099999999993</v>
      </c>
      <c r="D466" s="4">
        <f>46.4069 * CHOOSE(CONTROL!$C$9, $C$13, 100%, $E$13) + CHOOSE(CONTROL!$C$28, 0, 0)</f>
        <v>46.4069</v>
      </c>
      <c r="E466" s="4">
        <f>223.583519184254 * CHOOSE(CONTROL!$C$9, $C$13, 100%, $E$13) + CHOOSE(CONTROL!$C$28, 0, 0)</f>
        <v>223.58351918425399</v>
      </c>
    </row>
    <row r="467" spans="1:5" ht="15">
      <c r="A467" s="13">
        <v>55731</v>
      </c>
      <c r="B467" s="4">
        <f>34.2001 * CHOOSE(CONTROL!$C$9, $C$13, 100%, $E$13) + CHOOSE(CONTROL!$C$28, 0.0136, 0)</f>
        <v>34.213699999999996</v>
      </c>
      <c r="C467" s="4">
        <f>33.8368 * CHOOSE(CONTROL!$C$9, $C$13, 100%, $E$13) + CHOOSE(CONTROL!$C$28, 0.0136, 0)</f>
        <v>33.850399999999993</v>
      </c>
      <c r="D467" s="4">
        <f>47.142 * CHOOSE(CONTROL!$C$9, $C$13, 100%, $E$13) + CHOOSE(CONTROL!$C$28, 0, 0)</f>
        <v>47.142000000000003</v>
      </c>
      <c r="E467" s="4">
        <f>223.512404833368 * CHOOSE(CONTROL!$C$9, $C$13, 100%, $E$13) + CHOOSE(CONTROL!$C$28, 0, 0)</f>
        <v>223.51240483336801</v>
      </c>
    </row>
    <row r="468" spans="1:5" ht="15">
      <c r="A468" s="13">
        <v>55762</v>
      </c>
      <c r="B468" s="4">
        <f>35.0004 * CHOOSE(CONTROL!$C$9, $C$13, 100%, $E$13) + CHOOSE(CONTROL!$C$28, 0.0136, 0)</f>
        <v>35.013999999999996</v>
      </c>
      <c r="C468" s="4">
        <f>34.6371 * CHOOSE(CONTROL!$C$9, $C$13, 100%, $E$13) + CHOOSE(CONTROL!$C$28, 0.0136, 0)</f>
        <v>34.650699999999993</v>
      </c>
      <c r="D468" s="4">
        <f>46.6565 * CHOOSE(CONTROL!$C$9, $C$13, 100%, $E$13) + CHOOSE(CONTROL!$C$28, 0, 0)</f>
        <v>46.656500000000001</v>
      </c>
      <c r="E468" s="4">
        <f>228.863759737508 * CHOOSE(CONTROL!$C$9, $C$13, 100%, $E$13) + CHOOSE(CONTROL!$C$28, 0, 0)</f>
        <v>228.86375973750799</v>
      </c>
    </row>
    <row r="469" spans="1:5" ht="15">
      <c r="A469" s="13">
        <v>55792</v>
      </c>
      <c r="B469" s="4">
        <f>33.6364 * CHOOSE(CONTROL!$C$9, $C$13, 100%, $E$13) + CHOOSE(CONTROL!$C$28, 0.0136, 0)</f>
        <v>33.65</v>
      </c>
      <c r="C469" s="4">
        <f>33.2732 * CHOOSE(CONTROL!$C$9, $C$13, 100%, $E$13) + CHOOSE(CONTROL!$C$28, 0.0136, 0)</f>
        <v>33.286799999999999</v>
      </c>
      <c r="D469" s="4">
        <f>46.4271 * CHOOSE(CONTROL!$C$9, $C$13, 100%, $E$13) + CHOOSE(CONTROL!$C$28, 0, 0)</f>
        <v>46.427100000000003</v>
      </c>
      <c r="E469" s="4">
        <f>219.743344236433 * CHOOSE(CONTROL!$C$9, $C$13, 100%, $E$13) + CHOOSE(CONTROL!$C$28, 0, 0)</f>
        <v>219.74334423643299</v>
      </c>
    </row>
    <row r="470" spans="1:5" ht="15">
      <c r="A470" s="13">
        <v>55823</v>
      </c>
      <c r="B470" s="4">
        <f>32.5446 * CHOOSE(CONTROL!$C$9, $C$13, 100%, $E$13) + CHOOSE(CONTROL!$C$28, 0.0003, 0)</f>
        <v>32.544900000000005</v>
      </c>
      <c r="C470" s="4">
        <f>32.1813 * CHOOSE(CONTROL!$C$9, $C$13, 100%, $E$13) + CHOOSE(CONTROL!$C$28, 0.0003, 0)</f>
        <v>32.181600000000003</v>
      </c>
      <c r="D470" s="4">
        <f>45.8129 * CHOOSE(CONTROL!$C$9, $C$13, 100%, $E$13) + CHOOSE(CONTROL!$C$28, 0, 0)</f>
        <v>45.812899999999999</v>
      </c>
      <c r="E470" s="4">
        <f>212.442270878847 * CHOOSE(CONTROL!$C$9, $C$13, 100%, $E$13) + CHOOSE(CONTROL!$C$28, 0, 0)</f>
        <v>212.44227087884701</v>
      </c>
    </row>
    <row r="471" spans="1:5" ht="15">
      <c r="A471" s="13">
        <v>55853</v>
      </c>
      <c r="B471" s="4">
        <f>31.8413 * CHOOSE(CONTROL!$C$9, $C$13, 100%, $E$13) + CHOOSE(CONTROL!$C$28, 0.0003, 0)</f>
        <v>31.8416</v>
      </c>
      <c r="C471" s="4">
        <f>31.478 * CHOOSE(CONTROL!$C$9, $C$13, 100%, $E$13) + CHOOSE(CONTROL!$C$28, 0.0003, 0)</f>
        <v>31.478300000000001</v>
      </c>
      <c r="D471" s="4">
        <f>45.6018 * CHOOSE(CONTROL!$C$9, $C$13, 100%, $E$13) + CHOOSE(CONTROL!$C$28, 0, 0)</f>
        <v>45.601799999999997</v>
      </c>
      <c r="E471" s="4">
        <f>207.739834426538 * CHOOSE(CONTROL!$C$9, $C$13, 100%, $E$13) + CHOOSE(CONTROL!$C$28, 0, 0)</f>
        <v>207.73983442653801</v>
      </c>
    </row>
    <row r="472" spans="1:5" ht="15">
      <c r="A472" s="13">
        <v>55884</v>
      </c>
      <c r="B472" s="4">
        <f>31.3547 * CHOOSE(CONTROL!$C$9, $C$13, 100%, $E$13) + CHOOSE(CONTROL!$C$28, 0.0003, 0)</f>
        <v>31.355</v>
      </c>
      <c r="C472" s="4">
        <f>30.9914 * CHOOSE(CONTROL!$C$9, $C$13, 100%, $E$13) + CHOOSE(CONTROL!$C$28, 0.0003, 0)</f>
        <v>30.991699999999998</v>
      </c>
      <c r="D472" s="4">
        <f>44.0472 * CHOOSE(CONTROL!$C$9, $C$13, 100%, $E$13) + CHOOSE(CONTROL!$C$28, 0, 0)</f>
        <v>44.047199999999997</v>
      </c>
      <c r="E472" s="4">
        <f>204.486352873523 * CHOOSE(CONTROL!$C$9, $C$13, 100%, $E$13) + CHOOSE(CONTROL!$C$28, 0, 0)</f>
        <v>204.486352873523</v>
      </c>
    </row>
    <row r="473" spans="1:5" ht="15">
      <c r="A473" s="13">
        <v>55915</v>
      </c>
      <c r="B473" s="4">
        <f>30.0235 * CHOOSE(CONTROL!$C$9, $C$13, 100%, $E$13) + CHOOSE(CONTROL!$C$28, 0.0003, 0)</f>
        <v>30.023799999999998</v>
      </c>
      <c r="C473" s="4">
        <f>29.6602 * CHOOSE(CONTROL!$C$9, $C$13, 100%, $E$13) + CHOOSE(CONTROL!$C$28, 0.0003, 0)</f>
        <v>29.660499999999999</v>
      </c>
      <c r="D473" s="4">
        <f>42.3347 * CHOOSE(CONTROL!$C$9, $C$13, 100%, $E$13) + CHOOSE(CONTROL!$C$28, 0, 0)</f>
        <v>42.334699999999998</v>
      </c>
      <c r="E473" s="4">
        <f>195.968665364425 * CHOOSE(CONTROL!$C$9, $C$13, 100%, $E$13) + CHOOSE(CONTROL!$C$28, 0, 0)</f>
        <v>195.96866536442499</v>
      </c>
    </row>
    <row r="474" spans="1:5" ht="15">
      <c r="A474" s="13">
        <v>55943</v>
      </c>
      <c r="B474" s="4">
        <f>30.718 * CHOOSE(CONTROL!$C$9, $C$13, 100%, $E$13) + CHOOSE(CONTROL!$C$28, 0.0003, 0)</f>
        <v>30.718299999999999</v>
      </c>
      <c r="C474" s="4">
        <f>30.3547 * CHOOSE(CONTROL!$C$9, $C$13, 100%, $E$13) + CHOOSE(CONTROL!$C$28, 0.0003, 0)</f>
        <v>30.355</v>
      </c>
      <c r="D474" s="4">
        <f>43.7635 * CHOOSE(CONTROL!$C$9, $C$13, 100%, $E$13) + CHOOSE(CONTROL!$C$28, 0, 0)</f>
        <v>43.763500000000001</v>
      </c>
      <c r="E474" s="4">
        <f>200.62173377494 * CHOOSE(CONTROL!$C$9, $C$13, 100%, $E$13) + CHOOSE(CONTROL!$C$28, 0, 0)</f>
        <v>200.62173377494</v>
      </c>
    </row>
    <row r="475" spans="1:5" ht="15">
      <c r="A475" s="13">
        <v>55974</v>
      </c>
      <c r="B475" s="4">
        <f>32.5418 * CHOOSE(CONTROL!$C$9, $C$13, 100%, $E$13) + CHOOSE(CONTROL!$C$28, 0.0003, 0)</f>
        <v>32.542100000000005</v>
      </c>
      <c r="C475" s="4">
        <f>32.1786 * CHOOSE(CONTROL!$C$9, $C$13, 100%, $E$13) + CHOOSE(CONTROL!$C$28, 0.0003, 0)</f>
        <v>32.178900000000006</v>
      </c>
      <c r="D475" s="4">
        <f>46.0002 * CHOOSE(CONTROL!$C$9, $C$13, 100%, $E$13) + CHOOSE(CONTROL!$C$28, 0, 0)</f>
        <v>46.0002</v>
      </c>
      <c r="E475" s="4">
        <f>212.840938700025 * CHOOSE(CONTROL!$C$9, $C$13, 100%, $E$13) + CHOOSE(CONTROL!$C$28, 0, 0)</f>
        <v>212.84093870002499</v>
      </c>
    </row>
    <row r="476" spans="1:5" ht="15">
      <c r="A476" s="13">
        <v>56004</v>
      </c>
      <c r="B476" s="4">
        <f>33.8377 * CHOOSE(CONTROL!$C$9, $C$13, 100%, $E$13) + CHOOSE(CONTROL!$C$28, 0.0003, 0)</f>
        <v>33.838000000000001</v>
      </c>
      <c r="C476" s="4">
        <f>33.4744 * CHOOSE(CONTROL!$C$9, $C$13, 100%, $E$13) + CHOOSE(CONTROL!$C$28, 0.0003, 0)</f>
        <v>33.474700000000006</v>
      </c>
      <c r="D476" s="4">
        <f>47.2886 * CHOOSE(CONTROL!$C$9, $C$13, 100%, $E$13) + CHOOSE(CONTROL!$C$28, 0, 0)</f>
        <v>47.288600000000002</v>
      </c>
      <c r="E476" s="4">
        <f>221.522846641614 * CHOOSE(CONTROL!$C$9, $C$13, 100%, $E$13) + CHOOSE(CONTROL!$C$28, 0, 0)</f>
        <v>221.522846641614</v>
      </c>
    </row>
    <row r="477" spans="1:5" ht="15">
      <c r="A477" s="13">
        <v>56035</v>
      </c>
      <c r="B477" s="4">
        <f>34.6294 * CHOOSE(CONTROL!$C$9, $C$13, 100%, $E$13) + CHOOSE(CONTROL!$C$28, 0.0136, 0)</f>
        <v>34.642999999999994</v>
      </c>
      <c r="C477" s="4">
        <f>34.2661 * CHOOSE(CONTROL!$C$9, $C$13, 100%, $E$13) + CHOOSE(CONTROL!$C$28, 0.0136, 0)</f>
        <v>34.279699999999998</v>
      </c>
      <c r="D477" s="4">
        <f>46.7794 * CHOOSE(CONTROL!$C$9, $C$13, 100%, $E$13) + CHOOSE(CONTROL!$C$28, 0, 0)</f>
        <v>46.779400000000003</v>
      </c>
      <c r="E477" s="4">
        <f>226.827284317632 * CHOOSE(CONTROL!$C$9, $C$13, 100%, $E$13) + CHOOSE(CONTROL!$C$28, 0, 0)</f>
        <v>226.82728431763201</v>
      </c>
    </row>
    <row r="478" spans="1:5" ht="15">
      <c r="A478" s="13">
        <v>56065</v>
      </c>
      <c r="B478" s="4">
        <f>34.7365 * CHOOSE(CONTROL!$C$9, $C$13, 100%, $E$13) + CHOOSE(CONTROL!$C$28, 0.0136, 0)</f>
        <v>34.750099999999996</v>
      </c>
      <c r="C478" s="4">
        <f>34.3733 * CHOOSE(CONTROL!$C$9, $C$13, 100%, $E$13) + CHOOSE(CONTROL!$C$28, 0.0136, 0)</f>
        <v>34.386899999999997</v>
      </c>
      <c r="D478" s="4">
        <f>47.1941 * CHOOSE(CONTROL!$C$9, $C$13, 100%, $E$13) + CHOOSE(CONTROL!$C$28, 0, 0)</f>
        <v>47.194099999999999</v>
      </c>
      <c r="E478" s="4">
        <f>227.544996749066 * CHOOSE(CONTROL!$C$9, $C$13, 100%, $E$13) + CHOOSE(CONTROL!$C$28, 0, 0)</f>
        <v>227.544996749066</v>
      </c>
    </row>
    <row r="479" spans="1:5" ht="15">
      <c r="A479" s="13">
        <v>56096</v>
      </c>
      <c r="B479" s="4">
        <f>34.7257 * CHOOSE(CONTROL!$C$9, $C$13, 100%, $E$13) + CHOOSE(CONTROL!$C$28, 0.0136, 0)</f>
        <v>34.7393</v>
      </c>
      <c r="C479" s="4">
        <f>34.3625 * CHOOSE(CONTROL!$C$9, $C$13, 100%, $E$13) + CHOOSE(CONTROL!$C$28, 0.0136, 0)</f>
        <v>34.376099999999994</v>
      </c>
      <c r="D479" s="4">
        <f>47.9422 * CHOOSE(CONTROL!$C$9, $C$13, 100%, $E$13) + CHOOSE(CONTROL!$C$28, 0, 0)</f>
        <v>47.9422</v>
      </c>
      <c r="E479" s="4">
        <f>227.472622386232 * CHOOSE(CONTROL!$C$9, $C$13, 100%, $E$13) + CHOOSE(CONTROL!$C$28, 0, 0)</f>
        <v>227.47262238623199</v>
      </c>
    </row>
    <row r="480" spans="1:5" ht="15">
      <c r="A480" s="13">
        <v>56127</v>
      </c>
      <c r="B480" s="4">
        <f>35.5386 * CHOOSE(CONTROL!$C$9, $C$13, 100%, $E$13) + CHOOSE(CONTROL!$C$28, 0.0136, 0)</f>
        <v>35.552199999999999</v>
      </c>
      <c r="C480" s="4">
        <f>35.1753 * CHOOSE(CONTROL!$C$9, $C$13, 100%, $E$13) + CHOOSE(CONTROL!$C$28, 0.0136, 0)</f>
        <v>35.188899999999997</v>
      </c>
      <c r="D480" s="4">
        <f>47.4481 * CHOOSE(CONTROL!$C$9, $C$13, 100%, $E$13) + CHOOSE(CONTROL!$C$28, 0, 0)</f>
        <v>47.448099999999997</v>
      </c>
      <c r="E480" s="4">
        <f>232.918793189466 * CHOOSE(CONTROL!$C$9, $C$13, 100%, $E$13) + CHOOSE(CONTROL!$C$28, 0, 0)</f>
        <v>232.91879318946599</v>
      </c>
    </row>
    <row r="481" spans="1:5" ht="15">
      <c r="A481" s="13">
        <v>56157</v>
      </c>
      <c r="B481" s="4">
        <f>34.1532 * CHOOSE(CONTROL!$C$9, $C$13, 100%, $E$13) + CHOOSE(CONTROL!$C$28, 0.0136, 0)</f>
        <v>34.166799999999995</v>
      </c>
      <c r="C481" s="4">
        <f>33.7899 * CHOOSE(CONTROL!$C$9, $C$13, 100%, $E$13) + CHOOSE(CONTROL!$C$28, 0.0136, 0)</f>
        <v>33.8035</v>
      </c>
      <c r="D481" s="4">
        <f>47.2147 * CHOOSE(CONTROL!$C$9, $C$13, 100%, $E$13) + CHOOSE(CONTROL!$C$28, 0, 0)</f>
        <v>47.214700000000001</v>
      </c>
      <c r="E481" s="4">
        <f>223.636781156048 * CHOOSE(CONTROL!$C$9, $C$13, 100%, $E$13) + CHOOSE(CONTROL!$C$28, 0, 0)</f>
        <v>223.63678115604799</v>
      </c>
    </row>
    <row r="482" spans="1:5" ht="15">
      <c r="A482" s="13">
        <v>56188</v>
      </c>
      <c r="B482" s="4">
        <f>33.0441 * CHOOSE(CONTROL!$C$9, $C$13, 100%, $E$13) + CHOOSE(CONTROL!$C$28, 0.0003, 0)</f>
        <v>33.044400000000003</v>
      </c>
      <c r="C482" s="4">
        <f>32.6809 * CHOOSE(CONTROL!$C$9, $C$13, 100%, $E$13) + CHOOSE(CONTROL!$C$28, 0.0003, 0)</f>
        <v>32.681200000000004</v>
      </c>
      <c r="D482" s="4">
        <f>46.5897 * CHOOSE(CONTROL!$C$9, $C$13, 100%, $E$13) + CHOOSE(CONTROL!$C$28, 0, 0)</f>
        <v>46.589700000000001</v>
      </c>
      <c r="E482" s="4">
        <f>216.206346571791 * CHOOSE(CONTROL!$C$9, $C$13, 100%, $E$13) + CHOOSE(CONTROL!$C$28, 0, 0)</f>
        <v>216.20634657179099</v>
      </c>
    </row>
    <row r="483" spans="1:5" ht="15">
      <c r="A483" s="13">
        <v>56218</v>
      </c>
      <c r="B483" s="4">
        <f>32.3298 * CHOOSE(CONTROL!$C$9, $C$13, 100%, $E$13) + CHOOSE(CONTROL!$C$28, 0.0003, 0)</f>
        <v>32.330100000000002</v>
      </c>
      <c r="C483" s="4">
        <f>31.9666 * CHOOSE(CONTROL!$C$9, $C$13, 100%, $E$13) + CHOOSE(CONTROL!$C$28, 0.0003, 0)</f>
        <v>31.966899999999999</v>
      </c>
      <c r="D483" s="4">
        <f>46.3748 * CHOOSE(CONTROL!$C$9, $C$13, 100%, $E$13) + CHOOSE(CONTROL!$C$28, 0, 0)</f>
        <v>46.3748</v>
      </c>
      <c r="E483" s="4">
        <f>211.420591829414 * CHOOSE(CONTROL!$C$9, $C$13, 100%, $E$13) + CHOOSE(CONTROL!$C$28, 0, 0)</f>
        <v>211.42059182941401</v>
      </c>
    </row>
    <row r="484" spans="1:5" ht="15">
      <c r="A484" s="13">
        <v>56249</v>
      </c>
      <c r="B484" s="4">
        <f>31.8356 * CHOOSE(CONTROL!$C$9, $C$13, 100%, $E$13) + CHOOSE(CONTROL!$C$28, 0.0003, 0)</f>
        <v>31.835899999999999</v>
      </c>
      <c r="C484" s="4">
        <f>31.4723 * CHOOSE(CONTROL!$C$9, $C$13, 100%, $E$13) + CHOOSE(CONTROL!$C$28, 0.0003, 0)</f>
        <v>31.4726</v>
      </c>
      <c r="D484" s="4">
        <f>44.7927 * CHOOSE(CONTROL!$C$9, $C$13, 100%, $E$13) + CHOOSE(CONTROL!$C$28, 0, 0)</f>
        <v>44.792700000000004</v>
      </c>
      <c r="E484" s="4">
        <f>208.109464729773 * CHOOSE(CONTROL!$C$9, $C$13, 100%, $E$13) + CHOOSE(CONTROL!$C$28, 0, 0)</f>
        <v>208.10946472977301</v>
      </c>
    </row>
    <row r="485" spans="1:5" ht="15">
      <c r="A485" s="13">
        <v>56280</v>
      </c>
      <c r="B485" s="4">
        <f>30.4835 * CHOOSE(CONTROL!$C$9, $C$13, 100%, $E$13) + CHOOSE(CONTROL!$C$28, 0.0003, 0)</f>
        <v>30.483799999999999</v>
      </c>
      <c r="C485" s="4">
        <f>30.1202 * CHOOSE(CONTROL!$C$9, $C$13, 100%, $E$13) + CHOOSE(CONTROL!$C$28, 0.0003, 0)</f>
        <v>30.1205</v>
      </c>
      <c r="D485" s="4">
        <f>43.0499 * CHOOSE(CONTROL!$C$9, $C$13, 100%, $E$13) + CHOOSE(CONTROL!$C$28, 0, 0)</f>
        <v>43.049900000000001</v>
      </c>
      <c r="E485" s="4">
        <f>199.440859889673 * CHOOSE(CONTROL!$C$9, $C$13, 100%, $E$13) + CHOOSE(CONTROL!$C$28, 0, 0)</f>
        <v>199.44085988967299</v>
      </c>
    </row>
    <row r="486" spans="1:5" ht="15">
      <c r="A486" s="13">
        <v>56308</v>
      </c>
      <c r="B486" s="4">
        <f>31.1889 * CHOOSE(CONTROL!$C$9, $C$13, 100%, $E$13) + CHOOSE(CONTROL!$C$28, 0.0003, 0)</f>
        <v>31.1892</v>
      </c>
      <c r="C486" s="4">
        <f>30.8256 * CHOOSE(CONTROL!$C$9, $C$13, 100%, $E$13) + CHOOSE(CONTROL!$C$28, 0.0003, 0)</f>
        <v>30.825900000000001</v>
      </c>
      <c r="D486" s="4">
        <f>44.504 * CHOOSE(CONTROL!$C$9, $C$13, 100%, $E$13) + CHOOSE(CONTROL!$C$28, 0, 0)</f>
        <v>44.503999999999998</v>
      </c>
      <c r="E486" s="4">
        <f>204.176371881822 * CHOOSE(CONTROL!$C$9, $C$13, 100%, $E$13) + CHOOSE(CONTROL!$C$28, 0, 0)</f>
        <v>204.17637188182201</v>
      </c>
    </row>
    <row r="487" spans="1:5" ht="15">
      <c r="A487" s="13">
        <v>56339</v>
      </c>
      <c r="B487" s="4">
        <f>33.0414 * CHOOSE(CONTROL!$C$9, $C$13, 100%, $E$13) + CHOOSE(CONTROL!$C$28, 0.0003, 0)</f>
        <v>33.041700000000006</v>
      </c>
      <c r="C487" s="4">
        <f>32.6781 * CHOOSE(CONTROL!$C$9, $C$13, 100%, $E$13) + CHOOSE(CONTROL!$C$28, 0.0003, 0)</f>
        <v>32.678400000000003</v>
      </c>
      <c r="D487" s="4">
        <f>46.7802 * CHOOSE(CONTROL!$C$9, $C$13, 100%, $E$13) + CHOOSE(CONTROL!$C$28, 0, 0)</f>
        <v>46.780200000000001</v>
      </c>
      <c r="E487" s="4">
        <f>216.612078033594 * CHOOSE(CONTROL!$C$9, $C$13, 100%, $E$13) + CHOOSE(CONTROL!$C$28, 0, 0)</f>
        <v>216.612078033594</v>
      </c>
    </row>
    <row r="488" spans="1:5" ht="15">
      <c r="A488" s="13">
        <v>56369</v>
      </c>
      <c r="B488" s="4">
        <f>34.3576 * CHOOSE(CONTROL!$C$9, $C$13, 100%, $E$13) + CHOOSE(CONTROL!$C$28, 0.0003, 0)</f>
        <v>34.357900000000001</v>
      </c>
      <c r="C488" s="4">
        <f>33.9943 * CHOOSE(CONTROL!$C$9, $C$13, 100%, $E$13) + CHOOSE(CONTROL!$C$28, 0.0003, 0)</f>
        <v>33.994600000000005</v>
      </c>
      <c r="D488" s="4">
        <f>48.0914 * CHOOSE(CONTROL!$C$9, $C$13, 100%, $E$13) + CHOOSE(CONTROL!$C$28, 0, 0)</f>
        <v>48.0914</v>
      </c>
      <c r="E488" s="4">
        <f>225.447812982004 * CHOOSE(CONTROL!$C$9, $C$13, 100%, $E$13) + CHOOSE(CONTROL!$C$28, 0, 0)</f>
        <v>225.447812982004</v>
      </c>
    </row>
    <row r="489" spans="1:5" ht="15">
      <c r="A489" s="13">
        <v>56400</v>
      </c>
      <c r="B489" s="4">
        <f>35.1618 * CHOOSE(CONTROL!$C$9, $C$13, 100%, $E$13) + CHOOSE(CONTROL!$C$28, 0.0136, 0)</f>
        <v>35.175399999999996</v>
      </c>
      <c r="C489" s="4">
        <f>34.7985 * CHOOSE(CONTROL!$C$9, $C$13, 100%, $E$13) + CHOOSE(CONTROL!$C$28, 0.0136, 0)</f>
        <v>34.812099999999994</v>
      </c>
      <c r="D489" s="4">
        <f>47.5732 * CHOOSE(CONTROL!$C$9, $C$13, 100%, $E$13) + CHOOSE(CONTROL!$C$28, 0, 0)</f>
        <v>47.5732</v>
      </c>
      <c r="E489" s="4">
        <f>230.84623527247 * CHOOSE(CONTROL!$C$9, $C$13, 100%, $E$13) + CHOOSE(CONTROL!$C$28, 0, 0)</f>
        <v>230.84623527247001</v>
      </c>
    </row>
    <row r="490" spans="1:5" ht="15">
      <c r="A490" s="13">
        <v>56430</v>
      </c>
      <c r="B490" s="4">
        <f>35.2706 * CHOOSE(CONTROL!$C$9, $C$13, 100%, $E$13) + CHOOSE(CONTROL!$C$28, 0.0136, 0)</f>
        <v>35.284199999999998</v>
      </c>
      <c r="C490" s="4">
        <f>34.9073 * CHOOSE(CONTROL!$C$9, $C$13, 100%, $E$13) + CHOOSE(CONTROL!$C$28, 0.0136, 0)</f>
        <v>34.920899999999996</v>
      </c>
      <c r="D490" s="4">
        <f>47.9952 * CHOOSE(CONTROL!$C$9, $C$13, 100%, $E$13) + CHOOSE(CONTROL!$C$28, 0, 0)</f>
        <v>47.995199999999997</v>
      </c>
      <c r="E490" s="4">
        <f>231.576664212283 * CHOOSE(CONTROL!$C$9, $C$13, 100%, $E$13) + CHOOSE(CONTROL!$C$28, 0, 0)</f>
        <v>231.57666421228299</v>
      </c>
    </row>
    <row r="491" spans="1:5" ht="15">
      <c r="A491" s="13">
        <v>56461</v>
      </c>
      <c r="B491" s="4">
        <f>35.2596 * CHOOSE(CONTROL!$C$9, $C$13, 100%, $E$13) + CHOOSE(CONTROL!$C$28, 0.0136, 0)</f>
        <v>35.273199999999996</v>
      </c>
      <c r="C491" s="4">
        <f>34.8964 * CHOOSE(CONTROL!$C$9, $C$13, 100%, $E$13) + CHOOSE(CONTROL!$C$28, 0.0136, 0)</f>
        <v>34.909999999999997</v>
      </c>
      <c r="D491" s="4">
        <f>48.7566 * CHOOSE(CONTROL!$C$9, $C$13, 100%, $E$13) + CHOOSE(CONTROL!$C$28, 0, 0)</f>
        <v>48.756599999999999</v>
      </c>
      <c r="E491" s="4">
        <f>231.503007512469 * CHOOSE(CONTROL!$C$9, $C$13, 100%, $E$13) + CHOOSE(CONTROL!$C$28, 0, 0)</f>
        <v>231.503007512469</v>
      </c>
    </row>
    <row r="492" spans="1:5" ht="15">
      <c r="A492" s="13">
        <v>56492</v>
      </c>
      <c r="B492" s="4">
        <f>36.0853 * CHOOSE(CONTROL!$C$9, $C$13, 100%, $E$13) + CHOOSE(CONTROL!$C$28, 0.0136, 0)</f>
        <v>36.098899999999993</v>
      </c>
      <c r="C492" s="4">
        <f>35.722 * CHOOSE(CONTROL!$C$9, $C$13, 100%, $E$13) + CHOOSE(CONTROL!$C$28, 0.0136, 0)</f>
        <v>35.735599999999998</v>
      </c>
      <c r="D492" s="4">
        <f>48.2538 * CHOOSE(CONTROL!$C$9, $C$13, 100%, $E$13) + CHOOSE(CONTROL!$C$28, 0, 0)</f>
        <v>48.253799999999998</v>
      </c>
      <c r="E492" s="4">
        <f>237.045674173403 * CHOOSE(CONTROL!$C$9, $C$13, 100%, $E$13) + CHOOSE(CONTROL!$C$28, 0, 0)</f>
        <v>237.045674173403</v>
      </c>
    </row>
    <row r="493" spans="1:5" ht="15">
      <c r="A493" s="13">
        <v>56522</v>
      </c>
      <c r="B493" s="4">
        <f>34.6781 * CHOOSE(CONTROL!$C$9, $C$13, 100%, $E$13) + CHOOSE(CONTROL!$C$28, 0.0136, 0)</f>
        <v>34.691699999999997</v>
      </c>
      <c r="C493" s="4">
        <f>34.3148 * CHOOSE(CONTROL!$C$9, $C$13, 100%, $E$13) + CHOOSE(CONTROL!$C$28, 0.0136, 0)</f>
        <v>34.328399999999995</v>
      </c>
      <c r="D493" s="4">
        <f>48.0162 * CHOOSE(CONTROL!$C$9, $C$13, 100%, $E$13) + CHOOSE(CONTROL!$C$28, 0, 0)</f>
        <v>48.016199999999998</v>
      </c>
      <c r="E493" s="4">
        <f>227.599202422377 * CHOOSE(CONTROL!$C$9, $C$13, 100%, $E$13) + CHOOSE(CONTROL!$C$28, 0, 0)</f>
        <v>227.599202422377</v>
      </c>
    </row>
    <row r="494" spans="1:5" ht="15">
      <c r="A494" s="13">
        <v>56553</v>
      </c>
      <c r="B494" s="4">
        <f>33.5516 * CHOOSE(CONTROL!$C$9, $C$13, 100%, $E$13) + CHOOSE(CONTROL!$C$28, 0.0003, 0)</f>
        <v>33.551900000000003</v>
      </c>
      <c r="C494" s="4">
        <f>33.1883 * CHOOSE(CONTROL!$C$9, $C$13, 100%, $E$13) + CHOOSE(CONTROL!$C$28, 0.0003, 0)</f>
        <v>33.188600000000001</v>
      </c>
      <c r="D494" s="4">
        <f>47.3801 * CHOOSE(CONTROL!$C$9, $C$13, 100%, $E$13) + CHOOSE(CONTROL!$C$28, 0, 0)</f>
        <v>47.380099999999999</v>
      </c>
      <c r="E494" s="4">
        <f>220.037114574902 * CHOOSE(CONTROL!$C$9, $C$13, 100%, $E$13) + CHOOSE(CONTROL!$C$28, 0, 0)</f>
        <v>220.03711457490201</v>
      </c>
    </row>
    <row r="495" spans="1:5" ht="15">
      <c r="A495" s="13">
        <v>56583</v>
      </c>
      <c r="B495" s="4">
        <f>32.8261 * CHOOSE(CONTROL!$C$9, $C$13, 100%, $E$13) + CHOOSE(CONTROL!$C$28, 0.0003, 0)</f>
        <v>32.8264</v>
      </c>
      <c r="C495" s="4">
        <f>32.4628 * CHOOSE(CONTROL!$C$9, $C$13, 100%, $E$13) + CHOOSE(CONTROL!$C$28, 0.0003, 0)</f>
        <v>32.463100000000004</v>
      </c>
      <c r="D495" s="4">
        <f>47.1614 * CHOOSE(CONTROL!$C$9, $C$13, 100%, $E$13) + CHOOSE(CONTROL!$C$28, 0, 0)</f>
        <v>47.1614</v>
      </c>
      <c r="E495" s="4">
        <f>215.166565299763 * CHOOSE(CONTROL!$C$9, $C$13, 100%, $E$13) + CHOOSE(CONTROL!$C$28, 0, 0)</f>
        <v>215.16656529976299</v>
      </c>
    </row>
    <row r="496" spans="1:5" ht="15">
      <c r="A496" s="13">
        <v>56614</v>
      </c>
      <c r="B496" s="4">
        <f>32.3241 * CHOOSE(CONTROL!$C$9, $C$13, 100%, $E$13) + CHOOSE(CONTROL!$C$28, 0.0003, 0)</f>
        <v>32.324400000000004</v>
      </c>
      <c r="C496" s="4">
        <f>31.9608 * CHOOSE(CONTROL!$C$9, $C$13, 100%, $E$13) + CHOOSE(CONTROL!$C$28, 0.0003, 0)</f>
        <v>31.961099999999998</v>
      </c>
      <c r="D496" s="4">
        <f>45.5514 * CHOOSE(CONTROL!$C$9, $C$13, 100%, $E$13) + CHOOSE(CONTROL!$C$28, 0, 0)</f>
        <v>45.551400000000001</v>
      </c>
      <c r="E496" s="4">
        <f>211.796771283315 * CHOOSE(CONTROL!$C$9, $C$13, 100%, $E$13) + CHOOSE(CONTROL!$C$28, 0, 0)</f>
        <v>211.796771283315</v>
      </c>
    </row>
    <row r="497" spans="1:5" ht="15">
      <c r="A497" s="13">
        <v>56645</v>
      </c>
      <c r="B497" s="4">
        <f>30.9506 * CHOOSE(CONTROL!$C$9, $C$13, 100%, $E$13) + CHOOSE(CONTROL!$C$28, 0.0003, 0)</f>
        <v>30.950900000000001</v>
      </c>
      <c r="C497" s="4">
        <f>30.5874 * CHOOSE(CONTROL!$C$9, $C$13, 100%, $E$13) + CHOOSE(CONTROL!$C$28, 0.0003, 0)</f>
        <v>30.587699999999998</v>
      </c>
      <c r="D497" s="4">
        <f>43.7779 * CHOOSE(CONTROL!$C$9, $C$13, 100%, $E$13) + CHOOSE(CONTROL!$C$28, 0, 0)</f>
        <v>43.777900000000002</v>
      </c>
      <c r="E497" s="4">
        <f>202.974575142221 * CHOOSE(CONTROL!$C$9, $C$13, 100%, $E$13) + CHOOSE(CONTROL!$C$28, 0, 0)</f>
        <v>202.974575142221</v>
      </c>
    </row>
    <row r="498" spans="1:5" ht="15">
      <c r="A498" s="13">
        <v>56673</v>
      </c>
      <c r="B498" s="4">
        <f>31.6672 * CHOOSE(CONTROL!$C$9, $C$13, 100%, $E$13) + CHOOSE(CONTROL!$C$28, 0.0003, 0)</f>
        <v>31.6675</v>
      </c>
      <c r="C498" s="4">
        <f>31.3039 * CHOOSE(CONTROL!$C$9, $C$13, 100%, $E$13) + CHOOSE(CONTROL!$C$28, 0.0003, 0)</f>
        <v>31.304199999999998</v>
      </c>
      <c r="D498" s="4">
        <f>45.2576 * CHOOSE(CONTROL!$C$9, $C$13, 100%, $E$13) + CHOOSE(CONTROL!$C$28, 0, 0)</f>
        <v>45.257599999999996</v>
      </c>
      <c r="E498" s="4">
        <f>207.793991460517 * CHOOSE(CONTROL!$C$9, $C$13, 100%, $E$13) + CHOOSE(CONTROL!$C$28, 0, 0)</f>
        <v>207.79399146051699</v>
      </c>
    </row>
    <row r="499" spans="1:5" ht="15">
      <c r="A499" s="13">
        <v>56704</v>
      </c>
      <c r="B499" s="4">
        <f>33.5488 * CHOOSE(CONTROL!$C$9, $C$13, 100%, $E$13) + CHOOSE(CONTROL!$C$28, 0.0003, 0)</f>
        <v>33.549100000000003</v>
      </c>
      <c r="C499" s="4">
        <f>33.1855 * CHOOSE(CONTROL!$C$9, $C$13, 100%, $E$13) + CHOOSE(CONTROL!$C$28, 0.0003, 0)</f>
        <v>33.1858</v>
      </c>
      <c r="D499" s="4">
        <f>47.574 * CHOOSE(CONTROL!$C$9, $C$13, 100%, $E$13) + CHOOSE(CONTROL!$C$28, 0, 0)</f>
        <v>47.573999999999998</v>
      </c>
      <c r="E499" s="4">
        <f>220.450034831699 * CHOOSE(CONTROL!$C$9, $C$13, 100%, $E$13) + CHOOSE(CONTROL!$C$28, 0, 0)</f>
        <v>220.45003483169901</v>
      </c>
    </row>
    <row r="500" spans="1:5" ht="15">
      <c r="A500" s="13">
        <v>56734</v>
      </c>
      <c r="B500" s="4">
        <f>34.8857 * CHOOSE(CONTROL!$C$9, $C$13, 100%, $E$13) + CHOOSE(CONTROL!$C$28, 0.0003, 0)</f>
        <v>34.886000000000003</v>
      </c>
      <c r="C500" s="4">
        <f>34.5224 * CHOOSE(CONTROL!$C$9, $C$13, 100%, $E$13) + CHOOSE(CONTROL!$C$28, 0.0003, 0)</f>
        <v>34.5227</v>
      </c>
      <c r="D500" s="4">
        <f>48.9083 * CHOOSE(CONTROL!$C$9, $C$13, 100%, $E$13) + CHOOSE(CONTROL!$C$28, 0, 0)</f>
        <v>48.908299999999997</v>
      </c>
      <c r="E500" s="4">
        <f>229.442322310878 * CHOOSE(CONTROL!$C$9, $C$13, 100%, $E$13) + CHOOSE(CONTROL!$C$28, 0, 0)</f>
        <v>229.44232231087801</v>
      </c>
    </row>
    <row r="501" spans="1:5" ht="15">
      <c r="A501" s="13">
        <v>56765</v>
      </c>
      <c r="B501" s="4">
        <f>35.7026 * CHOOSE(CONTROL!$C$9, $C$13, 100%, $E$13) + CHOOSE(CONTROL!$C$28, 0.0136, 0)</f>
        <v>35.716199999999994</v>
      </c>
      <c r="C501" s="4">
        <f>35.3393 * CHOOSE(CONTROL!$C$9, $C$13, 100%, $E$13) + CHOOSE(CONTROL!$C$28, 0.0136, 0)</f>
        <v>35.352899999999998</v>
      </c>
      <c r="D501" s="4">
        <f>48.3811 * CHOOSE(CONTROL!$C$9, $C$13, 100%, $E$13) + CHOOSE(CONTROL!$C$28, 0, 0)</f>
        <v>48.381100000000004</v>
      </c>
      <c r="E501" s="4">
        <f>234.936394445604 * CHOOSE(CONTROL!$C$9, $C$13, 100%, $E$13) + CHOOSE(CONTROL!$C$28, 0, 0)</f>
        <v>234.93639444560401</v>
      </c>
    </row>
    <row r="502" spans="1:5" ht="15">
      <c r="A502" s="13">
        <v>56795</v>
      </c>
      <c r="B502" s="4">
        <f>35.8131 * CHOOSE(CONTROL!$C$9, $C$13, 100%, $E$13) + CHOOSE(CONTROL!$C$28, 0.0136, 0)</f>
        <v>35.826699999999995</v>
      </c>
      <c r="C502" s="4">
        <f>35.4498 * CHOOSE(CONTROL!$C$9, $C$13, 100%, $E$13) + CHOOSE(CONTROL!$C$28, 0.0136, 0)</f>
        <v>35.4634</v>
      </c>
      <c r="D502" s="4">
        <f>48.8105 * CHOOSE(CONTROL!$C$9, $C$13, 100%, $E$13) + CHOOSE(CONTROL!$C$28, 0, 0)</f>
        <v>48.810499999999998</v>
      </c>
      <c r="E502" s="4">
        <f>235.679765206301 * CHOOSE(CONTROL!$C$9, $C$13, 100%, $E$13) + CHOOSE(CONTROL!$C$28, 0, 0)</f>
        <v>235.679765206301</v>
      </c>
    </row>
    <row r="503" spans="1:5" ht="15">
      <c r="A503" s="13">
        <v>56826</v>
      </c>
      <c r="B503" s="4">
        <f>35.8019 * CHOOSE(CONTROL!$C$9, $C$13, 100%, $E$13) + CHOOSE(CONTROL!$C$28, 0.0136, 0)</f>
        <v>35.8155</v>
      </c>
      <c r="C503" s="4">
        <f>35.4386 * CHOOSE(CONTROL!$C$9, $C$13, 100%, $E$13) + CHOOSE(CONTROL!$C$28, 0.0136, 0)</f>
        <v>35.452199999999998</v>
      </c>
      <c r="D503" s="4">
        <f>49.5853 * CHOOSE(CONTROL!$C$9, $C$13, 100%, $E$13) + CHOOSE(CONTROL!$C$28, 0, 0)</f>
        <v>49.585299999999997</v>
      </c>
      <c r="E503" s="4">
        <f>235.604803448919 * CHOOSE(CONTROL!$C$9, $C$13, 100%, $E$13) + CHOOSE(CONTROL!$C$28, 0, 0)</f>
        <v>235.604803448919</v>
      </c>
    </row>
    <row r="504" spans="1:5" ht="15">
      <c r="A504" s="13">
        <v>56857</v>
      </c>
      <c r="B504" s="4">
        <f>36.6406 * CHOOSE(CONTROL!$C$9, $C$13, 100%, $E$13) + CHOOSE(CONTROL!$C$28, 0.0136, 0)</f>
        <v>36.654199999999996</v>
      </c>
      <c r="C504" s="4">
        <f>36.2773 * CHOOSE(CONTROL!$C$9, $C$13, 100%, $E$13) + CHOOSE(CONTROL!$C$28, 0.0136, 0)</f>
        <v>36.290899999999993</v>
      </c>
      <c r="D504" s="4">
        <f>49.0736 * CHOOSE(CONTROL!$C$9, $C$13, 100%, $E$13) + CHOOSE(CONTROL!$C$28, 0, 0)</f>
        <v>49.073599999999999</v>
      </c>
      <c r="E504" s="4">
        <f>241.24567569185 * CHOOSE(CONTROL!$C$9, $C$13, 100%, $E$13) + CHOOSE(CONTROL!$C$28, 0, 0)</f>
        <v>241.24567569185001</v>
      </c>
    </row>
    <row r="505" spans="1:5" ht="15">
      <c r="A505" s="13">
        <v>56887</v>
      </c>
      <c r="B505" s="4">
        <f>35.2112 * CHOOSE(CONTROL!$C$9, $C$13, 100%, $E$13) + CHOOSE(CONTROL!$C$28, 0.0136, 0)</f>
        <v>35.224799999999995</v>
      </c>
      <c r="C505" s="4">
        <f>34.848 * CHOOSE(CONTROL!$C$9, $C$13, 100%, $E$13) + CHOOSE(CONTROL!$C$28, 0.0136, 0)</f>
        <v>34.861599999999996</v>
      </c>
      <c r="D505" s="4">
        <f>48.8318 * CHOOSE(CONTROL!$C$9, $C$13, 100%, $E$13) + CHOOSE(CONTROL!$C$28, 0, 0)</f>
        <v>48.831800000000001</v>
      </c>
      <c r="E505" s="4">
        <f>231.631830307719 * CHOOSE(CONTROL!$C$9, $C$13, 100%, $E$13) + CHOOSE(CONTROL!$C$28, 0, 0)</f>
        <v>231.63183030771901</v>
      </c>
    </row>
    <row r="506" spans="1:5" ht="15">
      <c r="A506" s="13">
        <v>56918</v>
      </c>
      <c r="B506" s="4">
        <f>34.067 * CHOOSE(CONTROL!$C$9, $C$13, 100%, $E$13) + CHOOSE(CONTROL!$C$28, 0.0003, 0)</f>
        <v>34.067300000000003</v>
      </c>
      <c r="C506" s="4">
        <f>33.7038 * CHOOSE(CONTROL!$C$9, $C$13, 100%, $E$13) + CHOOSE(CONTROL!$C$28, 0.0003, 0)</f>
        <v>33.704100000000004</v>
      </c>
      <c r="D506" s="4">
        <f>48.1845 * CHOOSE(CONTROL!$C$9, $C$13, 100%, $E$13) + CHOOSE(CONTROL!$C$28, 0, 0)</f>
        <v>48.1845</v>
      </c>
      <c r="E506" s="4">
        <f>223.935756549922 * CHOOSE(CONTROL!$C$9, $C$13, 100%, $E$13) + CHOOSE(CONTROL!$C$28, 0, 0)</f>
        <v>223.93575654992199</v>
      </c>
    </row>
    <row r="507" spans="1:5" ht="15">
      <c r="A507" s="13">
        <v>56948</v>
      </c>
      <c r="B507" s="4">
        <f>33.3301 * CHOOSE(CONTROL!$C$9, $C$13, 100%, $E$13) + CHOOSE(CONTROL!$C$28, 0.0003, 0)</f>
        <v>33.330400000000004</v>
      </c>
      <c r="C507" s="4">
        <f>32.9668 * CHOOSE(CONTROL!$C$9, $C$13, 100%, $E$13) + CHOOSE(CONTROL!$C$28, 0.0003, 0)</f>
        <v>32.967100000000002</v>
      </c>
      <c r="D507" s="4">
        <f>47.962 * CHOOSE(CONTROL!$C$9, $C$13, 100%, $E$13) + CHOOSE(CONTROL!$C$28, 0, 0)</f>
        <v>47.962000000000003</v>
      </c>
      <c r="E507" s="4">
        <f>218.978910343094 * CHOOSE(CONTROL!$C$9, $C$13, 100%, $E$13) + CHOOSE(CONTROL!$C$28, 0, 0)</f>
        <v>218.97891034309399</v>
      </c>
    </row>
    <row r="508" spans="1:5" ht="15">
      <c r="A508" s="13">
        <v>56979</v>
      </c>
      <c r="B508" s="4">
        <f>32.8202 * CHOOSE(CONTROL!$C$9, $C$13, 100%, $E$13) + CHOOSE(CONTROL!$C$28, 0.0003, 0)</f>
        <v>32.820500000000003</v>
      </c>
      <c r="C508" s="4">
        <f>32.4569 * CHOOSE(CONTROL!$C$9, $C$13, 100%, $E$13) + CHOOSE(CONTROL!$C$28, 0.0003, 0)</f>
        <v>32.4572</v>
      </c>
      <c r="D508" s="4">
        <f>46.3235 * CHOOSE(CONTROL!$C$9, $C$13, 100%, $E$13) + CHOOSE(CONTROL!$C$28, 0, 0)</f>
        <v>46.323500000000003</v>
      </c>
      <c r="E508" s="4">
        <f>215.549409942907 * CHOOSE(CONTROL!$C$9, $C$13, 100%, $E$13) + CHOOSE(CONTROL!$C$28, 0, 0)</f>
        <v>215.549409942907</v>
      </c>
    </row>
    <row r="509" spans="1:5" ht="15">
      <c r="A509" s="13">
        <v>57010</v>
      </c>
      <c r="B509" s="4">
        <f>31.4252 * CHOOSE(CONTROL!$C$9, $C$13, 100%, $E$13) + CHOOSE(CONTROL!$C$28, 0.0003, 0)</f>
        <v>31.4255</v>
      </c>
      <c r="C509" s="4">
        <f>31.0619 * CHOOSE(CONTROL!$C$9, $C$13, 100%, $E$13) + CHOOSE(CONTROL!$C$28, 0.0003, 0)</f>
        <v>31.062200000000001</v>
      </c>
      <c r="D509" s="4">
        <f>44.5186 * CHOOSE(CONTROL!$C$9, $C$13, 100%, $E$13) + CHOOSE(CONTROL!$C$28, 0, 0)</f>
        <v>44.518599999999999</v>
      </c>
      <c r="E509" s="4">
        <f>206.570901153131 * CHOOSE(CONTROL!$C$9, $C$13, 100%, $E$13) + CHOOSE(CONTROL!$C$28, 0, 0)</f>
        <v>206.57090115313099</v>
      </c>
    </row>
    <row r="510" spans="1:5" ht="15">
      <c r="A510" s="13">
        <v>57038</v>
      </c>
      <c r="B510" s="4">
        <f>32.153 * CHOOSE(CONTROL!$C$9, $C$13, 100%, $E$13) + CHOOSE(CONTROL!$C$28, 0.0003, 0)</f>
        <v>32.153300000000002</v>
      </c>
      <c r="C510" s="4">
        <f>31.7897 * CHOOSE(CONTROL!$C$9, $C$13, 100%, $E$13) + CHOOSE(CONTROL!$C$28, 0.0003, 0)</f>
        <v>31.79</v>
      </c>
      <c r="D510" s="4">
        <f>46.0245 * CHOOSE(CONTROL!$C$9, $C$13, 100%, $E$13) + CHOOSE(CONTROL!$C$28, 0, 0)</f>
        <v>46.024500000000003</v>
      </c>
      <c r="E510" s="4">
        <f>211.475708423721 * CHOOSE(CONTROL!$C$9, $C$13, 100%, $E$13) + CHOOSE(CONTROL!$C$28, 0, 0)</f>
        <v>211.47570842372099</v>
      </c>
    </row>
    <row r="511" spans="1:5" ht="15">
      <c r="A511" s="13">
        <v>57070</v>
      </c>
      <c r="B511" s="4">
        <f>34.0642 * CHOOSE(CONTROL!$C$9, $C$13, 100%, $E$13) + CHOOSE(CONTROL!$C$28, 0.0003, 0)</f>
        <v>34.064500000000002</v>
      </c>
      <c r="C511" s="4">
        <f>33.7009 * CHOOSE(CONTROL!$C$9, $C$13, 100%, $E$13) + CHOOSE(CONTROL!$C$28, 0.0003, 0)</f>
        <v>33.7012</v>
      </c>
      <c r="D511" s="4">
        <f>48.3818 * CHOOSE(CONTROL!$C$9, $C$13, 100%, $E$13) + CHOOSE(CONTROL!$C$28, 0, 0)</f>
        <v>48.381799999999998</v>
      </c>
      <c r="E511" s="4">
        <f>224.355992973579 * CHOOSE(CONTROL!$C$9, $C$13, 100%, $E$13) + CHOOSE(CONTROL!$C$28, 0, 0)</f>
        <v>224.35599297357899</v>
      </c>
    </row>
    <row r="512" spans="1:5" ht="15">
      <c r="A512" s="13">
        <v>57100</v>
      </c>
      <c r="B512" s="4">
        <f>35.4221 * CHOOSE(CONTROL!$C$9, $C$13, 100%, $E$13) + CHOOSE(CONTROL!$C$28, 0.0003, 0)</f>
        <v>35.422400000000003</v>
      </c>
      <c r="C512" s="4">
        <f>35.0589 * CHOOSE(CONTROL!$C$9, $C$13, 100%, $E$13) + CHOOSE(CONTROL!$C$28, 0.0003, 0)</f>
        <v>35.059200000000004</v>
      </c>
      <c r="D512" s="4">
        <f>49.7397 * CHOOSE(CONTROL!$C$9, $C$13, 100%, $E$13) + CHOOSE(CONTROL!$C$28, 0, 0)</f>
        <v>49.739699999999999</v>
      </c>
      <c r="E512" s="4">
        <f>233.507606798613 * CHOOSE(CONTROL!$C$9, $C$13, 100%, $E$13) + CHOOSE(CONTROL!$C$28, 0, 0)</f>
        <v>233.50760679861301</v>
      </c>
    </row>
    <row r="513" spans="1:5" ht="15">
      <c r="A513" s="13">
        <v>57131</v>
      </c>
      <c r="B513" s="4">
        <f>36.2518 * CHOOSE(CONTROL!$C$9, $C$13, 100%, $E$13) + CHOOSE(CONTROL!$C$28, 0.0136, 0)</f>
        <v>36.2654</v>
      </c>
      <c r="C513" s="4">
        <f>35.8885 * CHOOSE(CONTROL!$C$9, $C$13, 100%, $E$13) + CHOOSE(CONTROL!$C$28, 0.0136, 0)</f>
        <v>35.902099999999997</v>
      </c>
      <c r="D513" s="4">
        <f>49.2032 * CHOOSE(CONTROL!$C$9, $C$13, 100%, $E$13) + CHOOSE(CONTROL!$C$28, 0, 0)</f>
        <v>49.203200000000002</v>
      </c>
      <c r="E513" s="4">
        <f>239.099023512137 * CHOOSE(CONTROL!$C$9, $C$13, 100%, $E$13) + CHOOSE(CONTROL!$C$28, 0, 0)</f>
        <v>239.09902351213699</v>
      </c>
    </row>
    <row r="514" spans="1:5" ht="15">
      <c r="A514" s="13">
        <v>57161</v>
      </c>
      <c r="B514" s="4">
        <f>36.3641 * CHOOSE(CONTROL!$C$9, $C$13, 100%, $E$13) + CHOOSE(CONTROL!$C$28, 0.0136, 0)</f>
        <v>36.377699999999997</v>
      </c>
      <c r="C514" s="4">
        <f>36.0008 * CHOOSE(CONTROL!$C$9, $C$13, 100%, $E$13) + CHOOSE(CONTROL!$C$28, 0.0136, 0)</f>
        <v>36.014399999999995</v>
      </c>
      <c r="D514" s="4">
        <f>49.6402 * CHOOSE(CONTROL!$C$9, $C$13, 100%, $E$13) + CHOOSE(CONTROL!$C$28, 0, 0)</f>
        <v>49.6402</v>
      </c>
      <c r="E514" s="4">
        <f>239.855565398333 * CHOOSE(CONTROL!$C$9, $C$13, 100%, $E$13) + CHOOSE(CONTROL!$C$28, 0, 0)</f>
        <v>239.855565398333</v>
      </c>
    </row>
    <row r="515" spans="1:5" ht="15">
      <c r="A515" s="13">
        <v>57192</v>
      </c>
      <c r="B515" s="4">
        <f>36.3528 * CHOOSE(CONTROL!$C$9, $C$13, 100%, $E$13) + CHOOSE(CONTROL!$C$28, 0.0136, 0)</f>
        <v>36.366399999999999</v>
      </c>
      <c r="C515" s="4">
        <f>35.9895 * CHOOSE(CONTROL!$C$9, $C$13, 100%, $E$13) + CHOOSE(CONTROL!$C$28, 0.0136, 0)</f>
        <v>36.003099999999996</v>
      </c>
      <c r="D515" s="4">
        <f>50.4287 * CHOOSE(CONTROL!$C$9, $C$13, 100%, $E$13) + CHOOSE(CONTROL!$C$28, 0, 0)</f>
        <v>50.428699999999999</v>
      </c>
      <c r="E515" s="4">
        <f>239.779275460229 * CHOOSE(CONTROL!$C$9, $C$13, 100%, $E$13) + CHOOSE(CONTROL!$C$28, 0, 0)</f>
        <v>239.779275460229</v>
      </c>
    </row>
    <row r="516" spans="1:5" ht="15">
      <c r="A516" s="13">
        <v>57223</v>
      </c>
      <c r="B516" s="4">
        <f>37.2046 * CHOOSE(CONTROL!$C$9, $C$13, 100%, $E$13) + CHOOSE(CONTROL!$C$28, 0.0136, 0)</f>
        <v>37.218199999999996</v>
      </c>
      <c r="C516" s="4">
        <f>36.8413 * CHOOSE(CONTROL!$C$9, $C$13, 100%, $E$13) + CHOOSE(CONTROL!$C$28, 0.0136, 0)</f>
        <v>36.854899999999994</v>
      </c>
      <c r="D516" s="4">
        <f>49.9079 * CHOOSE(CONTROL!$C$9, $C$13, 100%, $E$13) + CHOOSE(CONTROL!$C$28, 0, 0)</f>
        <v>49.907899999999998</v>
      </c>
      <c r="E516" s="4">
        <f>245.52009330254 * CHOOSE(CONTROL!$C$9, $C$13, 100%, $E$13) + CHOOSE(CONTROL!$C$28, 0, 0)</f>
        <v>245.52009330254</v>
      </c>
    </row>
    <row r="517" spans="1:5" ht="15">
      <c r="A517" s="13">
        <v>57253</v>
      </c>
      <c r="B517" s="4">
        <f>35.7528 * CHOOSE(CONTROL!$C$9, $C$13, 100%, $E$13) + CHOOSE(CONTROL!$C$28, 0.0136, 0)</f>
        <v>35.766399999999997</v>
      </c>
      <c r="C517" s="4">
        <f>35.3895 * CHOOSE(CONTROL!$C$9, $C$13, 100%, $E$13) + CHOOSE(CONTROL!$C$28, 0.0136, 0)</f>
        <v>35.403099999999995</v>
      </c>
      <c r="D517" s="4">
        <f>49.6619 * CHOOSE(CONTROL!$C$9, $C$13, 100%, $E$13) + CHOOSE(CONTROL!$C$28, 0, 0)</f>
        <v>49.661900000000003</v>
      </c>
      <c r="E517" s="4">
        <f>235.735908740728 * CHOOSE(CONTROL!$C$9, $C$13, 100%, $E$13) + CHOOSE(CONTROL!$C$28, 0, 0)</f>
        <v>235.73590874072801</v>
      </c>
    </row>
    <row r="518" spans="1:5" ht="15">
      <c r="A518" s="13">
        <v>57284</v>
      </c>
      <c r="B518" s="4">
        <f>34.5906 * CHOOSE(CONTROL!$C$9, $C$13, 100%, $E$13) + CHOOSE(CONTROL!$C$28, 0.0003, 0)</f>
        <v>34.590900000000005</v>
      </c>
      <c r="C518" s="4">
        <f>34.2273 * CHOOSE(CONTROL!$C$9, $C$13, 100%, $E$13) + CHOOSE(CONTROL!$C$28, 0.0003, 0)</f>
        <v>34.227600000000002</v>
      </c>
      <c r="D518" s="4">
        <f>49.0031 * CHOOSE(CONTROL!$C$9, $C$13, 100%, $E$13) + CHOOSE(CONTROL!$C$28, 0, 0)</f>
        <v>49.003100000000003</v>
      </c>
      <c r="E518" s="4">
        <f>227.903475095405 * CHOOSE(CONTROL!$C$9, $C$13, 100%, $E$13) + CHOOSE(CONTROL!$C$28, 0, 0)</f>
        <v>227.90347509540501</v>
      </c>
    </row>
    <row r="519" spans="1:5" ht="15">
      <c r="A519" s="13">
        <v>57314</v>
      </c>
      <c r="B519" s="4">
        <f>33.842 * CHOOSE(CONTROL!$C$9, $C$13, 100%, $E$13) + CHOOSE(CONTROL!$C$28, 0.0003, 0)</f>
        <v>33.842300000000002</v>
      </c>
      <c r="C519" s="4">
        <f>33.4787 * CHOOSE(CONTROL!$C$9, $C$13, 100%, $E$13) + CHOOSE(CONTROL!$C$28, 0.0003, 0)</f>
        <v>33.479000000000006</v>
      </c>
      <c r="D519" s="4">
        <f>48.7766 * CHOOSE(CONTROL!$C$9, $C$13, 100%, $E$13) + CHOOSE(CONTROL!$C$28, 0, 0)</f>
        <v>48.776600000000002</v>
      </c>
      <c r="E519" s="4">
        <f>222.858802938292 * CHOOSE(CONTROL!$C$9, $C$13, 100%, $E$13) + CHOOSE(CONTROL!$C$28, 0, 0)</f>
        <v>222.858802938292</v>
      </c>
    </row>
    <row r="520" spans="1:5" ht="15">
      <c r="A520" s="13">
        <v>57345</v>
      </c>
      <c r="B520" s="4">
        <f>33.3241 * CHOOSE(CONTROL!$C$9, $C$13, 100%, $E$13) + CHOOSE(CONTROL!$C$28, 0.0003, 0)</f>
        <v>33.324400000000004</v>
      </c>
      <c r="C520" s="4">
        <f>32.9609 * CHOOSE(CONTROL!$C$9, $C$13, 100%, $E$13) + CHOOSE(CONTROL!$C$28, 0.0003, 0)</f>
        <v>32.961200000000005</v>
      </c>
      <c r="D520" s="4">
        <f>47.1092 * CHOOSE(CONTROL!$C$9, $C$13, 100%, $E$13) + CHOOSE(CONTROL!$C$28, 0, 0)</f>
        <v>47.109200000000001</v>
      </c>
      <c r="E520" s="4">
        <f>219.368538270043 * CHOOSE(CONTROL!$C$9, $C$13, 100%, $E$13) + CHOOSE(CONTROL!$C$28, 0, 0)</f>
        <v>219.36853827004299</v>
      </c>
    </row>
    <row r="521" spans="1:5" ht="15">
      <c r="A521" s="13">
        <v>57376</v>
      </c>
      <c r="B521" s="4">
        <f>31.9072 * CHOOSE(CONTROL!$C$9, $C$13, 100%, $E$13) + CHOOSE(CONTROL!$C$28, 0.0003, 0)</f>
        <v>31.907499999999999</v>
      </c>
      <c r="C521" s="4">
        <f>31.5439 * CHOOSE(CONTROL!$C$9, $C$13, 100%, $E$13) + CHOOSE(CONTROL!$C$28, 0.0003, 0)</f>
        <v>31.5442</v>
      </c>
      <c r="D521" s="4">
        <f>45.2725 * CHOOSE(CONTROL!$C$9, $C$13, 100%, $E$13) + CHOOSE(CONTROL!$C$28, 0, 0)</f>
        <v>45.272500000000001</v>
      </c>
      <c r="E521" s="4">
        <f>210.230947266757 * CHOOSE(CONTROL!$C$9, $C$13, 100%, $E$13) + CHOOSE(CONTROL!$C$28, 0, 0)</f>
        <v>210.230947266757</v>
      </c>
    </row>
    <row r="522" spans="1:5" ht="15">
      <c r="A522" s="13">
        <v>57404</v>
      </c>
      <c r="B522" s="4">
        <f>32.6464 * CHOOSE(CONTROL!$C$9, $C$13, 100%, $E$13) + CHOOSE(CONTROL!$C$28, 0.0003, 0)</f>
        <v>32.646700000000003</v>
      </c>
      <c r="C522" s="4">
        <f>32.2831 * CHOOSE(CONTROL!$C$9, $C$13, 100%, $E$13) + CHOOSE(CONTROL!$C$28, 0.0003, 0)</f>
        <v>32.2834</v>
      </c>
      <c r="D522" s="4">
        <f>46.8049 * CHOOSE(CONTROL!$C$9, $C$13, 100%, $E$13) + CHOOSE(CONTROL!$C$28, 0, 0)</f>
        <v>46.804900000000004</v>
      </c>
      <c r="E522" s="4">
        <f>215.222658455995 * CHOOSE(CONTROL!$C$9, $C$13, 100%, $E$13) + CHOOSE(CONTROL!$C$28, 0, 0)</f>
        <v>215.222658455995</v>
      </c>
    </row>
    <row r="523" spans="1:5" ht="15">
      <c r="A523" s="13">
        <v>57435</v>
      </c>
      <c r="B523" s="4">
        <f>34.5877 * CHOOSE(CONTROL!$C$9, $C$13, 100%, $E$13) + CHOOSE(CONTROL!$C$28, 0.0003, 0)</f>
        <v>34.588000000000001</v>
      </c>
      <c r="C523" s="4">
        <f>34.2244 * CHOOSE(CONTROL!$C$9, $C$13, 100%, $E$13) + CHOOSE(CONTROL!$C$28, 0.0003, 0)</f>
        <v>34.224700000000006</v>
      </c>
      <c r="D523" s="4">
        <f>49.2039 * CHOOSE(CONTROL!$C$9, $C$13, 100%, $E$13) + CHOOSE(CONTROL!$C$28, 0, 0)</f>
        <v>49.203899999999997</v>
      </c>
      <c r="E523" s="4">
        <f>228.331157314576 * CHOOSE(CONTROL!$C$9, $C$13, 100%, $E$13) + CHOOSE(CONTROL!$C$28, 0, 0)</f>
        <v>228.33115731457599</v>
      </c>
    </row>
    <row r="524" spans="1:5" ht="15">
      <c r="A524" s="13">
        <v>57465</v>
      </c>
      <c r="B524" s="4">
        <f>35.967 * CHOOSE(CONTROL!$C$9, $C$13, 100%, $E$13) + CHOOSE(CONTROL!$C$28, 0.0003, 0)</f>
        <v>35.967300000000002</v>
      </c>
      <c r="C524" s="4">
        <f>35.6037 * CHOOSE(CONTROL!$C$9, $C$13, 100%, $E$13) + CHOOSE(CONTROL!$C$28, 0.0003, 0)</f>
        <v>35.604000000000006</v>
      </c>
      <c r="D524" s="4">
        <f>50.5858 * CHOOSE(CONTROL!$C$9, $C$13, 100%, $E$13) + CHOOSE(CONTROL!$C$28, 0, 0)</f>
        <v>50.585799999999999</v>
      </c>
      <c r="E524" s="4">
        <f>237.644920447314 * CHOOSE(CONTROL!$C$9, $C$13, 100%, $E$13) + CHOOSE(CONTROL!$C$28, 0, 0)</f>
        <v>237.64492044731401</v>
      </c>
    </row>
    <row r="525" spans="1:5" ht="15">
      <c r="A525" s="13">
        <v>57496</v>
      </c>
      <c r="B525" s="4">
        <f>36.8097 * CHOOSE(CONTROL!$C$9, $C$13, 100%, $E$13) + CHOOSE(CONTROL!$C$28, 0.0136, 0)</f>
        <v>36.823299999999996</v>
      </c>
      <c r="C525" s="4">
        <f>36.4464 * CHOOSE(CONTROL!$C$9, $C$13, 100%, $E$13) + CHOOSE(CONTROL!$C$28, 0.0136, 0)</f>
        <v>36.459999999999994</v>
      </c>
      <c r="D525" s="4">
        <f>50.0398 * CHOOSE(CONTROL!$C$9, $C$13, 100%, $E$13) + CHOOSE(CONTROL!$C$28, 0, 0)</f>
        <v>50.0398</v>
      </c>
      <c r="E525" s="4">
        <f>243.335406501669 * CHOOSE(CONTROL!$C$9, $C$13, 100%, $E$13) + CHOOSE(CONTROL!$C$28, 0, 0)</f>
        <v>243.33540650166901</v>
      </c>
    </row>
    <row r="526" spans="1:5" ht="15">
      <c r="A526" s="13">
        <v>57526</v>
      </c>
      <c r="B526" s="4">
        <f>36.9237 * CHOOSE(CONTROL!$C$9, $C$13, 100%, $E$13) + CHOOSE(CONTROL!$C$28, 0.0136, 0)</f>
        <v>36.937299999999993</v>
      </c>
      <c r="C526" s="4">
        <f>36.5604 * CHOOSE(CONTROL!$C$9, $C$13, 100%, $E$13) + CHOOSE(CONTROL!$C$28, 0.0136, 0)</f>
        <v>36.573999999999998</v>
      </c>
      <c r="D526" s="4">
        <f>50.4845 * CHOOSE(CONTROL!$C$9, $C$13, 100%, $E$13) + CHOOSE(CONTROL!$C$28, 0, 0)</f>
        <v>50.484499999999997</v>
      </c>
      <c r="E526" s="4">
        <f>244.105352880825 * CHOOSE(CONTROL!$C$9, $C$13, 100%, $E$13) + CHOOSE(CONTROL!$C$28, 0, 0)</f>
        <v>244.105352880825</v>
      </c>
    </row>
    <row r="527" spans="1:5" ht="15">
      <c r="A527" s="13">
        <v>57557</v>
      </c>
      <c r="B527" s="4">
        <f>36.9122 * CHOOSE(CONTROL!$C$9, $C$13, 100%, $E$13) + CHOOSE(CONTROL!$C$28, 0.0136, 0)</f>
        <v>36.925799999999995</v>
      </c>
      <c r="C527" s="4">
        <f>36.549 * CHOOSE(CONTROL!$C$9, $C$13, 100%, $E$13) + CHOOSE(CONTROL!$C$28, 0.0136, 0)</f>
        <v>36.562599999999996</v>
      </c>
      <c r="D527" s="4">
        <f>51.2869 * CHOOSE(CONTROL!$C$9, $C$13, 100%, $E$13) + CHOOSE(CONTROL!$C$28, 0, 0)</f>
        <v>51.286900000000003</v>
      </c>
      <c r="E527" s="4">
        <f>244.027711229146 * CHOOSE(CONTROL!$C$9, $C$13, 100%, $E$13) + CHOOSE(CONTROL!$C$28, 0, 0)</f>
        <v>244.02771122914601</v>
      </c>
    </row>
    <row r="528" spans="1:5" ht="15">
      <c r="A528" s="13">
        <v>57588</v>
      </c>
      <c r="B528" s="4">
        <f>37.7775 * CHOOSE(CONTROL!$C$9, $C$13, 100%, $E$13) + CHOOSE(CONTROL!$C$28, 0.0136, 0)</f>
        <v>37.7911</v>
      </c>
      <c r="C528" s="4">
        <f>37.4142 * CHOOSE(CONTROL!$C$9, $C$13, 100%, $E$13) + CHOOSE(CONTROL!$C$28, 0.0136, 0)</f>
        <v>37.427799999999998</v>
      </c>
      <c r="D528" s="4">
        <f>50.757 * CHOOSE(CONTROL!$C$9, $C$13, 100%, $E$13) + CHOOSE(CONTROL!$C$28, 0, 0)</f>
        <v>50.756999999999998</v>
      </c>
      <c r="E528" s="4">
        <f>249.870245518039 * CHOOSE(CONTROL!$C$9, $C$13, 100%, $E$13) + CHOOSE(CONTROL!$C$28, 0, 0)</f>
        <v>249.87024551803901</v>
      </c>
    </row>
    <row r="529" spans="1:5" ht="15">
      <c r="A529" s="13">
        <v>57618</v>
      </c>
      <c r="B529" s="4">
        <f>36.3028 * CHOOSE(CONTROL!$C$9, $C$13, 100%, $E$13) + CHOOSE(CONTROL!$C$28, 0.0136, 0)</f>
        <v>36.316399999999994</v>
      </c>
      <c r="C529" s="4">
        <f>35.9395 * CHOOSE(CONTROL!$C$9, $C$13, 100%, $E$13) + CHOOSE(CONTROL!$C$28, 0.0136, 0)</f>
        <v>35.953099999999999</v>
      </c>
      <c r="D529" s="4">
        <f>50.5066 * CHOOSE(CONTROL!$C$9, $C$13, 100%, $E$13) + CHOOSE(CONTROL!$C$28, 0, 0)</f>
        <v>50.506599999999999</v>
      </c>
      <c r="E529" s="4">
        <f>239.912703690124 * CHOOSE(CONTROL!$C$9, $C$13, 100%, $E$13) + CHOOSE(CONTROL!$C$28, 0, 0)</f>
        <v>239.912703690124</v>
      </c>
    </row>
    <row r="530" spans="1:5" ht="15">
      <c r="A530" s="13">
        <v>57649</v>
      </c>
      <c r="B530" s="4">
        <f>35.1223 * CHOOSE(CONTROL!$C$9, $C$13, 100%, $E$13) + CHOOSE(CONTROL!$C$28, 0.0003, 0)</f>
        <v>35.122600000000006</v>
      </c>
      <c r="C530" s="4">
        <f>34.7591 * CHOOSE(CONTROL!$C$9, $C$13, 100%, $E$13) + CHOOSE(CONTROL!$C$28, 0.0003, 0)</f>
        <v>34.759399999999999</v>
      </c>
      <c r="D530" s="4">
        <f>49.8362 * CHOOSE(CONTROL!$C$9, $C$13, 100%, $E$13) + CHOOSE(CONTROL!$C$28, 0, 0)</f>
        <v>49.836199999999998</v>
      </c>
      <c r="E530" s="4">
        <f>231.94149411768 * CHOOSE(CONTROL!$C$9, $C$13, 100%, $E$13) + CHOOSE(CONTROL!$C$28, 0, 0)</f>
        <v>231.94149411768001</v>
      </c>
    </row>
    <row r="531" spans="1:5" ht="15">
      <c r="A531" s="13">
        <v>57679</v>
      </c>
      <c r="B531" s="4">
        <f>34.362 * CHOOSE(CONTROL!$C$9, $C$13, 100%, $E$13) + CHOOSE(CONTROL!$C$28, 0.0003, 0)</f>
        <v>34.362300000000005</v>
      </c>
      <c r="C531" s="4">
        <f>33.9988 * CHOOSE(CONTROL!$C$9, $C$13, 100%, $E$13) + CHOOSE(CONTROL!$C$28, 0.0003, 0)</f>
        <v>33.999100000000006</v>
      </c>
      <c r="D531" s="4">
        <f>49.6057 * CHOOSE(CONTROL!$C$9, $C$13, 100%, $E$13) + CHOOSE(CONTROL!$C$28, 0, 0)</f>
        <v>49.605699999999999</v>
      </c>
      <c r="E531" s="4">
        <f>226.807439900363 * CHOOSE(CONTROL!$C$9, $C$13, 100%, $E$13) + CHOOSE(CONTROL!$C$28, 0, 0)</f>
        <v>226.80743990036299</v>
      </c>
    </row>
    <row r="532" spans="1:5" ht="15">
      <c r="A532" s="13">
        <v>57710</v>
      </c>
      <c r="B532" s="4">
        <f>33.836 * CHOOSE(CONTROL!$C$9, $C$13, 100%, $E$13) + CHOOSE(CONTROL!$C$28, 0.0003, 0)</f>
        <v>33.836300000000001</v>
      </c>
      <c r="C532" s="4">
        <f>33.4727 * CHOOSE(CONTROL!$C$9, $C$13, 100%, $E$13) + CHOOSE(CONTROL!$C$28, 0.0003, 0)</f>
        <v>33.473000000000006</v>
      </c>
      <c r="D532" s="4">
        <f>47.9089 * CHOOSE(CONTROL!$C$9, $C$13, 100%, $E$13) + CHOOSE(CONTROL!$C$28, 0, 0)</f>
        <v>47.908900000000003</v>
      </c>
      <c r="E532" s="4">
        <f>223.255334336019 * CHOOSE(CONTROL!$C$9, $C$13, 100%, $E$13) + CHOOSE(CONTROL!$C$28, 0, 0)</f>
        <v>223.25533433601899</v>
      </c>
    </row>
    <row r="533" spans="1:5" ht="15">
      <c r="A533" s="13">
        <v>57741</v>
      </c>
      <c r="B533" s="4">
        <f>32.3967 * CHOOSE(CONTROL!$C$9, $C$13, 100%, $E$13) + CHOOSE(CONTROL!$C$28, 0.0003, 0)</f>
        <v>32.397000000000006</v>
      </c>
      <c r="C533" s="4">
        <f>32.0335 * CHOOSE(CONTROL!$C$9, $C$13, 100%, $E$13) + CHOOSE(CONTROL!$C$28, 0.0003, 0)</f>
        <v>32.033799999999999</v>
      </c>
      <c r="D533" s="4">
        <f>46.0396 * CHOOSE(CONTROL!$C$9, $C$13, 100%, $E$13) + CHOOSE(CONTROL!$C$28, 0, 0)</f>
        <v>46.0396</v>
      </c>
      <c r="E533" s="4">
        <f>213.955842482939 * CHOOSE(CONTROL!$C$9, $C$13, 100%, $E$13) + CHOOSE(CONTROL!$C$28, 0, 0)</f>
        <v>213.955842482939</v>
      </c>
    </row>
    <row r="534" spans="1:5" ht="15">
      <c r="A534" s="13">
        <v>57769</v>
      </c>
      <c r="B534" s="4">
        <f>33.1476 * CHOOSE(CONTROL!$C$9, $C$13, 100%, $E$13) + CHOOSE(CONTROL!$C$28, 0.0003, 0)</f>
        <v>33.1479</v>
      </c>
      <c r="C534" s="4">
        <f>32.7843 * CHOOSE(CONTROL!$C$9, $C$13, 100%, $E$13) + CHOOSE(CONTROL!$C$28, 0.0003, 0)</f>
        <v>32.784600000000005</v>
      </c>
      <c r="D534" s="4">
        <f>47.5992 * CHOOSE(CONTROL!$C$9, $C$13, 100%, $E$13) + CHOOSE(CONTROL!$C$28, 0, 0)</f>
        <v>47.599200000000003</v>
      </c>
      <c r="E534" s="4">
        <f>219.035997364083 * CHOOSE(CONTROL!$C$9, $C$13, 100%, $E$13) + CHOOSE(CONTROL!$C$28, 0, 0)</f>
        <v>219.03599736408299</v>
      </c>
    </row>
    <row r="535" spans="1:5" ht="15">
      <c r="A535" s="13">
        <v>57800</v>
      </c>
      <c r="B535" s="4">
        <f>35.1194 * CHOOSE(CONTROL!$C$9, $C$13, 100%, $E$13) + CHOOSE(CONTROL!$C$28, 0.0003, 0)</f>
        <v>35.119700000000002</v>
      </c>
      <c r="C535" s="4">
        <f>34.7561 * CHOOSE(CONTROL!$C$9, $C$13, 100%, $E$13) + CHOOSE(CONTROL!$C$28, 0.0003, 0)</f>
        <v>34.756400000000006</v>
      </c>
      <c r="D535" s="4">
        <f>50.0406 * CHOOSE(CONTROL!$C$9, $C$13, 100%, $E$13) + CHOOSE(CONTROL!$C$28, 0, 0)</f>
        <v>50.040599999999998</v>
      </c>
      <c r="E535" s="4">
        <f>232.376754057795 * CHOOSE(CONTROL!$C$9, $C$13, 100%, $E$13) + CHOOSE(CONTROL!$C$28, 0, 0)</f>
        <v>232.37675405779501</v>
      </c>
    </row>
    <row r="536" spans="1:5" ht="15">
      <c r="A536" s="13">
        <v>57830</v>
      </c>
      <c r="B536" s="4">
        <f>36.5204 * CHOOSE(CONTROL!$C$9, $C$13, 100%, $E$13) + CHOOSE(CONTROL!$C$28, 0.0003, 0)</f>
        <v>36.520700000000005</v>
      </c>
      <c r="C536" s="4">
        <f>36.1571 * CHOOSE(CONTROL!$C$9, $C$13, 100%, $E$13) + CHOOSE(CONTROL!$C$28, 0.0003, 0)</f>
        <v>36.157400000000003</v>
      </c>
      <c r="D536" s="4">
        <f>51.4469 * CHOOSE(CONTROL!$C$9, $C$13, 100%, $E$13) + CHOOSE(CONTROL!$C$28, 0, 0)</f>
        <v>51.446899999999999</v>
      </c>
      <c r="E536" s="4">
        <f>241.855539477636 * CHOOSE(CONTROL!$C$9, $C$13, 100%, $E$13) + CHOOSE(CONTROL!$C$28, 0, 0)</f>
        <v>241.855539477636</v>
      </c>
    </row>
    <row r="537" spans="1:5" ht="15">
      <c r="A537" s="13">
        <v>57861</v>
      </c>
      <c r="B537" s="4">
        <f>37.3764 * CHOOSE(CONTROL!$C$9, $C$13, 100%, $E$13) + CHOOSE(CONTROL!$C$28, 0.0136, 0)</f>
        <v>37.389999999999993</v>
      </c>
      <c r="C537" s="4">
        <f>37.0131 * CHOOSE(CONTROL!$C$9, $C$13, 100%, $E$13) + CHOOSE(CONTROL!$C$28, 0.0136, 0)</f>
        <v>37.026699999999998</v>
      </c>
      <c r="D537" s="4">
        <f>50.8912 * CHOOSE(CONTROL!$C$9, $C$13, 100%, $E$13) + CHOOSE(CONTROL!$C$28, 0, 0)</f>
        <v>50.891199999999998</v>
      </c>
      <c r="E537" s="4">
        <f>247.646850194378 * CHOOSE(CONTROL!$C$9, $C$13, 100%, $E$13) + CHOOSE(CONTROL!$C$28, 0, 0)</f>
        <v>247.646850194378</v>
      </c>
    </row>
    <row r="538" spans="1:5" ht="15">
      <c r="A538" s="13">
        <v>57891</v>
      </c>
      <c r="B538" s="4">
        <f>37.4922 * CHOOSE(CONTROL!$C$9, $C$13, 100%, $E$13) + CHOOSE(CONTROL!$C$28, 0.0136, 0)</f>
        <v>37.505799999999994</v>
      </c>
      <c r="C538" s="4">
        <f>37.1289 * CHOOSE(CONTROL!$C$9, $C$13, 100%, $E$13) + CHOOSE(CONTROL!$C$28, 0.0136, 0)</f>
        <v>37.142499999999998</v>
      </c>
      <c r="D538" s="4">
        <f>51.3438 * CHOOSE(CONTROL!$C$9, $C$13, 100%, $E$13) + CHOOSE(CONTROL!$C$28, 0, 0)</f>
        <v>51.343800000000002</v>
      </c>
      <c r="E538" s="4">
        <f>248.430438568787 * CHOOSE(CONTROL!$C$9, $C$13, 100%, $E$13) + CHOOSE(CONTROL!$C$28, 0, 0)</f>
        <v>248.430438568787</v>
      </c>
    </row>
    <row r="539" spans="1:5" ht="15">
      <c r="A539" s="13">
        <v>57922</v>
      </c>
      <c r="B539" s="4">
        <f>37.4805 * CHOOSE(CONTROL!$C$9, $C$13, 100%, $E$13) + CHOOSE(CONTROL!$C$28, 0.0136, 0)</f>
        <v>37.494099999999996</v>
      </c>
      <c r="C539" s="4">
        <f>37.1172 * CHOOSE(CONTROL!$C$9, $C$13, 100%, $E$13) + CHOOSE(CONTROL!$C$28, 0.0136, 0)</f>
        <v>37.130799999999994</v>
      </c>
      <c r="D539" s="4">
        <f>52.1604 * CHOOSE(CONTROL!$C$9, $C$13, 100%, $E$13) + CHOOSE(CONTROL!$C$28, 0, 0)</f>
        <v>52.160400000000003</v>
      </c>
      <c r="E539" s="4">
        <f>248.35142125372 * CHOOSE(CONTROL!$C$9, $C$13, 100%, $E$13) + CHOOSE(CONTROL!$C$28, 0, 0)</f>
        <v>248.35142125371999</v>
      </c>
    </row>
    <row r="540" spans="1:5" ht="15">
      <c r="A540" s="13">
        <v>57953</v>
      </c>
      <c r="B540" s="4">
        <f>38.3594 * CHOOSE(CONTROL!$C$9, $C$13, 100%, $E$13) + CHOOSE(CONTROL!$C$28, 0.0136, 0)</f>
        <v>38.372999999999998</v>
      </c>
      <c r="C540" s="4">
        <f>37.9961 * CHOOSE(CONTROL!$C$9, $C$13, 100%, $E$13) + CHOOSE(CONTROL!$C$28, 0.0136, 0)</f>
        <v>38.009699999999995</v>
      </c>
      <c r="D540" s="4">
        <f>51.6211 * CHOOSE(CONTROL!$C$9, $C$13, 100%, $E$13) + CHOOSE(CONTROL!$C$28, 0, 0)</f>
        <v>51.621099999999998</v>
      </c>
      <c r="E540" s="4">
        <f>254.297474212468 * CHOOSE(CONTROL!$C$9, $C$13, 100%, $E$13) + CHOOSE(CONTROL!$C$28, 0, 0)</f>
        <v>254.29747421246799</v>
      </c>
    </row>
    <row r="541" spans="1:5" ht="15">
      <c r="A541" s="13">
        <v>57983</v>
      </c>
      <c r="B541" s="4">
        <f>36.8615 * CHOOSE(CONTROL!$C$9, $C$13, 100%, $E$13) + CHOOSE(CONTROL!$C$28, 0.0136, 0)</f>
        <v>36.875099999999996</v>
      </c>
      <c r="C541" s="4">
        <f>36.4982 * CHOOSE(CONTROL!$C$9, $C$13, 100%, $E$13) + CHOOSE(CONTROL!$C$28, 0.0136, 0)</f>
        <v>36.511799999999994</v>
      </c>
      <c r="D541" s="4">
        <f>51.3663 * CHOOSE(CONTROL!$C$9, $C$13, 100%, $E$13) + CHOOSE(CONTROL!$C$28, 0, 0)</f>
        <v>51.366300000000003</v>
      </c>
      <c r="E541" s="4">
        <f>244.163503555201 * CHOOSE(CONTROL!$C$9, $C$13, 100%, $E$13) + CHOOSE(CONTROL!$C$28, 0, 0)</f>
        <v>244.163503555201</v>
      </c>
    </row>
    <row r="542" spans="1:5" ht="15">
      <c r="A542" s="13">
        <v>58014</v>
      </c>
      <c r="B542" s="4">
        <f>35.6625 * CHOOSE(CONTROL!$C$9, $C$13, 100%, $E$13) + CHOOSE(CONTROL!$C$28, 0.0003, 0)</f>
        <v>35.662800000000004</v>
      </c>
      <c r="C542" s="4">
        <f>35.2992 * CHOOSE(CONTROL!$C$9, $C$13, 100%, $E$13) + CHOOSE(CONTROL!$C$28, 0.0003, 0)</f>
        <v>35.299500000000002</v>
      </c>
      <c r="D542" s="4">
        <f>50.684 * CHOOSE(CONTROL!$C$9, $C$13, 100%, $E$13) + CHOOSE(CONTROL!$C$28, 0, 0)</f>
        <v>50.683999999999997</v>
      </c>
      <c r="E542" s="4">
        <f>236.051059208383 * CHOOSE(CONTROL!$C$9, $C$13, 100%, $E$13) + CHOOSE(CONTROL!$C$28, 0, 0)</f>
        <v>236.05105920838301</v>
      </c>
    </row>
    <row r="543" spans="1:5" ht="15">
      <c r="A543" s="13">
        <v>58044</v>
      </c>
      <c r="B543" s="4">
        <f>34.8902 * CHOOSE(CONTROL!$C$9, $C$13, 100%, $E$13) + CHOOSE(CONTROL!$C$28, 0.0003, 0)</f>
        <v>34.890500000000003</v>
      </c>
      <c r="C543" s="4">
        <f>34.5269 * CHOOSE(CONTROL!$C$9, $C$13, 100%, $E$13) + CHOOSE(CONTROL!$C$28, 0.0003, 0)</f>
        <v>34.527200000000001</v>
      </c>
      <c r="D543" s="4">
        <f>50.4495 * CHOOSE(CONTROL!$C$9, $C$13, 100%, $E$13) + CHOOSE(CONTROL!$C$28, 0, 0)</f>
        <v>50.4495</v>
      </c>
      <c r="E543" s="4">
        <f>230.826039249617 * CHOOSE(CONTROL!$C$9, $C$13, 100%, $E$13) + CHOOSE(CONTROL!$C$28, 0, 0)</f>
        <v>230.826039249617</v>
      </c>
    </row>
    <row r="544" spans="1:5" ht="15">
      <c r="A544" s="13">
        <v>58075</v>
      </c>
      <c r="B544" s="4">
        <f>34.3559 * CHOOSE(CONTROL!$C$9, $C$13, 100%, $E$13) + CHOOSE(CONTROL!$C$28, 0.0003, 0)</f>
        <v>34.356200000000001</v>
      </c>
      <c r="C544" s="4">
        <f>33.9926 * CHOOSE(CONTROL!$C$9, $C$13, 100%, $E$13) + CHOOSE(CONTROL!$C$28, 0.0003, 0)</f>
        <v>33.992900000000006</v>
      </c>
      <c r="D544" s="4">
        <f>48.7226 * CHOOSE(CONTROL!$C$9, $C$13, 100%, $E$13) + CHOOSE(CONTROL!$C$28, 0, 0)</f>
        <v>48.7226</v>
      </c>
      <c r="E544" s="4">
        <f>227.210997085329 * CHOOSE(CONTROL!$C$9, $C$13, 100%, $E$13) + CHOOSE(CONTROL!$C$28, 0, 0)</f>
        <v>227.21099708532901</v>
      </c>
    </row>
    <row r="545" spans="1:5" ht="15">
      <c r="A545" s="13">
        <v>58106</v>
      </c>
      <c r="B545" s="4">
        <f>32.894 * CHOOSE(CONTROL!$C$9, $C$13, 100%, $E$13) + CHOOSE(CONTROL!$C$28, 0.0003, 0)</f>
        <v>32.894300000000001</v>
      </c>
      <c r="C545" s="4">
        <f>32.5307 * CHOOSE(CONTROL!$C$9, $C$13, 100%, $E$13) + CHOOSE(CONTROL!$C$28, 0.0003, 0)</f>
        <v>32.531000000000006</v>
      </c>
      <c r="D545" s="4">
        <f>46.8204 * CHOOSE(CONTROL!$C$9, $C$13, 100%, $E$13) + CHOOSE(CONTROL!$C$28, 0, 0)</f>
        <v>46.820399999999999</v>
      </c>
      <c r="E545" s="4">
        <f>217.746735805259 * CHOOSE(CONTROL!$C$9, $C$13, 100%, $E$13) + CHOOSE(CONTROL!$C$28, 0, 0)</f>
        <v>217.74673580525899</v>
      </c>
    </row>
    <row r="546" spans="1:5" ht="15">
      <c r="A546" s="13">
        <v>58134</v>
      </c>
      <c r="B546" s="4">
        <f>33.6567 * CHOOSE(CONTROL!$C$9, $C$13, 100%, $E$13) + CHOOSE(CONTROL!$C$28, 0.0003, 0)</f>
        <v>33.657000000000004</v>
      </c>
      <c r="C546" s="4">
        <f>33.2934 * CHOOSE(CONTROL!$C$9, $C$13, 100%, $E$13) + CHOOSE(CONTROL!$C$28, 0.0003, 0)</f>
        <v>33.293700000000001</v>
      </c>
      <c r="D546" s="4">
        <f>48.4075 * CHOOSE(CONTROL!$C$9, $C$13, 100%, $E$13) + CHOOSE(CONTROL!$C$28, 0, 0)</f>
        <v>48.407499999999999</v>
      </c>
      <c r="E546" s="4">
        <f>222.916901433443 * CHOOSE(CONTROL!$C$9, $C$13, 100%, $E$13) + CHOOSE(CONTROL!$C$28, 0, 0)</f>
        <v>222.916901433443</v>
      </c>
    </row>
    <row r="547" spans="1:5" ht="15">
      <c r="A547" s="13">
        <v>58165</v>
      </c>
      <c r="B547" s="4">
        <f>35.6595 * CHOOSE(CONTROL!$C$9, $C$13, 100%, $E$13) + CHOOSE(CONTROL!$C$28, 0.0003, 0)</f>
        <v>35.659800000000004</v>
      </c>
      <c r="C547" s="4">
        <f>35.2962 * CHOOSE(CONTROL!$C$9, $C$13, 100%, $E$13) + CHOOSE(CONTROL!$C$28, 0.0003, 0)</f>
        <v>35.296500000000002</v>
      </c>
      <c r="D547" s="4">
        <f>50.892 * CHOOSE(CONTROL!$C$9, $C$13, 100%, $E$13) + CHOOSE(CONTROL!$C$28, 0, 0)</f>
        <v>50.892000000000003</v>
      </c>
      <c r="E547" s="4">
        <f>236.494031132342 * CHOOSE(CONTROL!$C$9, $C$13, 100%, $E$13) + CHOOSE(CONTROL!$C$28, 0, 0)</f>
        <v>236.494031132342</v>
      </c>
    </row>
    <row r="548" spans="1:5" ht="15">
      <c r="A548" s="13">
        <v>58195</v>
      </c>
      <c r="B548" s="4">
        <f>37.0825 * CHOOSE(CONTROL!$C$9, $C$13, 100%, $E$13) + CHOOSE(CONTROL!$C$28, 0.0003, 0)</f>
        <v>37.082800000000006</v>
      </c>
      <c r="C548" s="4">
        <f>36.7192 * CHOOSE(CONTROL!$C$9, $C$13, 100%, $E$13) + CHOOSE(CONTROL!$C$28, 0.0003, 0)</f>
        <v>36.719500000000004</v>
      </c>
      <c r="D548" s="4">
        <f>52.3231 * CHOOSE(CONTROL!$C$9, $C$13, 100%, $E$13) + CHOOSE(CONTROL!$C$28, 0, 0)</f>
        <v>52.323099999999997</v>
      </c>
      <c r="E548" s="4">
        <f>246.140762722452 * CHOOSE(CONTROL!$C$9, $C$13, 100%, $E$13) + CHOOSE(CONTROL!$C$28, 0, 0)</f>
        <v>246.140762722452</v>
      </c>
    </row>
    <row r="549" spans="1:5" ht="15">
      <c r="A549" s="13">
        <v>58226</v>
      </c>
      <c r="B549" s="4">
        <f>37.952 * CHOOSE(CONTROL!$C$9, $C$13, 100%, $E$13) + CHOOSE(CONTROL!$C$28, 0.0136, 0)</f>
        <v>37.965599999999995</v>
      </c>
      <c r="C549" s="4">
        <f>37.5887 * CHOOSE(CONTROL!$C$9, $C$13, 100%, $E$13) + CHOOSE(CONTROL!$C$28, 0.0136, 0)</f>
        <v>37.6023</v>
      </c>
      <c r="D549" s="4">
        <f>51.7576 * CHOOSE(CONTROL!$C$9, $C$13, 100%, $E$13) + CHOOSE(CONTROL!$C$28, 0, 0)</f>
        <v>51.757599999999996</v>
      </c>
      <c r="E549" s="4">
        <f>252.034684524121 * CHOOSE(CONTROL!$C$9, $C$13, 100%, $E$13) + CHOOSE(CONTROL!$C$28, 0, 0)</f>
        <v>252.03468452412099</v>
      </c>
    </row>
    <row r="550" spans="1:5" ht="15">
      <c r="A550" s="13">
        <v>58256</v>
      </c>
      <c r="B550" s="4">
        <f>38.0696 * CHOOSE(CONTROL!$C$9, $C$13, 100%, $E$13) + CHOOSE(CONTROL!$C$28, 0.0136, 0)</f>
        <v>38.083199999999998</v>
      </c>
      <c r="C550" s="4">
        <f>37.7063 * CHOOSE(CONTROL!$C$9, $C$13, 100%, $E$13) + CHOOSE(CONTROL!$C$28, 0.0136, 0)</f>
        <v>37.719899999999996</v>
      </c>
      <c r="D550" s="4">
        <f>52.2182 * CHOOSE(CONTROL!$C$9, $C$13, 100%, $E$13) + CHOOSE(CONTROL!$C$28, 0, 0)</f>
        <v>52.218200000000003</v>
      </c>
      <c r="E550" s="4">
        <f>252.832156604165 * CHOOSE(CONTROL!$C$9, $C$13, 100%, $E$13) + CHOOSE(CONTROL!$C$28, 0, 0)</f>
        <v>252.83215660416499</v>
      </c>
    </row>
    <row r="551" spans="1:5" ht="15">
      <c r="A551" s="13">
        <v>58287</v>
      </c>
      <c r="B551" s="4">
        <f>38.0577 * CHOOSE(CONTROL!$C$9, $C$13, 100%, $E$13) + CHOOSE(CONTROL!$C$28, 0.0136, 0)</f>
        <v>38.071299999999994</v>
      </c>
      <c r="C551" s="4">
        <f>37.6944 * CHOOSE(CONTROL!$C$9, $C$13, 100%, $E$13) + CHOOSE(CONTROL!$C$28, 0.0136, 0)</f>
        <v>37.707999999999998</v>
      </c>
      <c r="D551" s="4">
        <f>53.0492 * CHOOSE(CONTROL!$C$9, $C$13, 100%, $E$13) + CHOOSE(CONTROL!$C$28, 0, 0)</f>
        <v>53.049199999999999</v>
      </c>
      <c r="E551" s="4">
        <f>252.751739251556 * CHOOSE(CONTROL!$C$9, $C$13, 100%, $E$13) + CHOOSE(CONTROL!$C$28, 0, 0)</f>
        <v>252.75173925155599</v>
      </c>
    </row>
    <row r="552" spans="1:5" ht="15">
      <c r="A552" s="13">
        <v>58318</v>
      </c>
      <c r="B552" s="4">
        <f>38.9504 * CHOOSE(CONTROL!$C$9, $C$13, 100%, $E$13) + CHOOSE(CONTROL!$C$28, 0.0136, 0)</f>
        <v>38.963999999999999</v>
      </c>
      <c r="C552" s="4">
        <f>38.5871 * CHOOSE(CONTROL!$C$9, $C$13, 100%, $E$13) + CHOOSE(CONTROL!$C$28, 0.0136, 0)</f>
        <v>38.600699999999996</v>
      </c>
      <c r="D552" s="4">
        <f>52.5004 * CHOOSE(CONTROL!$C$9, $C$13, 100%, $E$13) + CHOOSE(CONTROL!$C$28, 0, 0)</f>
        <v>52.500399999999999</v>
      </c>
      <c r="E552" s="4">
        <f>258.803145035418 * CHOOSE(CONTROL!$C$9, $C$13, 100%, $E$13) + CHOOSE(CONTROL!$C$28, 0, 0)</f>
        <v>258.80314503541803</v>
      </c>
    </row>
    <row r="553" spans="1:5" ht="15">
      <c r="A553" s="13">
        <v>58348</v>
      </c>
      <c r="B553" s="4">
        <f>37.429 * CHOOSE(CONTROL!$C$9, $C$13, 100%, $E$13) + CHOOSE(CONTROL!$C$28, 0.0136, 0)</f>
        <v>37.442599999999999</v>
      </c>
      <c r="C553" s="4">
        <f>37.0657 * CHOOSE(CONTROL!$C$9, $C$13, 100%, $E$13) + CHOOSE(CONTROL!$C$28, 0.0136, 0)</f>
        <v>37.079299999999996</v>
      </c>
      <c r="D553" s="4">
        <f>52.2411 * CHOOSE(CONTROL!$C$9, $C$13, 100%, $E$13) + CHOOSE(CONTROL!$C$28, 0, 0)</f>
        <v>52.241100000000003</v>
      </c>
      <c r="E553" s="4">
        <f>248.489619563254 * CHOOSE(CONTROL!$C$9, $C$13, 100%, $E$13) + CHOOSE(CONTROL!$C$28, 0, 0)</f>
        <v>248.489619563254</v>
      </c>
    </row>
    <row r="554" spans="1:5" ht="15">
      <c r="A554" s="13">
        <v>58379</v>
      </c>
      <c r="B554" s="4">
        <f>36.2111 * CHOOSE(CONTROL!$C$9, $C$13, 100%, $E$13) + CHOOSE(CONTROL!$C$28, 0.0003, 0)</f>
        <v>36.211400000000005</v>
      </c>
      <c r="C554" s="4">
        <f>35.8478 * CHOOSE(CONTROL!$C$9, $C$13, 100%, $E$13) + CHOOSE(CONTROL!$C$28, 0.0003, 0)</f>
        <v>35.848100000000002</v>
      </c>
      <c r="D554" s="4">
        <f>51.5468 * CHOOSE(CONTROL!$C$9, $C$13, 100%, $E$13) + CHOOSE(CONTROL!$C$28, 0, 0)</f>
        <v>51.546799999999998</v>
      </c>
      <c r="E554" s="4">
        <f>240.233438028682 * CHOOSE(CONTROL!$C$9, $C$13, 100%, $E$13) + CHOOSE(CONTROL!$C$28, 0, 0)</f>
        <v>240.233438028682</v>
      </c>
    </row>
    <row r="555" spans="1:5" ht="15">
      <c r="A555" s="13">
        <v>58409</v>
      </c>
      <c r="B555" s="4">
        <f>35.4267 * CHOOSE(CONTROL!$C$9, $C$13, 100%, $E$13) + CHOOSE(CONTROL!$C$28, 0.0003, 0)</f>
        <v>35.427</v>
      </c>
      <c r="C555" s="4">
        <f>35.0634 * CHOOSE(CONTROL!$C$9, $C$13, 100%, $E$13) + CHOOSE(CONTROL!$C$28, 0.0003, 0)</f>
        <v>35.063700000000004</v>
      </c>
      <c r="D555" s="4">
        <f>51.3081 * CHOOSE(CONTROL!$C$9, $C$13, 100%, $E$13) + CHOOSE(CONTROL!$C$28, 0, 0)</f>
        <v>51.308100000000003</v>
      </c>
      <c r="E555" s="4">
        <f>234.915840587381 * CHOOSE(CONTROL!$C$9, $C$13, 100%, $E$13) + CHOOSE(CONTROL!$C$28, 0, 0)</f>
        <v>234.91584058738101</v>
      </c>
    </row>
    <row r="556" spans="1:5" ht="15">
      <c r="A556" s="13">
        <v>58440</v>
      </c>
      <c r="B556" s="4">
        <f>34.884 * CHOOSE(CONTROL!$C$9, $C$13, 100%, $E$13) + CHOOSE(CONTROL!$C$28, 0.0003, 0)</f>
        <v>34.884300000000003</v>
      </c>
      <c r="C556" s="4">
        <f>34.5207 * CHOOSE(CONTROL!$C$9, $C$13, 100%, $E$13) + CHOOSE(CONTROL!$C$28, 0.0003, 0)</f>
        <v>34.521000000000001</v>
      </c>
      <c r="D556" s="4">
        <f>49.5507 * CHOOSE(CONTROL!$C$9, $C$13, 100%, $E$13) + CHOOSE(CONTROL!$C$28, 0, 0)</f>
        <v>49.550699999999999</v>
      </c>
      <c r="E556" s="4">
        <f>231.236746705498 * CHOOSE(CONTROL!$C$9, $C$13, 100%, $E$13) + CHOOSE(CONTROL!$C$28, 0, 0)</f>
        <v>231.23674670549801</v>
      </c>
    </row>
    <row r="557" spans="1:5" ht="15">
      <c r="A557" s="13">
        <v>58471</v>
      </c>
      <c r="B557" s="4">
        <f>33.3991 * CHOOSE(CONTROL!$C$9, $C$13, 100%, $E$13) + CHOOSE(CONTROL!$C$28, 0.0003, 0)</f>
        <v>33.3994</v>
      </c>
      <c r="C557" s="4">
        <f>33.0358 * CHOOSE(CONTROL!$C$9, $C$13, 100%, $E$13) + CHOOSE(CONTROL!$C$28, 0.0003, 0)</f>
        <v>33.036100000000005</v>
      </c>
      <c r="D557" s="4">
        <f>47.6149 * CHOOSE(CONTROL!$C$9, $C$13, 100%, $E$13) + CHOOSE(CONTROL!$C$28, 0, 0)</f>
        <v>47.614899999999999</v>
      </c>
      <c r="E557" s="4">
        <f>221.604796595477 * CHOOSE(CONTROL!$C$9, $C$13, 100%, $E$13) + CHOOSE(CONTROL!$C$28, 0, 0)</f>
        <v>221.60479659547701</v>
      </c>
    </row>
    <row r="558" spans="1:5" ht="15">
      <c r="A558" s="13">
        <v>58499</v>
      </c>
      <c r="B558" s="4">
        <f>34.1738 * CHOOSE(CONTROL!$C$9, $C$13, 100%, $E$13) + CHOOSE(CONTROL!$C$28, 0.0003, 0)</f>
        <v>34.174100000000003</v>
      </c>
      <c r="C558" s="4">
        <f>33.8105 * CHOOSE(CONTROL!$C$9, $C$13, 100%, $E$13) + CHOOSE(CONTROL!$C$28, 0.0003, 0)</f>
        <v>33.8108</v>
      </c>
      <c r="D558" s="4">
        <f>49.23 * CHOOSE(CONTROL!$C$9, $C$13, 100%, $E$13) + CHOOSE(CONTROL!$C$28, 0, 0)</f>
        <v>49.23</v>
      </c>
      <c r="E558" s="4">
        <f>226.866567791088 * CHOOSE(CONTROL!$C$9, $C$13, 100%, $E$13) + CHOOSE(CONTROL!$C$28, 0, 0)</f>
        <v>226.86656779108799</v>
      </c>
    </row>
    <row r="559" spans="1:5" ht="15">
      <c r="A559" s="13">
        <v>58531</v>
      </c>
      <c r="B559" s="4">
        <f>36.2081 * CHOOSE(CONTROL!$C$9, $C$13, 100%, $E$13) + CHOOSE(CONTROL!$C$28, 0.0003, 0)</f>
        <v>36.208400000000005</v>
      </c>
      <c r="C559" s="4">
        <f>35.8448 * CHOOSE(CONTROL!$C$9, $C$13, 100%, $E$13) + CHOOSE(CONTROL!$C$28, 0.0003, 0)</f>
        <v>35.845100000000002</v>
      </c>
      <c r="D559" s="4">
        <f>51.7584 * CHOOSE(CONTROL!$C$9, $C$13, 100%, $E$13) + CHOOSE(CONTROL!$C$28, 0, 0)</f>
        <v>51.758400000000002</v>
      </c>
      <c r="E559" s="4">
        <f>240.684258578268 * CHOOSE(CONTROL!$C$9, $C$13, 100%, $E$13) + CHOOSE(CONTROL!$C$28, 0, 0)</f>
        <v>240.68425857826799</v>
      </c>
    </row>
    <row r="560" spans="1:5" ht="15">
      <c r="A560" s="13">
        <v>58561</v>
      </c>
      <c r="B560" s="4">
        <f>37.6535 * CHOOSE(CONTROL!$C$9, $C$13, 100%, $E$13) + CHOOSE(CONTROL!$C$28, 0.0003, 0)</f>
        <v>37.653800000000004</v>
      </c>
      <c r="C560" s="4">
        <f>37.2902 * CHOOSE(CONTROL!$C$9, $C$13, 100%, $E$13) + CHOOSE(CONTROL!$C$28, 0.0003, 0)</f>
        <v>37.290500000000002</v>
      </c>
      <c r="D560" s="4">
        <f>53.2149 * CHOOSE(CONTROL!$C$9, $C$13, 100%, $E$13) + CHOOSE(CONTROL!$C$28, 0, 0)</f>
        <v>53.2149</v>
      </c>
      <c r="E560" s="4">
        <f>250.501912027501 * CHOOSE(CONTROL!$C$9, $C$13, 100%, $E$13) + CHOOSE(CONTROL!$C$28, 0, 0)</f>
        <v>250.50191202750099</v>
      </c>
    </row>
    <row r="561" spans="1:5" ht="15">
      <c r="A561" s="13">
        <v>58592</v>
      </c>
      <c r="B561" s="4">
        <f>38.5366 * CHOOSE(CONTROL!$C$9, $C$13, 100%, $E$13) + CHOOSE(CONTROL!$C$28, 0.0136, 0)</f>
        <v>38.550199999999997</v>
      </c>
      <c r="C561" s="4">
        <f>38.1733 * CHOOSE(CONTROL!$C$9, $C$13, 100%, $E$13) + CHOOSE(CONTROL!$C$28, 0.0136, 0)</f>
        <v>38.186899999999994</v>
      </c>
      <c r="D561" s="4">
        <f>52.6394 * CHOOSE(CONTROL!$C$9, $C$13, 100%, $E$13) + CHOOSE(CONTROL!$C$28, 0, 0)</f>
        <v>52.639400000000002</v>
      </c>
      <c r="E561" s="4">
        <f>256.500262988668 * CHOOSE(CONTROL!$C$9, $C$13, 100%, $E$13) + CHOOSE(CONTROL!$C$28, 0, 0)</f>
        <v>256.500262988668</v>
      </c>
    </row>
    <row r="562" spans="1:5" ht="15">
      <c r="A562" s="13">
        <v>58622</v>
      </c>
      <c r="B562" s="4">
        <f>38.6561 * CHOOSE(CONTROL!$C$9, $C$13, 100%, $E$13) + CHOOSE(CONTROL!$C$28, 0.0136, 0)</f>
        <v>38.669699999999999</v>
      </c>
      <c r="C562" s="4">
        <f>38.2928 * CHOOSE(CONTROL!$C$9, $C$13, 100%, $E$13) + CHOOSE(CONTROL!$C$28, 0.0136, 0)</f>
        <v>38.306399999999996</v>
      </c>
      <c r="D562" s="4">
        <f>53.1081 * CHOOSE(CONTROL!$C$9, $C$13, 100%, $E$13) + CHOOSE(CONTROL!$C$28, 0, 0)</f>
        <v>53.1081</v>
      </c>
      <c r="E562" s="4">
        <f>257.311864767382 * CHOOSE(CONTROL!$C$9, $C$13, 100%, $E$13) + CHOOSE(CONTROL!$C$28, 0, 0)</f>
        <v>257.31186476738202</v>
      </c>
    </row>
    <row r="563" spans="1:5" ht="15">
      <c r="A563" s="13">
        <v>58653</v>
      </c>
      <c r="B563" s="4">
        <f>38.644 * CHOOSE(CONTROL!$C$9, $C$13, 100%, $E$13) + CHOOSE(CONTROL!$C$28, 0.0136, 0)</f>
        <v>38.657599999999995</v>
      </c>
      <c r="C563" s="4">
        <f>38.2807 * CHOOSE(CONTROL!$C$9, $C$13, 100%, $E$13) + CHOOSE(CONTROL!$C$28, 0.0136, 0)</f>
        <v>38.2943</v>
      </c>
      <c r="D563" s="4">
        <f>53.9538 * CHOOSE(CONTROL!$C$9, $C$13, 100%, $E$13) + CHOOSE(CONTROL!$C$28, 0, 0)</f>
        <v>53.953800000000001</v>
      </c>
      <c r="E563" s="4">
        <f>257.230022571209 * CHOOSE(CONTROL!$C$9, $C$13, 100%, $E$13) + CHOOSE(CONTROL!$C$28, 0, 0)</f>
        <v>257.23002257120902</v>
      </c>
    </row>
    <row r="564" spans="1:5" ht="15">
      <c r="A564" s="13">
        <v>58684</v>
      </c>
      <c r="B564" s="4">
        <f>39.5507 * CHOOSE(CONTROL!$C$9, $C$13, 100%, $E$13) + CHOOSE(CONTROL!$C$28, 0.0136, 0)</f>
        <v>39.564299999999996</v>
      </c>
      <c r="C564" s="4">
        <f>39.1874 * CHOOSE(CONTROL!$C$9, $C$13, 100%, $E$13) + CHOOSE(CONTROL!$C$28, 0.0136, 0)</f>
        <v>39.200999999999993</v>
      </c>
      <c r="D564" s="4">
        <f>53.3953 * CHOOSE(CONTROL!$C$9, $C$13, 100%, $E$13) + CHOOSE(CONTROL!$C$28, 0, 0)</f>
        <v>53.395299999999999</v>
      </c>
      <c r="E564" s="4">
        <f>263.388647833214 * CHOOSE(CONTROL!$C$9, $C$13, 100%, $E$13) + CHOOSE(CONTROL!$C$28, 0, 0)</f>
        <v>263.38864783321401</v>
      </c>
    </row>
    <row r="565" spans="1:5" ht="15">
      <c r="A565" s="13">
        <v>58714</v>
      </c>
      <c r="B565" s="4">
        <f>38.0054 * CHOOSE(CONTROL!$C$9, $C$13, 100%, $E$13) + CHOOSE(CONTROL!$C$28, 0.0136, 0)</f>
        <v>38.018999999999998</v>
      </c>
      <c r="C565" s="4">
        <f>37.6421 * CHOOSE(CONTROL!$C$9, $C$13, 100%, $E$13) + CHOOSE(CONTROL!$C$28, 0.0136, 0)</f>
        <v>37.655699999999996</v>
      </c>
      <c r="D565" s="4">
        <f>53.1314 * CHOOSE(CONTROL!$C$9, $C$13, 100%, $E$13) + CHOOSE(CONTROL!$C$28, 0, 0)</f>
        <v>53.131399999999999</v>
      </c>
      <c r="E565" s="4">
        <f>252.892386174049 * CHOOSE(CONTROL!$C$9, $C$13, 100%, $E$13) + CHOOSE(CONTROL!$C$28, 0, 0)</f>
        <v>252.89238617404899</v>
      </c>
    </row>
    <row r="566" spans="1:5" ht="15">
      <c r="A566" s="13">
        <v>58745</v>
      </c>
      <c r="B566" s="4">
        <f>36.7684 * CHOOSE(CONTROL!$C$9, $C$13, 100%, $E$13) + CHOOSE(CONTROL!$C$28, 0.0003, 0)</f>
        <v>36.768700000000003</v>
      </c>
      <c r="C566" s="4">
        <f>36.4051 * CHOOSE(CONTROL!$C$9, $C$13, 100%, $E$13) + CHOOSE(CONTROL!$C$28, 0.0003, 0)</f>
        <v>36.4054</v>
      </c>
      <c r="D566" s="4">
        <f>52.4248 * CHOOSE(CONTROL!$C$9, $C$13, 100%, $E$13) + CHOOSE(CONTROL!$C$28, 0, 0)</f>
        <v>52.424799999999998</v>
      </c>
      <c r="E566" s="4">
        <f>244.489920700305 * CHOOSE(CONTROL!$C$9, $C$13, 100%, $E$13) + CHOOSE(CONTROL!$C$28, 0, 0)</f>
        <v>244.48992070030499</v>
      </c>
    </row>
    <row r="567" spans="1:5" ht="15">
      <c r="A567" s="13">
        <v>58775</v>
      </c>
      <c r="B567" s="4">
        <f>35.9716 * CHOOSE(CONTROL!$C$9, $C$13, 100%, $E$13) + CHOOSE(CONTROL!$C$28, 0.0003, 0)</f>
        <v>35.971900000000005</v>
      </c>
      <c r="C567" s="4">
        <f>35.6083 * CHOOSE(CONTROL!$C$9, $C$13, 100%, $E$13) + CHOOSE(CONTROL!$C$28, 0.0003, 0)</f>
        <v>35.608600000000003</v>
      </c>
      <c r="D567" s="4">
        <f>52.1819 * CHOOSE(CONTROL!$C$9, $C$13, 100%, $E$13) + CHOOSE(CONTROL!$C$28, 0, 0)</f>
        <v>52.181899999999999</v>
      </c>
      <c r="E567" s="4">
        <f>239.078105478376 * CHOOSE(CONTROL!$C$9, $C$13, 100%, $E$13) + CHOOSE(CONTROL!$C$28, 0, 0)</f>
        <v>239.07810547837599</v>
      </c>
    </row>
    <row r="568" spans="1:5" ht="15">
      <c r="A568" s="13">
        <v>58806</v>
      </c>
      <c r="B568" s="4">
        <f>35.4204 * CHOOSE(CONTROL!$C$9, $C$13, 100%, $E$13) + CHOOSE(CONTROL!$C$28, 0.0003, 0)</f>
        <v>35.420700000000004</v>
      </c>
      <c r="C568" s="4">
        <f>35.0571 * CHOOSE(CONTROL!$C$9, $C$13, 100%, $E$13) + CHOOSE(CONTROL!$C$28, 0.0003, 0)</f>
        <v>35.057400000000001</v>
      </c>
      <c r="D568" s="4">
        <f>50.3935 * CHOOSE(CONTROL!$C$9, $C$13, 100%, $E$13) + CHOOSE(CONTROL!$C$28, 0, 0)</f>
        <v>50.393500000000003</v>
      </c>
      <c r="E568" s="4">
        <f>235.333825003469 * CHOOSE(CONTROL!$C$9, $C$13, 100%, $E$13) + CHOOSE(CONTROL!$C$28, 0, 0)</f>
        <v>235.333825003469</v>
      </c>
    </row>
    <row r="569" spans="1:5" ht="15">
      <c r="A569" s="13">
        <v>58837</v>
      </c>
      <c r="B569" s="4">
        <f>33.9121 * CHOOSE(CONTROL!$C$9, $C$13, 100%, $E$13) + CHOOSE(CONTROL!$C$28, 0.0003, 0)</f>
        <v>33.912400000000005</v>
      </c>
      <c r="C569" s="4">
        <f>33.5489 * CHOOSE(CONTROL!$C$9, $C$13, 100%, $E$13) + CHOOSE(CONTROL!$C$28, 0.0003, 0)</f>
        <v>33.549200000000006</v>
      </c>
      <c r="D569" s="4">
        <f>48.4234 * CHOOSE(CONTROL!$C$9, $C$13, 100%, $E$13) + CHOOSE(CONTROL!$C$28, 0, 0)</f>
        <v>48.423400000000001</v>
      </c>
      <c r="E569" s="4">
        <f>225.531214934229 * CHOOSE(CONTROL!$C$9, $C$13, 100%, $E$13) + CHOOSE(CONTROL!$C$28, 0, 0)</f>
        <v>225.53121493422901</v>
      </c>
    </row>
    <row r="570" spans="1:5" ht="15">
      <c r="A570" s="13">
        <v>58865</v>
      </c>
      <c r="B570" s="4">
        <f>34.699 * CHOOSE(CONTROL!$C$9, $C$13, 100%, $E$13) + CHOOSE(CONTROL!$C$28, 0.0003, 0)</f>
        <v>34.699300000000001</v>
      </c>
      <c r="C570" s="4">
        <f>34.3357 * CHOOSE(CONTROL!$C$9, $C$13, 100%, $E$13) + CHOOSE(CONTROL!$C$28, 0.0003, 0)</f>
        <v>34.336000000000006</v>
      </c>
      <c r="D570" s="4">
        <f>50.0671 * CHOOSE(CONTROL!$C$9, $C$13, 100%, $E$13) + CHOOSE(CONTROL!$C$28, 0, 0)</f>
        <v>50.067100000000003</v>
      </c>
      <c r="E570" s="4">
        <f>230.886214774861 * CHOOSE(CONTROL!$C$9, $C$13, 100%, $E$13) + CHOOSE(CONTROL!$C$28, 0, 0)</f>
        <v>230.886214774861</v>
      </c>
    </row>
    <row r="571" spans="1:5" ht="15">
      <c r="A571" s="13">
        <v>58893</v>
      </c>
      <c r="B571" s="4">
        <f>36.7653 * CHOOSE(CONTROL!$C$9, $C$13, 100%, $E$13) + CHOOSE(CONTROL!$C$28, 0.0003, 0)</f>
        <v>36.765600000000006</v>
      </c>
      <c r="C571" s="4">
        <f>36.402 * CHOOSE(CONTROL!$C$9, $C$13, 100%, $E$13) + CHOOSE(CONTROL!$C$28, 0.0003, 0)</f>
        <v>36.402300000000004</v>
      </c>
      <c r="D571" s="4">
        <f>52.6402 * CHOOSE(CONTROL!$C$9, $C$13, 100%, $E$13) + CHOOSE(CONTROL!$C$28, 0, 0)</f>
        <v>52.6402</v>
      </c>
      <c r="E571" s="4">
        <f>244.948728938337 * CHOOSE(CONTROL!$C$9, $C$13, 100%, $E$13) + CHOOSE(CONTROL!$C$28, 0, 0)</f>
        <v>244.94872893833701</v>
      </c>
    </row>
    <row r="572" spans="1:5" ht="15">
      <c r="A572" s="13">
        <v>58926</v>
      </c>
      <c r="B572" s="4">
        <f>38.2334 * CHOOSE(CONTROL!$C$9, $C$13, 100%, $E$13) + CHOOSE(CONTROL!$C$28, 0.0003, 0)</f>
        <v>38.233700000000006</v>
      </c>
      <c r="C572" s="4">
        <f>37.8701 * CHOOSE(CONTROL!$C$9, $C$13, 100%, $E$13) + CHOOSE(CONTROL!$C$28, 0.0003, 0)</f>
        <v>37.870400000000004</v>
      </c>
      <c r="D572" s="4">
        <f>54.1224 * CHOOSE(CONTROL!$C$9, $C$13, 100%, $E$13) + CHOOSE(CONTROL!$C$28, 0, 0)</f>
        <v>54.122399999999999</v>
      </c>
      <c r="E572" s="4">
        <f>254.940332659129 * CHOOSE(CONTROL!$C$9, $C$13, 100%, $E$13) + CHOOSE(CONTROL!$C$28, 0, 0)</f>
        <v>254.94033265912901</v>
      </c>
    </row>
    <row r="573" spans="1:5" ht="15">
      <c r="A573" s="13">
        <v>58957</v>
      </c>
      <c r="B573" s="4">
        <f>39.1304 * CHOOSE(CONTROL!$C$9, $C$13, 100%, $E$13) + CHOOSE(CONTROL!$C$28, 0.0136, 0)</f>
        <v>39.143999999999998</v>
      </c>
      <c r="C573" s="4">
        <f>38.7671 * CHOOSE(CONTROL!$C$9, $C$13, 100%, $E$13) + CHOOSE(CONTROL!$C$28, 0.0136, 0)</f>
        <v>38.780699999999996</v>
      </c>
      <c r="D573" s="4">
        <f>53.5367 * CHOOSE(CONTROL!$C$9, $C$13, 100%, $E$13) + CHOOSE(CONTROL!$C$28, 0, 0)</f>
        <v>53.536700000000003</v>
      </c>
      <c r="E573" s="4">
        <f>261.044963067213 * CHOOSE(CONTROL!$C$9, $C$13, 100%, $E$13) + CHOOSE(CONTROL!$C$28, 0, 0)</f>
        <v>261.04496306721302</v>
      </c>
    </row>
    <row r="574" spans="1:5" ht="15">
      <c r="A574" s="13">
        <v>58987</v>
      </c>
      <c r="B574" s="4">
        <f>39.2518 * CHOOSE(CONTROL!$C$9, $C$13, 100%, $E$13) + CHOOSE(CONTROL!$C$28, 0.0136, 0)</f>
        <v>39.2654</v>
      </c>
      <c r="C574" s="4">
        <f>38.8885 * CHOOSE(CONTROL!$C$9, $C$13, 100%, $E$13) + CHOOSE(CONTROL!$C$28, 0.0136, 0)</f>
        <v>38.902099999999997</v>
      </c>
      <c r="D574" s="4">
        <f>54.0137 * CHOOSE(CONTROL!$C$9, $C$13, 100%, $E$13) + CHOOSE(CONTROL!$C$28, 0, 0)</f>
        <v>54.0137</v>
      </c>
      <c r="E574" s="4">
        <f>261.870944896163 * CHOOSE(CONTROL!$C$9, $C$13, 100%, $E$13) + CHOOSE(CONTROL!$C$28, 0, 0)</f>
        <v>261.870944896163</v>
      </c>
    </row>
    <row r="575" spans="1:5" ht="15">
      <c r="A575" s="13">
        <v>59018</v>
      </c>
      <c r="B575" s="4">
        <f>39.2395 * CHOOSE(CONTROL!$C$9, $C$13, 100%, $E$13) + CHOOSE(CONTROL!$C$28, 0.0136, 0)</f>
        <v>39.253099999999996</v>
      </c>
      <c r="C575" s="4">
        <f>38.8763 * CHOOSE(CONTROL!$C$9, $C$13, 100%, $E$13) + CHOOSE(CONTROL!$C$28, 0.0136, 0)</f>
        <v>38.889899999999997</v>
      </c>
      <c r="D575" s="4">
        <f>54.8744 * CHOOSE(CONTROL!$C$9, $C$13, 100%, $E$13) + CHOOSE(CONTROL!$C$28, 0, 0)</f>
        <v>54.874400000000001</v>
      </c>
      <c r="E575" s="4">
        <f>261.787652610891 * CHOOSE(CONTROL!$C$9, $C$13, 100%, $E$13) + CHOOSE(CONTROL!$C$28, 0, 0)</f>
        <v>261.78765261089097</v>
      </c>
    </row>
    <row r="576" spans="1:5" ht="15">
      <c r="A576" s="13">
        <v>59049</v>
      </c>
      <c r="B576" s="4">
        <f>40.1605 * CHOOSE(CONTROL!$C$9, $C$13, 100%, $E$13) + CHOOSE(CONTROL!$C$28, 0.0136, 0)</f>
        <v>40.174099999999996</v>
      </c>
      <c r="C576" s="4">
        <f>39.7972 * CHOOSE(CONTROL!$C$9, $C$13, 100%, $E$13) + CHOOSE(CONTROL!$C$28, 0.0136, 0)</f>
        <v>39.810799999999993</v>
      </c>
      <c r="D576" s="4">
        <f>54.306 * CHOOSE(CONTROL!$C$9, $C$13, 100%, $E$13) + CHOOSE(CONTROL!$C$28, 0, 0)</f>
        <v>54.305999999999997</v>
      </c>
      <c r="E576" s="4">
        <f>268.055397077632 * CHOOSE(CONTROL!$C$9, $C$13, 100%, $E$13) + CHOOSE(CONTROL!$C$28, 0, 0)</f>
        <v>268.05539707763199</v>
      </c>
    </row>
    <row r="577" spans="1:5" ht="15">
      <c r="A577" s="13">
        <v>59079</v>
      </c>
      <c r="B577" s="4">
        <f>38.5909 * CHOOSE(CONTROL!$C$9, $C$13, 100%, $E$13) + CHOOSE(CONTROL!$C$28, 0.0136, 0)</f>
        <v>38.604499999999994</v>
      </c>
      <c r="C577" s="4">
        <f>38.2276 * CHOOSE(CONTROL!$C$9, $C$13, 100%, $E$13) + CHOOSE(CONTROL!$C$28, 0.0136, 0)</f>
        <v>38.241199999999999</v>
      </c>
      <c r="D577" s="4">
        <f>54.0374 * CHOOSE(CONTROL!$C$9, $C$13, 100%, $E$13) + CHOOSE(CONTROL!$C$28, 0, 0)</f>
        <v>54.037399999999998</v>
      </c>
      <c r="E577" s="4">
        <f>257.373161491458 * CHOOSE(CONTROL!$C$9, $C$13, 100%, $E$13) + CHOOSE(CONTROL!$C$28, 0, 0)</f>
        <v>257.37316149145801</v>
      </c>
    </row>
    <row r="578" spans="1:5" ht="15">
      <c r="A578" s="13">
        <v>59110</v>
      </c>
      <c r="B578" s="4">
        <f>37.3344 * CHOOSE(CONTROL!$C$9, $C$13, 100%, $E$13) + CHOOSE(CONTROL!$C$28, 0.0003, 0)</f>
        <v>37.334700000000005</v>
      </c>
      <c r="C578" s="4">
        <f>36.9711 * CHOOSE(CONTROL!$C$9, $C$13, 100%, $E$13) + CHOOSE(CONTROL!$C$28, 0.0003, 0)</f>
        <v>36.971400000000003</v>
      </c>
      <c r="D578" s="4">
        <f>53.3184 * CHOOSE(CONTROL!$C$9, $C$13, 100%, $E$13) + CHOOSE(CONTROL!$C$28, 0, 0)</f>
        <v>53.318399999999997</v>
      </c>
      <c r="E578" s="4">
        <f>248.8218202035 * CHOOSE(CONTROL!$C$9, $C$13, 100%, $E$13) + CHOOSE(CONTROL!$C$28, 0, 0)</f>
        <v>248.82182020350001</v>
      </c>
    </row>
    <row r="579" spans="1:5" ht="15">
      <c r="A579" s="13">
        <v>59140</v>
      </c>
      <c r="B579" s="4">
        <f>36.5251 * CHOOSE(CONTROL!$C$9, $C$13, 100%, $E$13) + CHOOSE(CONTROL!$C$28, 0.0003, 0)</f>
        <v>36.525400000000005</v>
      </c>
      <c r="C579" s="4">
        <f>36.1618 * CHOOSE(CONTROL!$C$9, $C$13, 100%, $E$13) + CHOOSE(CONTROL!$C$28, 0.0003, 0)</f>
        <v>36.162100000000002</v>
      </c>
      <c r="D579" s="4">
        <f>53.0711 * CHOOSE(CONTROL!$C$9, $C$13, 100%, $E$13) + CHOOSE(CONTROL!$C$28, 0, 0)</f>
        <v>53.071100000000001</v>
      </c>
      <c r="E579" s="4">
        <f>243.314117839868 * CHOOSE(CONTROL!$C$9, $C$13, 100%, $E$13) + CHOOSE(CONTROL!$C$28, 0, 0)</f>
        <v>243.314117839868</v>
      </c>
    </row>
    <row r="580" spans="1:5" ht="15">
      <c r="A580" s="13">
        <v>59171</v>
      </c>
      <c r="B580" s="4">
        <f>35.9652 * CHOOSE(CONTROL!$C$9, $C$13, 100%, $E$13) + CHOOSE(CONTROL!$C$28, 0.0003, 0)</f>
        <v>35.965500000000006</v>
      </c>
      <c r="C580" s="4">
        <f>35.6019 * CHOOSE(CONTROL!$C$9, $C$13, 100%, $E$13) + CHOOSE(CONTROL!$C$28, 0.0003, 0)</f>
        <v>35.602200000000003</v>
      </c>
      <c r="D580" s="4">
        <f>51.2511 * CHOOSE(CONTROL!$C$9, $C$13, 100%, $E$13) + CHOOSE(CONTROL!$C$28, 0, 0)</f>
        <v>51.251100000000001</v>
      </c>
      <c r="E580" s="4">
        <f>239.50349578866 * CHOOSE(CONTROL!$C$9, $C$13, 100%, $E$13) + CHOOSE(CONTROL!$C$28, 0, 0)</f>
        <v>239.50349578865999</v>
      </c>
    </row>
    <row r="581" spans="1:5" ht="15">
      <c r="A581" s="13">
        <v>59202</v>
      </c>
      <c r="B581" s="4">
        <f>34.4333 * CHOOSE(CONTROL!$C$9, $C$13, 100%, $E$13) + CHOOSE(CONTROL!$C$28, 0.0003, 0)</f>
        <v>34.433600000000006</v>
      </c>
      <c r="C581" s="4">
        <f>34.07 * CHOOSE(CONTROL!$C$9, $C$13, 100%, $E$13) + CHOOSE(CONTROL!$C$28, 0.0003, 0)</f>
        <v>34.070300000000003</v>
      </c>
      <c r="D581" s="4">
        <f>49.2463 * CHOOSE(CONTROL!$C$9, $C$13, 100%, $E$13) + CHOOSE(CONTROL!$C$28, 0, 0)</f>
        <v>49.246299999999998</v>
      </c>
      <c r="E581" s="4">
        <f>229.527201988133 * CHOOSE(CONTROL!$C$9, $C$13, 100%, $E$13) + CHOOSE(CONTROL!$C$28, 0, 0)</f>
        <v>229.52720198813299</v>
      </c>
    </row>
    <row r="582" spans="1:5" ht="15">
      <c r="A582" s="13">
        <v>59230</v>
      </c>
      <c r="B582" s="4">
        <f>35.2325 * CHOOSE(CONTROL!$C$9, $C$13, 100%, $E$13) + CHOOSE(CONTROL!$C$28, 0.0003, 0)</f>
        <v>35.232800000000005</v>
      </c>
      <c r="C582" s="4">
        <f>34.8692 * CHOOSE(CONTROL!$C$9, $C$13, 100%, $E$13) + CHOOSE(CONTROL!$C$28, 0.0003, 0)</f>
        <v>34.869500000000002</v>
      </c>
      <c r="D582" s="4">
        <f>50.919 * CHOOSE(CONTROL!$C$9, $C$13, 100%, $E$13) + CHOOSE(CONTROL!$C$28, 0, 0)</f>
        <v>50.918999999999997</v>
      </c>
      <c r="E582" s="4">
        <f>234.977082309249 * CHOOSE(CONTROL!$C$9, $C$13, 100%, $E$13) + CHOOSE(CONTROL!$C$28, 0, 0)</f>
        <v>234.977082309249</v>
      </c>
    </row>
    <row r="583" spans="1:5" ht="15">
      <c r="A583" s="13">
        <v>59261</v>
      </c>
      <c r="B583" s="4">
        <f>37.3313 * CHOOSE(CONTROL!$C$9, $C$13, 100%, $E$13) + CHOOSE(CONTROL!$C$28, 0.0003, 0)</f>
        <v>37.331600000000002</v>
      </c>
      <c r="C583" s="4">
        <f>36.968 * CHOOSE(CONTROL!$C$9, $C$13, 100%, $E$13) + CHOOSE(CONTROL!$C$28, 0.0003, 0)</f>
        <v>36.968300000000006</v>
      </c>
      <c r="D583" s="4">
        <f>53.5375 * CHOOSE(CONTROL!$C$9, $C$13, 100%, $E$13) + CHOOSE(CONTROL!$C$28, 0, 0)</f>
        <v>53.537500000000001</v>
      </c>
      <c r="E583" s="4">
        <f>249.288757656728 * CHOOSE(CONTROL!$C$9, $C$13, 100%, $E$13) + CHOOSE(CONTROL!$C$28, 0, 0)</f>
        <v>249.288757656728</v>
      </c>
    </row>
    <row r="584" spans="1:5" ht="15">
      <c r="A584" s="13">
        <v>59291</v>
      </c>
      <c r="B584" s="4">
        <f>38.8225 * CHOOSE(CONTROL!$C$9, $C$13, 100%, $E$13) + CHOOSE(CONTROL!$C$28, 0.0003, 0)</f>
        <v>38.822800000000001</v>
      </c>
      <c r="C584" s="4">
        <f>38.4592 * CHOOSE(CONTROL!$C$9, $C$13, 100%, $E$13) + CHOOSE(CONTROL!$C$28, 0.0003, 0)</f>
        <v>38.459500000000006</v>
      </c>
      <c r="D584" s="4">
        <f>55.0459 * CHOOSE(CONTROL!$C$9, $C$13, 100%, $E$13) + CHOOSE(CONTROL!$C$28, 0, 0)</f>
        <v>55.045900000000003</v>
      </c>
      <c r="E584" s="4">
        <f>259.457393719263 * CHOOSE(CONTROL!$C$9, $C$13, 100%, $E$13) + CHOOSE(CONTROL!$C$28, 0, 0)</f>
        <v>259.457393719263</v>
      </c>
    </row>
    <row r="585" spans="1:5" ht="15">
      <c r="A585" s="13">
        <v>59322</v>
      </c>
      <c r="B585" s="4">
        <f>39.7336 * CHOOSE(CONTROL!$C$9, $C$13, 100%, $E$13) + CHOOSE(CONTROL!$C$28, 0.0136, 0)</f>
        <v>39.747199999999999</v>
      </c>
      <c r="C585" s="4">
        <f>39.3703 * CHOOSE(CONTROL!$C$9, $C$13, 100%, $E$13) + CHOOSE(CONTROL!$C$28, 0.0136, 0)</f>
        <v>39.383899999999997</v>
      </c>
      <c r="D585" s="4">
        <f>54.4499 * CHOOSE(CONTROL!$C$9, $C$13, 100%, $E$13) + CHOOSE(CONTROL!$C$28, 0, 0)</f>
        <v>54.4499</v>
      </c>
      <c r="E585" s="4">
        <f>265.670186645278 * CHOOSE(CONTROL!$C$9, $C$13, 100%, $E$13) + CHOOSE(CONTROL!$C$28, 0, 0)</f>
        <v>265.67018664527802</v>
      </c>
    </row>
    <row r="586" spans="1:5" ht="15">
      <c r="A586" s="13">
        <v>59352</v>
      </c>
      <c r="B586" s="4">
        <f>39.8568 * CHOOSE(CONTROL!$C$9, $C$13, 100%, $E$13) + CHOOSE(CONTROL!$C$28, 0.0136, 0)</f>
        <v>39.870399999999997</v>
      </c>
      <c r="C586" s="4">
        <f>39.4936 * CHOOSE(CONTROL!$C$9, $C$13, 100%, $E$13) + CHOOSE(CONTROL!$C$28, 0.0136, 0)</f>
        <v>39.507199999999997</v>
      </c>
      <c r="D586" s="4">
        <f>54.9353 * CHOOSE(CONTROL!$C$9, $C$13, 100%, $E$13) + CHOOSE(CONTROL!$C$28, 0, 0)</f>
        <v>54.935299999999998</v>
      </c>
      <c r="E586" s="4">
        <f>266.510803311789 * CHOOSE(CONTROL!$C$9, $C$13, 100%, $E$13) + CHOOSE(CONTROL!$C$28, 0, 0)</f>
        <v>266.510803311789</v>
      </c>
    </row>
    <row r="587" spans="1:5" ht="15">
      <c r="A587" s="13">
        <v>59383</v>
      </c>
      <c r="B587" s="4">
        <f>39.8444 * CHOOSE(CONTROL!$C$9, $C$13, 100%, $E$13) + CHOOSE(CONTROL!$C$28, 0.0136, 0)</f>
        <v>39.857999999999997</v>
      </c>
      <c r="C587" s="4">
        <f>39.4811 * CHOOSE(CONTROL!$C$9, $C$13, 100%, $E$13) + CHOOSE(CONTROL!$C$28, 0.0136, 0)</f>
        <v>39.494699999999995</v>
      </c>
      <c r="D587" s="4">
        <f>55.8112 * CHOOSE(CONTROL!$C$9, $C$13, 100%, $E$13) + CHOOSE(CONTROL!$C$28, 0, 0)</f>
        <v>55.811199999999999</v>
      </c>
      <c r="E587" s="4">
        <f>266.426035244578 * CHOOSE(CONTROL!$C$9, $C$13, 100%, $E$13) + CHOOSE(CONTROL!$C$28, 0, 0)</f>
        <v>266.42603524457797</v>
      </c>
    </row>
    <row r="588" spans="1:5" ht="15">
      <c r="A588" s="13">
        <v>59414</v>
      </c>
      <c r="B588" s="4">
        <f>40.7799 * CHOOSE(CONTROL!$C$9, $C$13, 100%, $E$13) + CHOOSE(CONTROL!$C$28, 0.0136, 0)</f>
        <v>40.793499999999995</v>
      </c>
      <c r="C588" s="4">
        <f>40.4166 * CHOOSE(CONTROL!$C$9, $C$13, 100%, $E$13) + CHOOSE(CONTROL!$C$28, 0.0136, 0)</f>
        <v>40.430199999999999</v>
      </c>
      <c r="D588" s="4">
        <f>55.2327 * CHOOSE(CONTROL!$C$9, $C$13, 100%, $E$13) + CHOOSE(CONTROL!$C$28, 0, 0)</f>
        <v>55.232700000000001</v>
      </c>
      <c r="E588" s="4">
        <f>272.804832302215 * CHOOSE(CONTROL!$C$9, $C$13, 100%, $E$13) + CHOOSE(CONTROL!$C$28, 0, 0)</f>
        <v>272.804832302215</v>
      </c>
    </row>
    <row r="589" spans="1:5" ht="15">
      <c r="A589" s="13">
        <v>59444</v>
      </c>
      <c r="B589" s="4">
        <f>39.1856 * CHOOSE(CONTROL!$C$9, $C$13, 100%, $E$13) + CHOOSE(CONTROL!$C$28, 0.0136, 0)</f>
        <v>39.199199999999998</v>
      </c>
      <c r="C589" s="4">
        <f>38.8223 * CHOOSE(CONTROL!$C$9, $C$13, 100%, $E$13) + CHOOSE(CONTROL!$C$28, 0.0136, 0)</f>
        <v>38.835899999999995</v>
      </c>
      <c r="D589" s="4">
        <f>54.9594 * CHOOSE(CONTROL!$C$9, $C$13, 100%, $E$13) + CHOOSE(CONTROL!$C$28, 0, 0)</f>
        <v>54.959400000000002</v>
      </c>
      <c r="E589" s="4">
        <f>261.933327682388 * CHOOSE(CONTROL!$C$9, $C$13, 100%, $E$13) + CHOOSE(CONTROL!$C$28, 0, 0)</f>
        <v>261.93332768238798</v>
      </c>
    </row>
    <row r="590" spans="1:5" ht="15">
      <c r="A590" s="13">
        <v>59475</v>
      </c>
      <c r="B590" s="4">
        <f>37.9093 * CHOOSE(CONTROL!$C$9, $C$13, 100%, $E$13) + CHOOSE(CONTROL!$C$28, 0.0003, 0)</f>
        <v>37.909600000000005</v>
      </c>
      <c r="C590" s="4">
        <f>37.546 * CHOOSE(CONTROL!$C$9, $C$13, 100%, $E$13) + CHOOSE(CONTROL!$C$28, 0.0003, 0)</f>
        <v>37.546300000000002</v>
      </c>
      <c r="D590" s="4">
        <f>54.2277 * CHOOSE(CONTROL!$C$9, $C$13, 100%, $E$13) + CHOOSE(CONTROL!$C$28, 0, 0)</f>
        <v>54.227699999999999</v>
      </c>
      <c r="E590" s="4">
        <f>253.230472782045 * CHOOSE(CONTROL!$C$9, $C$13, 100%, $E$13) + CHOOSE(CONTROL!$C$28, 0, 0)</f>
        <v>253.23047278204501</v>
      </c>
    </row>
    <row r="591" spans="1:5" ht="15">
      <c r="A591" s="13">
        <v>59505</v>
      </c>
      <c r="B591" s="4">
        <f>37.0873 * CHOOSE(CONTROL!$C$9, $C$13, 100%, $E$13) + CHOOSE(CONTROL!$C$28, 0.0003, 0)</f>
        <v>37.087600000000002</v>
      </c>
      <c r="C591" s="4">
        <f>36.724 * CHOOSE(CONTROL!$C$9, $C$13, 100%, $E$13) + CHOOSE(CONTROL!$C$28, 0.0003, 0)</f>
        <v>36.724299999999999</v>
      </c>
      <c r="D591" s="4">
        <f>53.9761 * CHOOSE(CONTROL!$C$9, $C$13, 100%, $E$13) + CHOOSE(CONTROL!$C$28, 0, 0)</f>
        <v>53.976100000000002</v>
      </c>
      <c r="E591" s="4">
        <f>247.625184337709 * CHOOSE(CONTROL!$C$9, $C$13, 100%, $E$13) + CHOOSE(CONTROL!$C$28, 0, 0)</f>
        <v>247.62518433770899</v>
      </c>
    </row>
    <row r="592" spans="1:5" ht="15">
      <c r="A592" s="13">
        <v>59536</v>
      </c>
      <c r="B592" s="4">
        <f>36.5186 * CHOOSE(CONTROL!$C$9, $C$13, 100%, $E$13) + CHOOSE(CONTROL!$C$28, 0.0003, 0)</f>
        <v>36.518900000000002</v>
      </c>
      <c r="C592" s="4">
        <f>36.1553 * CHOOSE(CONTROL!$C$9, $C$13, 100%, $E$13) + CHOOSE(CONTROL!$C$28, 0.0003, 0)</f>
        <v>36.1556</v>
      </c>
      <c r="D592" s="4">
        <f>52.1239 * CHOOSE(CONTROL!$C$9, $C$13, 100%, $E$13) + CHOOSE(CONTROL!$C$28, 0, 0)</f>
        <v>52.123899999999999</v>
      </c>
      <c r="E592" s="4">
        <f>243.7470452628 * CHOOSE(CONTROL!$C$9, $C$13, 100%, $E$13) + CHOOSE(CONTROL!$C$28, 0, 0)</f>
        <v>243.74704526279999</v>
      </c>
    </row>
    <row r="593" spans="1:5" ht="15">
      <c r="A593" s="13">
        <v>59567</v>
      </c>
      <c r="B593" s="4">
        <f>34.9626 * CHOOSE(CONTROL!$C$9, $C$13, 100%, $E$13) + CHOOSE(CONTROL!$C$28, 0.0003, 0)</f>
        <v>34.962900000000005</v>
      </c>
      <c r="C593" s="4">
        <f>34.5993 * CHOOSE(CONTROL!$C$9, $C$13, 100%, $E$13) + CHOOSE(CONTROL!$C$28, 0.0003, 0)</f>
        <v>34.599600000000002</v>
      </c>
      <c r="D593" s="4">
        <f>50.0836 * CHOOSE(CONTROL!$C$9, $C$13, 100%, $E$13) + CHOOSE(CONTROL!$C$28, 0, 0)</f>
        <v>50.083599999999997</v>
      </c>
      <c r="E593" s="4">
        <f>233.593990383394 * CHOOSE(CONTROL!$C$9, $C$13, 100%, $E$13) + CHOOSE(CONTROL!$C$28, 0, 0)</f>
        <v>233.59399038339399</v>
      </c>
    </row>
    <row r="594" spans="1:5" ht="15">
      <c r="A594" s="13">
        <v>59595</v>
      </c>
      <c r="B594" s="4">
        <f>35.7743 * CHOOSE(CONTROL!$C$9, $C$13, 100%, $E$13) + CHOOSE(CONTROL!$C$28, 0.0003, 0)</f>
        <v>35.7746</v>
      </c>
      <c r="C594" s="4">
        <f>35.4111 * CHOOSE(CONTROL!$C$9, $C$13, 100%, $E$13) + CHOOSE(CONTROL!$C$28, 0.0003, 0)</f>
        <v>35.4114</v>
      </c>
      <c r="D594" s="4">
        <f>51.7859 * CHOOSE(CONTROL!$C$9, $C$13, 100%, $E$13) + CHOOSE(CONTROL!$C$28, 0, 0)</f>
        <v>51.785899999999998</v>
      </c>
      <c r="E594" s="4">
        <f>239.140432287858 * CHOOSE(CONTROL!$C$9, $C$13, 100%, $E$13) + CHOOSE(CONTROL!$C$28, 0, 0)</f>
        <v>239.140432287858</v>
      </c>
    </row>
    <row r="595" spans="1:5" ht="15">
      <c r="A595" s="13">
        <v>59626</v>
      </c>
      <c r="B595" s="4">
        <f>37.9061 * CHOOSE(CONTROL!$C$9, $C$13, 100%, $E$13) + CHOOSE(CONTROL!$C$28, 0.0003, 0)</f>
        <v>37.906400000000005</v>
      </c>
      <c r="C595" s="4">
        <f>37.5428 * CHOOSE(CONTROL!$C$9, $C$13, 100%, $E$13) + CHOOSE(CONTROL!$C$28, 0.0003, 0)</f>
        <v>37.543100000000003</v>
      </c>
      <c r="D595" s="4">
        <f>54.4507 * CHOOSE(CONTROL!$C$9, $C$13, 100%, $E$13) + CHOOSE(CONTROL!$C$28, 0, 0)</f>
        <v>54.450699999999998</v>
      </c>
      <c r="E595" s="4">
        <f>253.705683484803 * CHOOSE(CONTROL!$C$9, $C$13, 100%, $E$13) + CHOOSE(CONTROL!$C$28, 0, 0)</f>
        <v>253.70568348480299</v>
      </c>
    </row>
    <row r="596" spans="1:5" ht="15">
      <c r="A596" s="13">
        <v>59656</v>
      </c>
      <c r="B596" s="4">
        <f>39.4208 * CHOOSE(CONTROL!$C$9, $C$13, 100%, $E$13) + CHOOSE(CONTROL!$C$28, 0.0003, 0)</f>
        <v>39.421100000000003</v>
      </c>
      <c r="C596" s="4">
        <f>39.0575 * CHOOSE(CONTROL!$C$9, $C$13, 100%, $E$13) + CHOOSE(CONTROL!$C$28, 0.0003, 0)</f>
        <v>39.0578</v>
      </c>
      <c r="D596" s="4">
        <f>55.9858 * CHOOSE(CONTROL!$C$9, $C$13, 100%, $E$13) + CHOOSE(CONTROL!$C$28, 0, 0)</f>
        <v>55.985799999999998</v>
      </c>
      <c r="E596" s="4">
        <f>264.054488567727 * CHOOSE(CONTROL!$C$9, $C$13, 100%, $E$13) + CHOOSE(CONTROL!$C$28, 0, 0)</f>
        <v>264.05448856772699</v>
      </c>
    </row>
    <row r="597" spans="1:5" ht="15">
      <c r="A597" s="13">
        <v>59687</v>
      </c>
      <c r="B597" s="4">
        <f>40.3462 * CHOOSE(CONTROL!$C$9, $C$13, 100%, $E$13) + CHOOSE(CONTROL!$C$28, 0.0136, 0)</f>
        <v>40.3598</v>
      </c>
      <c r="C597" s="4">
        <f>39.9829 * CHOOSE(CONTROL!$C$9, $C$13, 100%, $E$13) + CHOOSE(CONTROL!$C$28, 0.0136, 0)</f>
        <v>39.996499999999997</v>
      </c>
      <c r="D597" s="4">
        <f>55.3792 * CHOOSE(CONTROL!$C$9, $C$13, 100%, $E$13) + CHOOSE(CONTROL!$C$28, 0, 0)</f>
        <v>55.379199999999997</v>
      </c>
      <c r="E597" s="4">
        <f>270.377360447151 * CHOOSE(CONTROL!$C$9, $C$13, 100%, $E$13) + CHOOSE(CONTROL!$C$28, 0, 0)</f>
        <v>270.37736044715098</v>
      </c>
    </row>
    <row r="598" spans="1:5" ht="15">
      <c r="A598" s="13">
        <v>59717</v>
      </c>
      <c r="B598" s="4">
        <f>40.4714 * CHOOSE(CONTROL!$C$9, $C$13, 100%, $E$13) + CHOOSE(CONTROL!$C$28, 0.0136, 0)</f>
        <v>40.484999999999999</v>
      </c>
      <c r="C598" s="4">
        <f>40.1081 * CHOOSE(CONTROL!$C$9, $C$13, 100%, $E$13) + CHOOSE(CONTROL!$C$28, 0.0136, 0)</f>
        <v>40.121699999999997</v>
      </c>
      <c r="D598" s="4">
        <f>55.8732 * CHOOSE(CONTROL!$C$9, $C$13, 100%, $E$13) + CHOOSE(CONTROL!$C$28, 0, 0)</f>
        <v>55.873199999999997</v>
      </c>
      <c r="E598" s="4">
        <f>271.232871252895 * CHOOSE(CONTROL!$C$9, $C$13, 100%, $E$13) + CHOOSE(CONTROL!$C$28, 0, 0)</f>
        <v>271.23287125289499</v>
      </c>
    </row>
    <row r="599" spans="1:5" ht="15">
      <c r="A599" s="13">
        <v>59748</v>
      </c>
      <c r="B599" s="4">
        <f>40.4588 * CHOOSE(CONTROL!$C$9, $C$13, 100%, $E$13) + CHOOSE(CONTROL!$C$28, 0.0136, 0)</f>
        <v>40.472399999999993</v>
      </c>
      <c r="C599" s="4">
        <f>40.0955 * CHOOSE(CONTROL!$C$9, $C$13, 100%, $E$13) + CHOOSE(CONTROL!$C$28, 0.0136, 0)</f>
        <v>40.109099999999998</v>
      </c>
      <c r="D599" s="4">
        <f>56.7645 * CHOOSE(CONTROL!$C$9, $C$13, 100%, $E$13) + CHOOSE(CONTROL!$C$28, 0, 0)</f>
        <v>56.764499999999998</v>
      </c>
      <c r="E599" s="4">
        <f>271.146601255677 * CHOOSE(CONTROL!$C$9, $C$13, 100%, $E$13) + CHOOSE(CONTROL!$C$28, 0, 0)</f>
        <v>271.14660125567701</v>
      </c>
    </row>
    <row r="600" spans="1:5" ht="15">
      <c r="A600" s="13">
        <v>59779</v>
      </c>
      <c r="B600" s="4">
        <f>41.4089 * CHOOSE(CONTROL!$C$9, $C$13, 100%, $E$13) + CHOOSE(CONTROL!$C$28, 0.0136, 0)</f>
        <v>41.422499999999999</v>
      </c>
      <c r="C600" s="4">
        <f>41.0457 * CHOOSE(CONTROL!$C$9, $C$13, 100%, $E$13) + CHOOSE(CONTROL!$C$28, 0.0136, 0)</f>
        <v>41.059299999999993</v>
      </c>
      <c r="D600" s="4">
        <f>56.1759 * CHOOSE(CONTROL!$C$9, $C$13, 100%, $E$13) + CHOOSE(CONTROL!$C$28, 0, 0)</f>
        <v>56.175899999999999</v>
      </c>
      <c r="E600" s="4">
        <f>277.63841854632 * CHOOSE(CONTROL!$C$9, $C$13, 100%, $E$13) + CHOOSE(CONTROL!$C$28, 0, 0)</f>
        <v>277.63841854632</v>
      </c>
    </row>
    <row r="601" spans="1:5" ht="15">
      <c r="A601" s="13">
        <v>59809</v>
      </c>
      <c r="B601" s="4">
        <f>39.7896 * CHOOSE(CONTROL!$C$9, $C$13, 100%, $E$13) + CHOOSE(CONTROL!$C$28, 0.0136, 0)</f>
        <v>39.803199999999997</v>
      </c>
      <c r="C601" s="4">
        <f>39.4263 * CHOOSE(CONTROL!$C$9, $C$13, 100%, $E$13) + CHOOSE(CONTROL!$C$28, 0.0136, 0)</f>
        <v>39.439899999999994</v>
      </c>
      <c r="D601" s="4">
        <f>55.8978 * CHOOSE(CONTROL!$C$9, $C$13, 100%, $E$13) + CHOOSE(CONTROL!$C$28, 0, 0)</f>
        <v>55.897799999999997</v>
      </c>
      <c r="E601" s="4">
        <f>266.574291403131 * CHOOSE(CONTROL!$C$9, $C$13, 100%, $E$13) + CHOOSE(CONTROL!$C$28, 0, 0)</f>
        <v>266.57429140313099</v>
      </c>
    </row>
    <row r="602" spans="1:5" ht="15">
      <c r="A602" s="13">
        <v>59840</v>
      </c>
      <c r="B602" s="4">
        <f>38.4933 * CHOOSE(CONTROL!$C$9, $C$13, 100%, $E$13) + CHOOSE(CONTROL!$C$28, 0.0003, 0)</f>
        <v>38.493600000000001</v>
      </c>
      <c r="C602" s="4">
        <f>38.13 * CHOOSE(CONTROL!$C$9, $C$13, 100%, $E$13) + CHOOSE(CONTROL!$C$28, 0.0003, 0)</f>
        <v>38.130300000000005</v>
      </c>
      <c r="D602" s="4">
        <f>55.1531 * CHOOSE(CONTROL!$C$9, $C$13, 100%, $E$13) + CHOOSE(CONTROL!$C$28, 0, 0)</f>
        <v>55.153100000000002</v>
      </c>
      <c r="E602" s="4">
        <f>257.717238355433 * CHOOSE(CONTROL!$C$9, $C$13, 100%, $E$13) + CHOOSE(CONTROL!$C$28, 0, 0)</f>
        <v>257.71723835543298</v>
      </c>
    </row>
    <row r="603" spans="1:5" ht="15">
      <c r="A603" s="13">
        <v>59870</v>
      </c>
      <c r="B603" s="4">
        <f>37.6583 * CHOOSE(CONTROL!$C$9, $C$13, 100%, $E$13) + CHOOSE(CONTROL!$C$28, 0.0003, 0)</f>
        <v>37.6586</v>
      </c>
      <c r="C603" s="4">
        <f>37.295 * CHOOSE(CONTROL!$C$9, $C$13, 100%, $E$13) + CHOOSE(CONTROL!$C$28, 0.0003, 0)</f>
        <v>37.295300000000005</v>
      </c>
      <c r="D603" s="4">
        <f>54.897 * CHOOSE(CONTROL!$C$9, $C$13, 100%, $E$13) + CHOOSE(CONTROL!$C$28, 0, 0)</f>
        <v>54.896999999999998</v>
      </c>
      <c r="E603" s="4">
        <f>252.012634789403 * CHOOSE(CONTROL!$C$9, $C$13, 100%, $E$13) + CHOOSE(CONTROL!$C$28, 0, 0)</f>
        <v>252.01263478940299</v>
      </c>
    </row>
    <row r="604" spans="1:5" ht="15">
      <c r="A604" s="13">
        <v>59901</v>
      </c>
      <c r="B604" s="4">
        <f>37.0807 * CHOOSE(CONTROL!$C$9, $C$13, 100%, $E$13) + CHOOSE(CONTROL!$C$28, 0.0003, 0)</f>
        <v>37.081000000000003</v>
      </c>
      <c r="C604" s="4">
        <f>36.7174 * CHOOSE(CONTROL!$C$9, $C$13, 100%, $E$13) + CHOOSE(CONTROL!$C$28, 0.0003, 0)</f>
        <v>36.717700000000001</v>
      </c>
      <c r="D604" s="4">
        <f>53.0122 * CHOOSE(CONTROL!$C$9, $C$13, 100%, $E$13) + CHOOSE(CONTROL!$C$28, 0, 0)</f>
        <v>53.0122</v>
      </c>
      <c r="E604" s="4">
        <f>248.065782416687 * CHOOSE(CONTROL!$C$9, $C$13, 100%, $E$13) + CHOOSE(CONTROL!$C$28, 0, 0)</f>
        <v>248.065782416687</v>
      </c>
    </row>
    <row r="605" spans="1:5" ht="15">
      <c r="A605" s="13">
        <v>59932</v>
      </c>
      <c r="B605" s="4">
        <f>35.5002 * CHOOSE(CONTROL!$C$9, $C$13, 100%, $E$13) + CHOOSE(CONTROL!$C$28, 0.0003, 0)</f>
        <v>35.500500000000002</v>
      </c>
      <c r="C605" s="4">
        <f>35.1369 * CHOOSE(CONTROL!$C$9, $C$13, 100%, $E$13) + CHOOSE(CONTROL!$C$28, 0.0003, 0)</f>
        <v>35.1372</v>
      </c>
      <c r="D605" s="4">
        <f>50.9358 * CHOOSE(CONTROL!$C$9, $C$13, 100%, $E$13) + CHOOSE(CONTROL!$C$28, 0, 0)</f>
        <v>50.9358</v>
      </c>
      <c r="E605" s="4">
        <f>237.732834586021 * CHOOSE(CONTROL!$C$9, $C$13, 100%, $E$13) + CHOOSE(CONTROL!$C$28, 0, 0)</f>
        <v>237.732834586021</v>
      </c>
    </row>
    <row r="606" spans="1:5" ht="15">
      <c r="A606" s="13">
        <v>59961</v>
      </c>
      <c r="B606" s="4">
        <f>36.3247 * CHOOSE(CONTROL!$C$9, $C$13, 100%, $E$13) + CHOOSE(CONTROL!$C$28, 0.0003, 0)</f>
        <v>36.325000000000003</v>
      </c>
      <c r="C606" s="4">
        <f>35.9614 * CHOOSE(CONTROL!$C$9, $C$13, 100%, $E$13) + CHOOSE(CONTROL!$C$28, 0.0003, 0)</f>
        <v>35.9617</v>
      </c>
      <c r="D606" s="4">
        <f>52.6682 * CHOOSE(CONTROL!$C$9, $C$13, 100%, $E$13) + CHOOSE(CONTROL!$C$28, 0, 0)</f>
        <v>52.668199999999999</v>
      </c>
      <c r="E606" s="4">
        <f>243.377548962665 * CHOOSE(CONTROL!$C$9, $C$13, 100%, $E$13) + CHOOSE(CONTROL!$C$28, 0, 0)</f>
        <v>243.377548962665</v>
      </c>
    </row>
    <row r="607" spans="1:5" ht="15">
      <c r="A607" s="13">
        <v>59992</v>
      </c>
      <c r="B607" s="4">
        <f>38.49 * CHOOSE(CONTROL!$C$9, $C$13, 100%, $E$13) + CHOOSE(CONTROL!$C$28, 0.0003, 0)</f>
        <v>38.490300000000005</v>
      </c>
      <c r="C607" s="4">
        <f>38.1268 * CHOOSE(CONTROL!$C$9, $C$13, 100%, $E$13) + CHOOSE(CONTROL!$C$28, 0.0003, 0)</f>
        <v>38.127100000000006</v>
      </c>
      <c r="D607" s="4">
        <f>55.3801 * CHOOSE(CONTROL!$C$9, $C$13, 100%, $E$13) + CHOOSE(CONTROL!$C$28, 0, 0)</f>
        <v>55.380099999999999</v>
      </c>
      <c r="E607" s="4">
        <f>258.200868894073 * CHOOSE(CONTROL!$C$9, $C$13, 100%, $E$13) + CHOOSE(CONTROL!$C$28, 0, 0)</f>
        <v>258.20086889407298</v>
      </c>
    </row>
    <row r="608" spans="1:5" ht="15">
      <c r="A608" s="13">
        <v>60022</v>
      </c>
      <c r="B608" s="4">
        <f>40.0285 * CHOOSE(CONTROL!$C$9, $C$13, 100%, $E$13) + CHOOSE(CONTROL!$C$28, 0.0003, 0)</f>
        <v>40.028800000000004</v>
      </c>
      <c r="C608" s="4">
        <f>39.6652 * CHOOSE(CONTROL!$C$9, $C$13, 100%, $E$13) + CHOOSE(CONTROL!$C$28, 0.0003, 0)</f>
        <v>39.665500000000002</v>
      </c>
      <c r="D608" s="4">
        <f>56.9422 * CHOOSE(CONTROL!$C$9, $C$13, 100%, $E$13) + CHOOSE(CONTROL!$C$28, 0, 0)</f>
        <v>56.9422</v>
      </c>
      <c r="E608" s="4">
        <f>268.733035252051 * CHOOSE(CONTROL!$C$9, $C$13, 100%, $E$13) + CHOOSE(CONTROL!$C$28, 0, 0)</f>
        <v>268.73303525205102</v>
      </c>
    </row>
    <row r="609" spans="1:5" ht="15">
      <c r="A609" s="13">
        <v>60053</v>
      </c>
      <c r="B609" s="4">
        <f>40.9685 * CHOOSE(CONTROL!$C$9, $C$13, 100%, $E$13) + CHOOSE(CONTROL!$C$28, 0.0136, 0)</f>
        <v>40.982099999999996</v>
      </c>
      <c r="C609" s="4">
        <f>40.6052 * CHOOSE(CONTROL!$C$9, $C$13, 100%, $E$13) + CHOOSE(CONTROL!$C$28, 0.0136, 0)</f>
        <v>40.6188</v>
      </c>
      <c r="D609" s="4">
        <f>56.3249 * CHOOSE(CONTROL!$C$9, $C$13, 100%, $E$13) + CHOOSE(CONTROL!$C$28, 0, 0)</f>
        <v>56.3249</v>
      </c>
      <c r="E609" s="4">
        <f>275.167936475976 * CHOOSE(CONTROL!$C$9, $C$13, 100%, $E$13) + CHOOSE(CONTROL!$C$28, 0, 0)</f>
        <v>275.16793647597598</v>
      </c>
    </row>
    <row r="610" spans="1:5" ht="15">
      <c r="A610" s="13">
        <v>60083</v>
      </c>
      <c r="B610" s="4">
        <f>41.0957 * CHOOSE(CONTROL!$C$9, $C$13, 100%, $E$13) + CHOOSE(CONTROL!$C$28, 0.0136, 0)</f>
        <v>41.109299999999998</v>
      </c>
      <c r="C610" s="4">
        <f>40.7324 * CHOOSE(CONTROL!$C$9, $C$13, 100%, $E$13) + CHOOSE(CONTROL!$C$28, 0.0136, 0)</f>
        <v>40.745999999999995</v>
      </c>
      <c r="D610" s="4">
        <f>56.8277 * CHOOSE(CONTROL!$C$9, $C$13, 100%, $E$13) + CHOOSE(CONTROL!$C$28, 0, 0)</f>
        <v>56.8277</v>
      </c>
      <c r="E610" s="4">
        <f>276.038605316962 * CHOOSE(CONTROL!$C$9, $C$13, 100%, $E$13) + CHOOSE(CONTROL!$C$28, 0, 0)</f>
        <v>276.03860531696199</v>
      </c>
    </row>
    <row r="611" spans="1:5" ht="15">
      <c r="A611" s="13">
        <v>60114</v>
      </c>
      <c r="B611" s="4">
        <f>41.0828 * CHOOSE(CONTROL!$C$9, $C$13, 100%, $E$13) + CHOOSE(CONTROL!$C$28, 0.0136, 0)</f>
        <v>41.096399999999996</v>
      </c>
      <c r="C611" s="4">
        <f>40.7196 * CHOOSE(CONTROL!$C$9, $C$13, 100%, $E$13) + CHOOSE(CONTROL!$C$28, 0.0136, 0)</f>
        <v>40.733199999999997</v>
      </c>
      <c r="D611" s="4">
        <f>57.7348 * CHOOSE(CONTROL!$C$9, $C$13, 100%, $E$13) + CHOOSE(CONTROL!$C$28, 0, 0)</f>
        <v>57.7348</v>
      </c>
      <c r="E611" s="4">
        <f>275.950806778376 * CHOOSE(CONTROL!$C$9, $C$13, 100%, $E$13) + CHOOSE(CONTROL!$C$28, 0, 0)</f>
        <v>275.95080677837598</v>
      </c>
    </row>
    <row r="612" spans="1:5" ht="15">
      <c r="A612" s="13">
        <v>60145</v>
      </c>
      <c r="B612" s="4">
        <f>42.0479 * CHOOSE(CONTROL!$C$9, $C$13, 100%, $E$13) + CHOOSE(CONTROL!$C$28, 0.0136, 0)</f>
        <v>42.061499999999995</v>
      </c>
      <c r="C612" s="4">
        <f>41.6847 * CHOOSE(CONTROL!$C$9, $C$13, 100%, $E$13) + CHOOSE(CONTROL!$C$28, 0.0136, 0)</f>
        <v>41.698299999999996</v>
      </c>
      <c r="D612" s="4">
        <f>57.1357 * CHOOSE(CONTROL!$C$9, $C$13, 100%, $E$13) + CHOOSE(CONTROL!$C$28, 0, 0)</f>
        <v>57.1357</v>
      </c>
      <c r="E612" s="4">
        <f>282.557646807034 * CHOOSE(CONTROL!$C$9, $C$13, 100%, $E$13) + CHOOSE(CONTROL!$C$28, 0, 0)</f>
        <v>282.55764680703402</v>
      </c>
    </row>
    <row r="613" spans="1:5" ht="15">
      <c r="A613" s="13">
        <v>60175</v>
      </c>
      <c r="B613" s="4">
        <f>40.4031 * CHOOSE(CONTROL!$C$9, $C$13, 100%, $E$13) + CHOOSE(CONTROL!$C$28, 0.0136, 0)</f>
        <v>40.416699999999999</v>
      </c>
      <c r="C613" s="4">
        <f>40.0398 * CHOOSE(CONTROL!$C$9, $C$13, 100%, $E$13) + CHOOSE(CONTROL!$C$28, 0.0136, 0)</f>
        <v>40.053399999999996</v>
      </c>
      <c r="D613" s="4">
        <f>56.8527 * CHOOSE(CONTROL!$C$9, $C$13, 100%, $E$13) + CHOOSE(CONTROL!$C$28, 0, 0)</f>
        <v>56.852699999999999</v>
      </c>
      <c r="E613" s="4">
        <f>271.297484233274 * CHOOSE(CONTROL!$C$9, $C$13, 100%, $E$13) + CHOOSE(CONTROL!$C$28, 0, 0)</f>
        <v>271.29748423327402</v>
      </c>
    </row>
    <row r="614" spans="1:5" ht="15">
      <c r="A614" s="13">
        <v>60206</v>
      </c>
      <c r="B614" s="4">
        <f>39.0864 * CHOOSE(CONTROL!$C$9, $C$13, 100%, $E$13) + CHOOSE(CONTROL!$C$28, 0.0003, 0)</f>
        <v>39.0867</v>
      </c>
      <c r="C614" s="4">
        <f>38.7231 * CHOOSE(CONTROL!$C$9, $C$13, 100%, $E$13) + CHOOSE(CONTROL!$C$28, 0.0003, 0)</f>
        <v>38.723400000000005</v>
      </c>
      <c r="D614" s="4">
        <f>56.0948 * CHOOSE(CONTROL!$C$9, $C$13, 100%, $E$13) + CHOOSE(CONTROL!$C$28, 0, 0)</f>
        <v>56.094799999999999</v>
      </c>
      <c r="E614" s="4">
        <f>262.283500938361 * CHOOSE(CONTROL!$C$9, $C$13, 100%, $E$13) + CHOOSE(CONTROL!$C$28, 0, 0)</f>
        <v>262.28350093836099</v>
      </c>
    </row>
    <row r="615" spans="1:5" ht="15">
      <c r="A615" s="13">
        <v>60236</v>
      </c>
      <c r="B615" s="4">
        <f>38.2383 * CHOOSE(CONTROL!$C$9, $C$13, 100%, $E$13) + CHOOSE(CONTROL!$C$28, 0.0003, 0)</f>
        <v>38.238600000000005</v>
      </c>
      <c r="C615" s="4">
        <f>37.8751 * CHOOSE(CONTROL!$C$9, $C$13, 100%, $E$13) + CHOOSE(CONTROL!$C$28, 0.0003, 0)</f>
        <v>37.875400000000006</v>
      </c>
      <c r="D615" s="4">
        <f>55.8343 * CHOOSE(CONTROL!$C$9, $C$13, 100%, $E$13) + CHOOSE(CONTROL!$C$28, 0, 0)</f>
        <v>55.834299999999999</v>
      </c>
      <c r="E615" s="4">
        <f>256.477822574307 * CHOOSE(CONTROL!$C$9, $C$13, 100%, $E$13) + CHOOSE(CONTROL!$C$28, 0, 0)</f>
        <v>256.47782257430703</v>
      </c>
    </row>
    <row r="616" spans="1:5" ht="15">
      <c r="A616" s="13">
        <v>60267</v>
      </c>
      <c r="B616" s="4">
        <f>37.6516 * CHOOSE(CONTROL!$C$9, $C$13, 100%, $E$13) + CHOOSE(CONTROL!$C$28, 0.0003, 0)</f>
        <v>37.651900000000005</v>
      </c>
      <c r="C616" s="4">
        <f>37.2883 * CHOOSE(CONTROL!$C$9, $C$13, 100%, $E$13) + CHOOSE(CONTROL!$C$28, 0.0003, 0)</f>
        <v>37.288600000000002</v>
      </c>
      <c r="D616" s="4">
        <f>53.9161 * CHOOSE(CONTROL!$C$9, $C$13, 100%, $E$13) + CHOOSE(CONTROL!$C$28, 0, 0)</f>
        <v>53.9161</v>
      </c>
      <c r="E616" s="4">
        <f>252.46103943396 * CHOOSE(CONTROL!$C$9, $C$13, 100%, $E$13) + CHOOSE(CONTROL!$C$28, 0, 0)</f>
        <v>252.46103943396</v>
      </c>
    </row>
    <row r="617" spans="1:5" ht="15">
      <c r="A617" s="13">
        <v>60298</v>
      </c>
      <c r="B617" s="4">
        <f>36.0462 * CHOOSE(CONTROL!$C$9, $C$13, 100%, $E$13) + CHOOSE(CONTROL!$C$28, 0.0003, 0)</f>
        <v>36.046500000000002</v>
      </c>
      <c r="C617" s="4">
        <f>35.683 * CHOOSE(CONTROL!$C$9, $C$13, 100%, $E$13) + CHOOSE(CONTROL!$C$28, 0.0003, 0)</f>
        <v>35.683300000000003</v>
      </c>
      <c r="D617" s="4">
        <f>51.8031 * CHOOSE(CONTROL!$C$9, $C$13, 100%, $E$13) + CHOOSE(CONTROL!$C$28, 0, 0)</f>
        <v>51.803100000000001</v>
      </c>
      <c r="E617" s="4">
        <f>241.945011288793 * CHOOSE(CONTROL!$C$9, $C$13, 100%, $E$13) + CHOOSE(CONTROL!$C$28, 0, 0)</f>
        <v>241.94501128879301</v>
      </c>
    </row>
    <row r="618" spans="1:5" ht="15">
      <c r="A618" s="13">
        <v>60326</v>
      </c>
      <c r="B618" s="4">
        <f>36.8838 * CHOOSE(CONTROL!$C$9, $C$13, 100%, $E$13) + CHOOSE(CONTROL!$C$28, 0.0003, 0)</f>
        <v>36.884100000000004</v>
      </c>
      <c r="C618" s="4">
        <f>36.5205 * CHOOSE(CONTROL!$C$9, $C$13, 100%, $E$13) + CHOOSE(CONTROL!$C$28, 0.0003, 0)</f>
        <v>36.520800000000001</v>
      </c>
      <c r="D618" s="4">
        <f>53.566 * CHOOSE(CONTROL!$C$9, $C$13, 100%, $E$13) + CHOOSE(CONTROL!$C$28, 0, 0)</f>
        <v>53.566000000000003</v>
      </c>
      <c r="E618" s="4">
        <f>247.689739340168 * CHOOSE(CONTROL!$C$9, $C$13, 100%, $E$13) + CHOOSE(CONTROL!$C$28, 0, 0)</f>
        <v>247.68973934016799</v>
      </c>
    </row>
    <row r="619" spans="1:5" ht="15">
      <c r="A619" s="13">
        <v>60357</v>
      </c>
      <c r="B619" s="4">
        <f>39.0831 * CHOOSE(CONTROL!$C$9, $C$13, 100%, $E$13) + CHOOSE(CONTROL!$C$28, 0.0003, 0)</f>
        <v>39.083400000000005</v>
      </c>
      <c r="C619" s="4">
        <f>38.7198 * CHOOSE(CONTROL!$C$9, $C$13, 100%, $E$13) + CHOOSE(CONTROL!$C$28, 0.0003, 0)</f>
        <v>38.720100000000002</v>
      </c>
      <c r="D619" s="4">
        <f>56.3258 * CHOOSE(CONTROL!$C$9, $C$13, 100%, $E$13) + CHOOSE(CONTROL!$C$28, 0, 0)</f>
        <v>56.325800000000001</v>
      </c>
      <c r="E619" s="4">
        <f>262.775700496469 * CHOOSE(CONTROL!$C$9, $C$13, 100%, $E$13) + CHOOSE(CONTROL!$C$28, 0, 0)</f>
        <v>262.77570049646903</v>
      </c>
    </row>
    <row r="620" spans="1:5" ht="15">
      <c r="A620" s="13">
        <v>60387</v>
      </c>
      <c r="B620" s="4">
        <f>40.6458 * CHOOSE(CONTROL!$C$9, $C$13, 100%, $E$13) + CHOOSE(CONTROL!$C$28, 0.0003, 0)</f>
        <v>40.646100000000004</v>
      </c>
      <c r="C620" s="4">
        <f>40.2825 * CHOOSE(CONTROL!$C$9, $C$13, 100%, $E$13) + CHOOSE(CONTROL!$C$28, 0.0003, 0)</f>
        <v>40.282800000000002</v>
      </c>
      <c r="D620" s="4">
        <f>57.9156 * CHOOSE(CONTROL!$C$9, $C$13, 100%, $E$13) + CHOOSE(CONTROL!$C$28, 0, 0)</f>
        <v>57.915599999999998</v>
      </c>
      <c r="E620" s="4">
        <f>273.494476944886 * CHOOSE(CONTROL!$C$9, $C$13, 100%, $E$13) + CHOOSE(CONTROL!$C$28, 0, 0)</f>
        <v>273.494476944886</v>
      </c>
    </row>
    <row r="621" spans="1:5" ht="15">
      <c r="A621" s="13">
        <v>60418</v>
      </c>
      <c r="B621" s="4">
        <f>41.6006 * CHOOSE(CONTROL!$C$9, $C$13, 100%, $E$13) + CHOOSE(CONTROL!$C$28, 0.0136, 0)</f>
        <v>41.614199999999997</v>
      </c>
      <c r="C621" s="4">
        <f>41.2373 * CHOOSE(CONTROL!$C$9, $C$13, 100%, $E$13) + CHOOSE(CONTROL!$C$28, 0.0136, 0)</f>
        <v>41.250899999999994</v>
      </c>
      <c r="D621" s="4">
        <f>57.2874 * CHOOSE(CONTROL!$C$9, $C$13, 100%, $E$13) + CHOOSE(CONTROL!$C$28, 0, 0)</f>
        <v>57.287399999999998</v>
      </c>
      <c r="E621" s="4">
        <f>280.043392461652 * CHOOSE(CONTROL!$C$9, $C$13, 100%, $E$13) + CHOOSE(CONTROL!$C$28, 0, 0)</f>
        <v>280.04339246165199</v>
      </c>
    </row>
    <row r="622" spans="1:5" ht="15">
      <c r="A622" s="13">
        <v>60448</v>
      </c>
      <c r="B622" s="4">
        <f>41.7297 * CHOOSE(CONTROL!$C$9, $C$13, 100%, $E$13) + CHOOSE(CONTROL!$C$28, 0.0136, 0)</f>
        <v>41.743299999999998</v>
      </c>
      <c r="C622" s="4">
        <f>41.3665 * CHOOSE(CONTROL!$C$9, $C$13, 100%, $E$13) + CHOOSE(CONTROL!$C$28, 0.0136, 0)</f>
        <v>41.380099999999999</v>
      </c>
      <c r="D622" s="4">
        <f>57.799 * CHOOSE(CONTROL!$C$9, $C$13, 100%, $E$13) + CHOOSE(CONTROL!$C$28, 0, 0)</f>
        <v>57.798999999999999</v>
      </c>
      <c r="E622" s="4">
        <f>280.929487909628 * CHOOSE(CONTROL!$C$9, $C$13, 100%, $E$13) + CHOOSE(CONTROL!$C$28, 0, 0)</f>
        <v>280.92948790962799</v>
      </c>
    </row>
    <row r="623" spans="1:5" ht="15">
      <c r="A623" s="13">
        <v>60479</v>
      </c>
      <c r="B623" s="4">
        <f>41.7167 * CHOOSE(CONTROL!$C$9, $C$13, 100%, $E$13) + CHOOSE(CONTROL!$C$28, 0.0136, 0)</f>
        <v>41.7303</v>
      </c>
      <c r="C623" s="4">
        <f>41.3534 * CHOOSE(CONTROL!$C$9, $C$13, 100%, $E$13) + CHOOSE(CONTROL!$C$28, 0.0136, 0)</f>
        <v>41.366999999999997</v>
      </c>
      <c r="D623" s="4">
        <f>58.7221 * CHOOSE(CONTROL!$C$9, $C$13, 100%, $E$13) + CHOOSE(CONTROL!$C$28, 0, 0)</f>
        <v>58.722099999999998</v>
      </c>
      <c r="E623" s="4">
        <f>280.840133746807 * CHOOSE(CONTROL!$C$9, $C$13, 100%, $E$13) + CHOOSE(CONTROL!$C$28, 0, 0)</f>
        <v>280.840133746807</v>
      </c>
    </row>
    <row r="624" spans="1:5" ht="15">
      <c r="A624" s="13">
        <v>60510</v>
      </c>
      <c r="B624" s="4">
        <f>42.697 * CHOOSE(CONTROL!$C$9, $C$13, 100%, $E$13) + CHOOSE(CONTROL!$C$28, 0.0136, 0)</f>
        <v>42.710599999999999</v>
      </c>
      <c r="C624" s="4">
        <f>42.3337 * CHOOSE(CONTROL!$C$9, $C$13, 100%, $E$13) + CHOOSE(CONTROL!$C$28, 0.0136, 0)</f>
        <v>42.347299999999997</v>
      </c>
      <c r="D624" s="4">
        <f>58.1125 * CHOOSE(CONTROL!$C$9, $C$13, 100%, $E$13) + CHOOSE(CONTROL!$C$28, 0, 0)</f>
        <v>58.112499999999997</v>
      </c>
      <c r="E624" s="4">
        <f>287.564034499097 * CHOOSE(CONTROL!$C$9, $C$13, 100%, $E$13) + CHOOSE(CONTROL!$C$28, 0, 0)</f>
        <v>287.56403449909698</v>
      </c>
    </row>
    <row r="625" spans="1:5" ht="15">
      <c r="A625" s="13">
        <v>60540</v>
      </c>
      <c r="B625" s="4">
        <f>41.0263 * CHOOSE(CONTROL!$C$9, $C$13, 100%, $E$13) + CHOOSE(CONTROL!$C$28, 0.0136, 0)</f>
        <v>41.039899999999996</v>
      </c>
      <c r="C625" s="4">
        <f>40.663 * CHOOSE(CONTROL!$C$9, $C$13, 100%, $E$13) + CHOOSE(CONTROL!$C$28, 0.0136, 0)</f>
        <v>40.676599999999993</v>
      </c>
      <c r="D625" s="4">
        <f>57.8244 * CHOOSE(CONTROL!$C$9, $C$13, 100%, $E$13) + CHOOSE(CONTROL!$C$28, 0, 0)</f>
        <v>57.824399999999997</v>
      </c>
      <c r="E625" s="4">
        <f>276.104363117287 * CHOOSE(CONTROL!$C$9, $C$13, 100%, $E$13) + CHOOSE(CONTROL!$C$28, 0, 0)</f>
        <v>276.10436311728699</v>
      </c>
    </row>
    <row r="626" spans="1:5" ht="15">
      <c r="A626" s="13">
        <v>60571</v>
      </c>
      <c r="B626" s="4">
        <f>39.6889 * CHOOSE(CONTROL!$C$9, $C$13, 100%, $E$13) + CHOOSE(CONTROL!$C$28, 0.0003, 0)</f>
        <v>39.6892</v>
      </c>
      <c r="C626" s="4">
        <f>39.3256 * CHOOSE(CONTROL!$C$9, $C$13, 100%, $E$13) + CHOOSE(CONTROL!$C$28, 0.0003, 0)</f>
        <v>39.325900000000004</v>
      </c>
      <c r="D626" s="4">
        <f>57.0532 * CHOOSE(CONTROL!$C$9, $C$13, 100%, $E$13) + CHOOSE(CONTROL!$C$28, 0, 0)</f>
        <v>57.053199999999997</v>
      </c>
      <c r="E626" s="4">
        <f>266.930669067651 * CHOOSE(CONTROL!$C$9, $C$13, 100%, $E$13) + CHOOSE(CONTROL!$C$28, 0, 0)</f>
        <v>266.93066906765102</v>
      </c>
    </row>
    <row r="627" spans="1:5" ht="15">
      <c r="A627" s="13">
        <v>60601</v>
      </c>
      <c r="B627" s="4">
        <f>38.8275 * CHOOSE(CONTROL!$C$9, $C$13, 100%, $E$13) + CHOOSE(CONTROL!$C$28, 0.0003, 0)</f>
        <v>38.827800000000003</v>
      </c>
      <c r="C627" s="4">
        <f>38.4642 * CHOOSE(CONTROL!$C$9, $C$13, 100%, $E$13) + CHOOSE(CONTROL!$C$28, 0.0003, 0)</f>
        <v>38.464500000000001</v>
      </c>
      <c r="D627" s="4">
        <f>56.788 * CHOOSE(CONTROL!$C$9, $C$13, 100%, $E$13) + CHOOSE(CONTROL!$C$28, 0, 0)</f>
        <v>56.787999999999997</v>
      </c>
      <c r="E627" s="4">
        <f>261.022125051104 * CHOOSE(CONTROL!$C$9, $C$13, 100%, $E$13) + CHOOSE(CONTROL!$C$28, 0, 0)</f>
        <v>261.02212505110401</v>
      </c>
    </row>
    <row r="628" spans="1:5" ht="15">
      <c r="A628" s="13">
        <v>60632</v>
      </c>
      <c r="B628" s="4">
        <f>38.2315 * CHOOSE(CONTROL!$C$9, $C$13, 100%, $E$13) + CHOOSE(CONTROL!$C$28, 0.0003, 0)</f>
        <v>38.2318</v>
      </c>
      <c r="C628" s="4">
        <f>37.8682 * CHOOSE(CONTROL!$C$9, $C$13, 100%, $E$13) + CHOOSE(CONTROL!$C$28, 0.0003, 0)</f>
        <v>37.868500000000004</v>
      </c>
      <c r="D628" s="4">
        <f>54.836 * CHOOSE(CONTROL!$C$9, $C$13, 100%, $E$13) + CHOOSE(CONTROL!$C$28, 0, 0)</f>
        <v>54.835999999999999</v>
      </c>
      <c r="E628" s="4">
        <f>256.934172102037 * CHOOSE(CONTROL!$C$9, $C$13, 100%, $E$13) + CHOOSE(CONTROL!$C$28, 0, 0)</f>
        <v>256.934172102037</v>
      </c>
    </row>
    <row r="629" spans="1:5" ht="15">
      <c r="A629" s="13">
        <v>60663</v>
      </c>
      <c r="B629" s="4">
        <f>36.6009 * CHOOSE(CONTROL!$C$9, $C$13, 100%, $E$13) + CHOOSE(CONTROL!$C$28, 0.0003, 0)</f>
        <v>36.601200000000006</v>
      </c>
      <c r="C629" s="4">
        <f>36.2376 * CHOOSE(CONTROL!$C$9, $C$13, 100%, $E$13) + CHOOSE(CONTROL!$C$28, 0.0003, 0)</f>
        <v>36.237900000000003</v>
      </c>
      <c r="D629" s="4">
        <f>52.6856 * CHOOSE(CONTROL!$C$9, $C$13, 100%, $E$13) + CHOOSE(CONTROL!$C$28, 0, 0)</f>
        <v>52.685600000000001</v>
      </c>
      <c r="E629" s="4">
        <f>246.231819805072 * CHOOSE(CONTROL!$C$9, $C$13, 100%, $E$13) + CHOOSE(CONTROL!$C$28, 0, 0)</f>
        <v>246.23181980507201</v>
      </c>
    </row>
    <row r="630" spans="1:5" ht="15">
      <c r="A630" s="13">
        <v>60691</v>
      </c>
      <c r="B630" s="4">
        <f>37.4516 * CHOOSE(CONTROL!$C$9, $C$13, 100%, $E$13) + CHOOSE(CONTROL!$C$28, 0.0003, 0)</f>
        <v>37.451900000000002</v>
      </c>
      <c r="C630" s="4">
        <f>37.0883 * CHOOSE(CONTROL!$C$9, $C$13, 100%, $E$13) + CHOOSE(CONTROL!$C$28, 0.0003, 0)</f>
        <v>37.0886</v>
      </c>
      <c r="D630" s="4">
        <f>54.4797 * CHOOSE(CONTROL!$C$9, $C$13, 100%, $E$13) + CHOOSE(CONTROL!$C$28, 0, 0)</f>
        <v>54.479700000000001</v>
      </c>
      <c r="E630" s="4">
        <f>252.078333584548 * CHOOSE(CONTROL!$C$9, $C$13, 100%, $E$13) + CHOOSE(CONTROL!$C$28, 0, 0)</f>
        <v>252.07833358454801</v>
      </c>
    </row>
    <row r="631" spans="1:5" ht="15">
      <c r="A631" s="13">
        <v>60722</v>
      </c>
      <c r="B631" s="4">
        <f>39.6855 * CHOOSE(CONTROL!$C$9, $C$13, 100%, $E$13) + CHOOSE(CONTROL!$C$28, 0.0003, 0)</f>
        <v>39.6858</v>
      </c>
      <c r="C631" s="4">
        <f>39.3223 * CHOOSE(CONTROL!$C$9, $C$13, 100%, $E$13) + CHOOSE(CONTROL!$C$28, 0.0003, 0)</f>
        <v>39.322600000000001</v>
      </c>
      <c r="D631" s="4">
        <f>57.2883 * CHOOSE(CONTROL!$C$9, $C$13, 100%, $E$13) + CHOOSE(CONTROL!$C$28, 0, 0)</f>
        <v>57.2883</v>
      </c>
      <c r="E631" s="4">
        <f>267.431589472063 * CHOOSE(CONTROL!$C$9, $C$13, 100%, $E$13) + CHOOSE(CONTROL!$C$28, 0, 0)</f>
        <v>267.43158947206302</v>
      </c>
    </row>
    <row r="632" spans="1:5" ht="15">
      <c r="A632" s="13">
        <v>60752</v>
      </c>
      <c r="B632" s="4">
        <f>41.2728 * CHOOSE(CONTROL!$C$9, $C$13, 100%, $E$13) + CHOOSE(CONTROL!$C$28, 0.0003, 0)</f>
        <v>41.273099999999999</v>
      </c>
      <c r="C632" s="4">
        <f>40.9095 * CHOOSE(CONTROL!$C$9, $C$13, 100%, $E$13) + CHOOSE(CONTROL!$C$28, 0.0003, 0)</f>
        <v>40.909800000000004</v>
      </c>
      <c r="D632" s="4">
        <f>58.9061 * CHOOSE(CONTROL!$C$9, $C$13, 100%, $E$13) + CHOOSE(CONTROL!$C$28, 0, 0)</f>
        <v>58.906100000000002</v>
      </c>
      <c r="E632" s="4">
        <f>278.340282389179 * CHOOSE(CONTROL!$C$9, $C$13, 100%, $E$13) + CHOOSE(CONTROL!$C$28, 0, 0)</f>
        <v>278.34028238917898</v>
      </c>
    </row>
    <row r="633" spans="1:5" ht="15">
      <c r="A633" s="13">
        <v>60783</v>
      </c>
      <c r="B633" s="4">
        <f>42.2426 * CHOOSE(CONTROL!$C$9, $C$13, 100%, $E$13) + CHOOSE(CONTROL!$C$28, 0.0136, 0)</f>
        <v>42.2562</v>
      </c>
      <c r="C633" s="4">
        <f>41.8793 * CHOOSE(CONTROL!$C$9, $C$13, 100%, $E$13) + CHOOSE(CONTROL!$C$28, 0.0136, 0)</f>
        <v>41.892899999999997</v>
      </c>
      <c r="D633" s="4">
        <f>58.2668 * CHOOSE(CONTROL!$C$9, $C$13, 100%, $E$13) + CHOOSE(CONTROL!$C$28, 0, 0)</f>
        <v>58.266800000000003</v>
      </c>
      <c r="E633" s="4">
        <f>285.005232316656 * CHOOSE(CONTROL!$C$9, $C$13, 100%, $E$13) + CHOOSE(CONTROL!$C$28, 0, 0)</f>
        <v>285.00523231665602</v>
      </c>
    </row>
    <row r="634" spans="1:5" ht="15">
      <c r="A634" s="13">
        <v>60813</v>
      </c>
      <c r="B634" s="4">
        <f>42.3738 * CHOOSE(CONTROL!$C$9, $C$13, 100%, $E$13) + CHOOSE(CONTROL!$C$28, 0.0136, 0)</f>
        <v>42.3874</v>
      </c>
      <c r="C634" s="4">
        <f>42.0105 * CHOOSE(CONTROL!$C$9, $C$13, 100%, $E$13) + CHOOSE(CONTROL!$C$28, 0.0136, 0)</f>
        <v>42.024099999999997</v>
      </c>
      <c r="D634" s="4">
        <f>58.7875 * CHOOSE(CONTROL!$C$9, $C$13, 100%, $E$13) + CHOOSE(CONTROL!$C$28, 0, 0)</f>
        <v>58.787500000000001</v>
      </c>
      <c r="E634" s="4">
        <f>285.907027701955 * CHOOSE(CONTROL!$C$9, $C$13, 100%, $E$13) + CHOOSE(CONTROL!$C$28, 0, 0)</f>
        <v>285.90702770195497</v>
      </c>
    </row>
    <row r="635" spans="1:5" ht="15">
      <c r="A635" s="13">
        <v>60844</v>
      </c>
      <c r="B635" s="4">
        <f>42.3605 * CHOOSE(CONTROL!$C$9, $C$13, 100%, $E$13) + CHOOSE(CONTROL!$C$28, 0.0136, 0)</f>
        <v>42.374099999999999</v>
      </c>
      <c r="C635" s="4">
        <f>41.9973 * CHOOSE(CONTROL!$C$9, $C$13, 100%, $E$13) + CHOOSE(CONTROL!$C$28, 0.0136, 0)</f>
        <v>42.010899999999999</v>
      </c>
      <c r="D635" s="4">
        <f>59.7269 * CHOOSE(CONTROL!$C$9, $C$13, 100%, $E$13) + CHOOSE(CONTROL!$C$28, 0, 0)</f>
        <v>59.726900000000001</v>
      </c>
      <c r="E635" s="4">
        <f>285.816090352177 * CHOOSE(CONTROL!$C$9, $C$13, 100%, $E$13) + CHOOSE(CONTROL!$C$28, 0, 0)</f>
        <v>285.81609035217701</v>
      </c>
    </row>
    <row r="636" spans="1:5" ht="15">
      <c r="A636" s="13">
        <v>60875</v>
      </c>
      <c r="B636" s="4">
        <f>43.3562 * CHOOSE(CONTROL!$C$9, $C$13, 100%, $E$13) + CHOOSE(CONTROL!$C$28, 0.0136, 0)</f>
        <v>43.369799999999998</v>
      </c>
      <c r="C636" s="4">
        <f>42.9929 * CHOOSE(CONTROL!$C$9, $C$13, 100%, $E$13) + CHOOSE(CONTROL!$C$28, 0.0136, 0)</f>
        <v>43.006499999999996</v>
      </c>
      <c r="D636" s="4">
        <f>59.1065 * CHOOSE(CONTROL!$C$9, $C$13, 100%, $E$13) + CHOOSE(CONTROL!$C$28, 0, 0)</f>
        <v>59.106499999999997</v>
      </c>
      <c r="E636" s="4">
        <f>292.659125922969 * CHOOSE(CONTROL!$C$9, $C$13, 100%, $E$13) + CHOOSE(CONTROL!$C$28, 0, 0)</f>
        <v>292.659125922969</v>
      </c>
    </row>
    <row r="637" spans="1:5" ht="15">
      <c r="A637" s="13">
        <v>60905</v>
      </c>
      <c r="B637" s="4">
        <f>41.6593 * CHOOSE(CONTROL!$C$9, $C$13, 100%, $E$13) + CHOOSE(CONTROL!$C$28, 0.0136, 0)</f>
        <v>41.672899999999998</v>
      </c>
      <c r="C637" s="4">
        <f>41.296 * CHOOSE(CONTROL!$C$9, $C$13, 100%, $E$13) + CHOOSE(CONTROL!$C$28, 0.0136, 0)</f>
        <v>41.309599999999996</v>
      </c>
      <c r="D637" s="4">
        <f>58.8134 * CHOOSE(CONTROL!$C$9, $C$13, 100%, $E$13) + CHOOSE(CONTROL!$C$28, 0, 0)</f>
        <v>58.813400000000001</v>
      </c>
      <c r="E637" s="4">
        <f>280.996410813944 * CHOOSE(CONTROL!$C$9, $C$13, 100%, $E$13) + CHOOSE(CONTROL!$C$28, 0, 0)</f>
        <v>280.99641081394401</v>
      </c>
    </row>
    <row r="638" spans="1:5" ht="15">
      <c r="A638" s="13">
        <v>60936</v>
      </c>
      <c r="B638" s="4">
        <f>40.3008 * CHOOSE(CONTROL!$C$9, $C$13, 100%, $E$13) + CHOOSE(CONTROL!$C$28, 0.0003, 0)</f>
        <v>40.301100000000005</v>
      </c>
      <c r="C638" s="4">
        <f>39.9375 * CHOOSE(CONTROL!$C$9, $C$13, 100%, $E$13) + CHOOSE(CONTROL!$C$28, 0.0003, 0)</f>
        <v>39.937800000000003</v>
      </c>
      <c r="D638" s="4">
        <f>58.0285 * CHOOSE(CONTROL!$C$9, $C$13, 100%, $E$13) + CHOOSE(CONTROL!$C$28, 0, 0)</f>
        <v>58.028500000000001</v>
      </c>
      <c r="E638" s="4">
        <f>271.660176236739 * CHOOSE(CONTROL!$C$9, $C$13, 100%, $E$13) + CHOOSE(CONTROL!$C$28, 0, 0)</f>
        <v>271.66017623673901</v>
      </c>
    </row>
    <row r="639" spans="1:5" ht="15">
      <c r="A639" s="13">
        <v>60966</v>
      </c>
      <c r="B639" s="4">
        <f>39.4259 * CHOOSE(CONTROL!$C$9, $C$13, 100%, $E$13) + CHOOSE(CONTROL!$C$28, 0.0003, 0)</f>
        <v>39.426200000000001</v>
      </c>
      <c r="C639" s="4">
        <f>39.0626 * CHOOSE(CONTROL!$C$9, $C$13, 100%, $E$13) + CHOOSE(CONTROL!$C$28, 0.0003, 0)</f>
        <v>39.062900000000006</v>
      </c>
      <c r="D639" s="4">
        <f>57.7587 * CHOOSE(CONTROL!$C$9, $C$13, 100%, $E$13) + CHOOSE(CONTROL!$C$28, 0, 0)</f>
        <v>57.758699999999997</v>
      </c>
      <c r="E639" s="4">
        <f>265.64694398267 * CHOOSE(CONTROL!$C$9, $C$13, 100%, $E$13) + CHOOSE(CONTROL!$C$28, 0, 0)</f>
        <v>265.64694398267</v>
      </c>
    </row>
    <row r="640" spans="1:5" ht="15">
      <c r="A640" s="13">
        <v>60997</v>
      </c>
      <c r="B640" s="4">
        <f>38.8205 * CHOOSE(CONTROL!$C$9, $C$13, 100%, $E$13) + CHOOSE(CONTROL!$C$28, 0.0003, 0)</f>
        <v>38.820800000000006</v>
      </c>
      <c r="C640" s="4">
        <f>38.4572 * CHOOSE(CONTROL!$C$9, $C$13, 100%, $E$13) + CHOOSE(CONTROL!$C$28, 0.0003, 0)</f>
        <v>38.457500000000003</v>
      </c>
      <c r="D640" s="4">
        <f>55.7721 * CHOOSE(CONTROL!$C$9, $C$13, 100%, $E$13) + CHOOSE(CONTROL!$C$28, 0, 0)</f>
        <v>55.772100000000002</v>
      </c>
      <c r="E640" s="4">
        <f>261.486560230328 * CHOOSE(CONTROL!$C$9, $C$13, 100%, $E$13) + CHOOSE(CONTROL!$C$28, 0, 0)</f>
        <v>261.486560230328</v>
      </c>
    </row>
    <row r="641" spans="1:5" ht="15">
      <c r="A641" s="13">
        <v>61028</v>
      </c>
      <c r="B641" s="4">
        <f>37.1643 * CHOOSE(CONTROL!$C$9, $C$13, 100%, $E$13) + CHOOSE(CONTROL!$C$28, 0.0003, 0)</f>
        <v>37.1646</v>
      </c>
      <c r="C641" s="4">
        <f>36.801 * CHOOSE(CONTROL!$C$9, $C$13, 100%, $E$13) + CHOOSE(CONTROL!$C$28, 0.0003, 0)</f>
        <v>36.801300000000005</v>
      </c>
      <c r="D641" s="4">
        <f>53.5837 * CHOOSE(CONTROL!$C$9, $C$13, 100%, $E$13) + CHOOSE(CONTROL!$C$28, 0, 0)</f>
        <v>53.5837</v>
      </c>
      <c r="E641" s="4">
        <f>250.594582469599 * CHOOSE(CONTROL!$C$9, $C$13, 100%, $E$13) + CHOOSE(CONTROL!$C$28, 0, 0)</f>
        <v>250.594582469599</v>
      </c>
    </row>
    <row r="642" spans="1:5" ht="15">
      <c r="A642" s="13">
        <v>61056</v>
      </c>
      <c r="B642" s="4">
        <f>38.0284 * CHOOSE(CONTROL!$C$9, $C$13, 100%, $E$13) + CHOOSE(CONTROL!$C$28, 0.0003, 0)</f>
        <v>38.028700000000001</v>
      </c>
      <c r="C642" s="4">
        <f>37.6651 * CHOOSE(CONTROL!$C$9, $C$13, 100%, $E$13) + CHOOSE(CONTROL!$C$28, 0.0003, 0)</f>
        <v>37.665400000000005</v>
      </c>
      <c r="D642" s="4">
        <f>55.4096 * CHOOSE(CONTROL!$C$9, $C$13, 100%, $E$13) + CHOOSE(CONTROL!$C$28, 0, 0)</f>
        <v>55.409599999999998</v>
      </c>
      <c r="E642" s="4">
        <f>256.544685427983 * CHOOSE(CONTROL!$C$9, $C$13, 100%, $E$13) + CHOOSE(CONTROL!$C$28, 0, 0)</f>
        <v>256.54468542798298</v>
      </c>
    </row>
    <row r="643" spans="1:5" ht="15">
      <c r="A643" s="13">
        <v>61087</v>
      </c>
      <c r="B643" s="4">
        <f>40.2974 * CHOOSE(CONTROL!$C$9, $C$13, 100%, $E$13) + CHOOSE(CONTROL!$C$28, 0.0003, 0)</f>
        <v>40.297700000000006</v>
      </c>
      <c r="C643" s="4">
        <f>39.9341 * CHOOSE(CONTROL!$C$9, $C$13, 100%, $E$13) + CHOOSE(CONTROL!$C$28, 0.0003, 0)</f>
        <v>39.934400000000004</v>
      </c>
      <c r="D643" s="4">
        <f>58.2678 * CHOOSE(CONTROL!$C$9, $C$13, 100%, $E$13) + CHOOSE(CONTROL!$C$28, 0, 0)</f>
        <v>58.267800000000001</v>
      </c>
      <c r="E643" s="4">
        <f>272.169972004375 * CHOOSE(CONTROL!$C$9, $C$13, 100%, $E$13) + CHOOSE(CONTROL!$C$28, 0, 0)</f>
        <v>272.16997200437498</v>
      </c>
    </row>
    <row r="644" spans="1:5" ht="15">
      <c r="A644" s="13">
        <v>61117</v>
      </c>
      <c r="B644" s="4">
        <f>41.9096 * CHOOSE(CONTROL!$C$9, $C$13, 100%, $E$13) + CHOOSE(CONTROL!$C$28, 0.0003, 0)</f>
        <v>41.9099</v>
      </c>
      <c r="C644" s="4">
        <f>41.5464 * CHOOSE(CONTROL!$C$9, $C$13, 100%, $E$13) + CHOOSE(CONTROL!$C$28, 0.0003, 0)</f>
        <v>41.546700000000001</v>
      </c>
      <c r="D644" s="4">
        <f>59.9142 * CHOOSE(CONTROL!$C$9, $C$13, 100%, $E$13) + CHOOSE(CONTROL!$C$28, 0, 0)</f>
        <v>59.914200000000001</v>
      </c>
      <c r="E644" s="4">
        <f>283.271946351224 * CHOOSE(CONTROL!$C$9, $C$13, 100%, $E$13) + CHOOSE(CONTROL!$C$28, 0, 0)</f>
        <v>283.27194635122402</v>
      </c>
    </row>
    <row r="645" spans="1:5" ht="15">
      <c r="A645" s="13">
        <v>61148</v>
      </c>
      <c r="B645" s="4">
        <f>42.8947 * CHOOSE(CONTROL!$C$9, $C$13, 100%, $E$13) + CHOOSE(CONTROL!$C$28, 0.0136, 0)</f>
        <v>42.908299999999997</v>
      </c>
      <c r="C645" s="4">
        <f>42.5314 * CHOOSE(CONTROL!$C$9, $C$13, 100%, $E$13) + CHOOSE(CONTROL!$C$28, 0.0136, 0)</f>
        <v>42.544999999999995</v>
      </c>
      <c r="D645" s="4">
        <f>59.2636 * CHOOSE(CONTROL!$C$9, $C$13, 100%, $E$13) + CHOOSE(CONTROL!$C$28, 0, 0)</f>
        <v>59.263599999999997</v>
      </c>
      <c r="E645" s="4">
        <f>290.054986599959 * CHOOSE(CONTROL!$C$9, $C$13, 100%, $E$13) + CHOOSE(CONTROL!$C$28, 0, 0)</f>
        <v>290.05498659995902</v>
      </c>
    </row>
    <row r="646" spans="1:5" ht="15">
      <c r="A646" s="13">
        <v>61178</v>
      </c>
      <c r="B646" s="4">
        <f>43.0279 * CHOOSE(CONTROL!$C$9, $C$13, 100%, $E$13) + CHOOSE(CONTROL!$C$28, 0.0136, 0)</f>
        <v>43.041499999999999</v>
      </c>
      <c r="C646" s="4">
        <f>42.6647 * CHOOSE(CONTROL!$C$9, $C$13, 100%, $E$13) + CHOOSE(CONTROL!$C$28, 0.0136, 0)</f>
        <v>42.6783</v>
      </c>
      <c r="D646" s="4">
        <f>59.7934 * CHOOSE(CONTROL!$C$9, $C$13, 100%, $E$13) + CHOOSE(CONTROL!$C$28, 0, 0)</f>
        <v>59.793399999999998</v>
      </c>
      <c r="E646" s="4">
        <f>290.972760095808 * CHOOSE(CONTROL!$C$9, $C$13, 100%, $E$13) + CHOOSE(CONTROL!$C$28, 0, 0)</f>
        <v>290.97276009580798</v>
      </c>
    </row>
    <row r="647" spans="1:5" ht="15">
      <c r="A647" s="13">
        <v>61209</v>
      </c>
      <c r="B647" s="4">
        <f>43.0145 * CHOOSE(CONTROL!$C$9, $C$13, 100%, $E$13) + CHOOSE(CONTROL!$C$28, 0.0136, 0)</f>
        <v>43.028099999999995</v>
      </c>
      <c r="C647" s="4">
        <f>42.6512 * CHOOSE(CONTROL!$C$9, $C$13, 100%, $E$13) + CHOOSE(CONTROL!$C$28, 0.0136, 0)</f>
        <v>42.6648</v>
      </c>
      <c r="D647" s="4">
        <f>60.7495 * CHOOSE(CONTROL!$C$9, $C$13, 100%, $E$13) + CHOOSE(CONTROL!$C$28, 0, 0)</f>
        <v>60.749499999999998</v>
      </c>
      <c r="E647" s="4">
        <f>290.880211507991 * CHOOSE(CONTROL!$C$9, $C$13, 100%, $E$13) + CHOOSE(CONTROL!$C$28, 0, 0)</f>
        <v>290.88021150799102</v>
      </c>
    </row>
    <row r="648" spans="1:5" ht="15">
      <c r="A648" s="13">
        <v>61240</v>
      </c>
      <c r="B648" s="4">
        <f>44.0258 * CHOOSE(CONTROL!$C$9, $C$13, 100%, $E$13) + CHOOSE(CONTROL!$C$28, 0.0136, 0)</f>
        <v>44.039399999999993</v>
      </c>
      <c r="C648" s="4">
        <f>43.6626 * CHOOSE(CONTROL!$C$9, $C$13, 100%, $E$13) + CHOOSE(CONTROL!$C$28, 0.0136, 0)</f>
        <v>43.676199999999994</v>
      </c>
      <c r="D648" s="4">
        <f>60.1181 * CHOOSE(CONTROL!$C$9, $C$13, 100%, $E$13) + CHOOSE(CONTROL!$C$28, 0, 0)</f>
        <v>60.118099999999998</v>
      </c>
      <c r="E648" s="4">
        <f>297.8444927412 * CHOOSE(CONTROL!$C$9, $C$13, 100%, $E$13) + CHOOSE(CONTROL!$C$28, 0, 0)</f>
        <v>297.84449274119999</v>
      </c>
    </row>
    <row r="649" spans="1:5" ht="15">
      <c r="A649" s="13">
        <v>61270</v>
      </c>
      <c r="B649" s="4">
        <f>42.3022 * CHOOSE(CONTROL!$C$9, $C$13, 100%, $E$13) + CHOOSE(CONTROL!$C$28, 0.0136, 0)</f>
        <v>42.315799999999996</v>
      </c>
      <c r="C649" s="4">
        <f>41.9389 * CHOOSE(CONTROL!$C$9, $C$13, 100%, $E$13) + CHOOSE(CONTROL!$C$28, 0.0136, 0)</f>
        <v>41.952499999999993</v>
      </c>
      <c r="D649" s="4">
        <f>59.8198 * CHOOSE(CONTROL!$C$9, $C$13, 100%, $E$13) + CHOOSE(CONTROL!$C$28, 0, 0)</f>
        <v>59.819800000000001</v>
      </c>
      <c r="E649" s="4">
        <f>285.975136353704 * CHOOSE(CONTROL!$C$9, $C$13, 100%, $E$13) + CHOOSE(CONTROL!$C$28, 0, 0)</f>
        <v>285.97513635370399</v>
      </c>
    </row>
    <row r="650" spans="1:5" ht="15">
      <c r="A650" s="13">
        <v>61301</v>
      </c>
      <c r="B650" s="4">
        <f>40.9224 * CHOOSE(CONTROL!$C$9, $C$13, 100%, $E$13) + CHOOSE(CONTROL!$C$28, 0.0003, 0)</f>
        <v>40.922700000000006</v>
      </c>
      <c r="C650" s="4">
        <f>40.5591 * CHOOSE(CONTROL!$C$9, $C$13, 100%, $E$13) + CHOOSE(CONTROL!$C$28, 0.0003, 0)</f>
        <v>40.559400000000004</v>
      </c>
      <c r="D650" s="4">
        <f>59.0211 * CHOOSE(CONTROL!$C$9, $C$13, 100%, $E$13) + CHOOSE(CONTROL!$C$28, 0, 0)</f>
        <v>59.021099999999997</v>
      </c>
      <c r="E650" s="4">
        <f>276.473481337853 * CHOOSE(CONTROL!$C$9, $C$13, 100%, $E$13) + CHOOSE(CONTROL!$C$28, 0, 0)</f>
        <v>276.473481337853</v>
      </c>
    </row>
    <row r="651" spans="1:5" ht="15">
      <c r="A651" s="13">
        <v>61331</v>
      </c>
      <c r="B651" s="4">
        <f>40.0337 * CHOOSE(CONTROL!$C$9, $C$13, 100%, $E$13) + CHOOSE(CONTROL!$C$28, 0.0003, 0)</f>
        <v>40.034000000000006</v>
      </c>
      <c r="C651" s="4">
        <f>39.6704 * CHOOSE(CONTROL!$C$9, $C$13, 100%, $E$13) + CHOOSE(CONTROL!$C$28, 0.0003, 0)</f>
        <v>39.670700000000004</v>
      </c>
      <c r="D651" s="4">
        <f>58.7465 * CHOOSE(CONTROL!$C$9, $C$13, 100%, $E$13) + CHOOSE(CONTROL!$C$28, 0, 0)</f>
        <v>58.746499999999997</v>
      </c>
      <c r="E651" s="4">
        <f>270.353705968472 * CHOOSE(CONTROL!$C$9, $C$13, 100%, $E$13) + CHOOSE(CONTROL!$C$28, 0, 0)</f>
        <v>270.35370596847201</v>
      </c>
    </row>
    <row r="652" spans="1:5" ht="15">
      <c r="A652" s="13">
        <v>61362</v>
      </c>
      <c r="B652" s="4">
        <f>39.4188 * CHOOSE(CONTROL!$C$9, $C$13, 100%, $E$13) + CHOOSE(CONTROL!$C$28, 0.0003, 0)</f>
        <v>39.4191</v>
      </c>
      <c r="C652" s="4">
        <f>39.0555 * CHOOSE(CONTROL!$C$9, $C$13, 100%, $E$13) + CHOOSE(CONTROL!$C$28, 0.0003, 0)</f>
        <v>39.055800000000005</v>
      </c>
      <c r="D652" s="4">
        <f>56.7248 * CHOOSE(CONTROL!$C$9, $C$13, 100%, $E$13) + CHOOSE(CONTROL!$C$28, 0, 0)</f>
        <v>56.724800000000002</v>
      </c>
      <c r="E652" s="4">
        <f>266.119608075856 * CHOOSE(CONTROL!$C$9, $C$13, 100%, $E$13) + CHOOSE(CONTROL!$C$28, 0, 0)</f>
        <v>266.11960807585598</v>
      </c>
    </row>
    <row r="653" spans="1:5" ht="15">
      <c r="A653" s="13">
        <v>61393</v>
      </c>
      <c r="B653" s="4">
        <f>37.7365 * CHOOSE(CONTROL!$C$9, $C$13, 100%, $E$13) + CHOOSE(CONTROL!$C$28, 0.0003, 0)</f>
        <v>37.736800000000002</v>
      </c>
      <c r="C653" s="4">
        <f>37.3733 * CHOOSE(CONTROL!$C$9, $C$13, 100%, $E$13) + CHOOSE(CONTROL!$C$28, 0.0003, 0)</f>
        <v>37.373600000000003</v>
      </c>
      <c r="D653" s="4">
        <f>54.4978 * CHOOSE(CONTROL!$C$9, $C$13, 100%, $E$13) + CHOOSE(CONTROL!$C$28, 0, 0)</f>
        <v>54.497799999999998</v>
      </c>
      <c r="E653" s="4">
        <f>255.034645046388 * CHOOSE(CONTROL!$C$9, $C$13, 100%, $E$13) + CHOOSE(CONTROL!$C$28, 0, 0)</f>
        <v>255.03464504638799</v>
      </c>
    </row>
    <row r="654" spans="1:5" ht="15">
      <c r="A654" s="13">
        <v>61422</v>
      </c>
      <c r="B654" s="4">
        <f>38.6142 * CHOOSE(CONTROL!$C$9, $C$13, 100%, $E$13) + CHOOSE(CONTROL!$C$28, 0.0003, 0)</f>
        <v>38.6145</v>
      </c>
      <c r="C654" s="4">
        <f>38.2509 * CHOOSE(CONTROL!$C$9, $C$13, 100%, $E$13) + CHOOSE(CONTROL!$C$28, 0.0003, 0)</f>
        <v>38.251200000000004</v>
      </c>
      <c r="D654" s="4">
        <f>56.3558 * CHOOSE(CONTROL!$C$9, $C$13, 100%, $E$13) + CHOOSE(CONTROL!$C$28, 0, 0)</f>
        <v>56.355800000000002</v>
      </c>
      <c r="E654" s="4">
        <f>261.09017258823 * CHOOSE(CONTROL!$C$9, $C$13, 100%, $E$13) + CHOOSE(CONTROL!$C$28, 0, 0)</f>
        <v>261.09017258823002</v>
      </c>
    </row>
    <row r="655" spans="1:5" ht="15">
      <c r="A655" s="13">
        <v>61453</v>
      </c>
      <c r="B655" s="4">
        <f>40.9189 * CHOOSE(CONTROL!$C$9, $C$13, 100%, $E$13) + CHOOSE(CONTROL!$C$28, 0.0003, 0)</f>
        <v>40.919200000000004</v>
      </c>
      <c r="C655" s="4">
        <f>40.5557 * CHOOSE(CONTROL!$C$9, $C$13, 100%, $E$13) + CHOOSE(CONTROL!$C$28, 0.0003, 0)</f>
        <v>40.556000000000004</v>
      </c>
      <c r="D655" s="4">
        <f>59.2645 * CHOOSE(CONTROL!$C$9, $C$13, 100%, $E$13) + CHOOSE(CONTROL!$C$28, 0, 0)</f>
        <v>59.264499999999998</v>
      </c>
      <c r="E655" s="4">
        <f>276.992309723383 * CHOOSE(CONTROL!$C$9, $C$13, 100%, $E$13) + CHOOSE(CONTROL!$C$28, 0, 0)</f>
        <v>276.99230972338302</v>
      </c>
    </row>
    <row r="656" spans="1:5" ht="15">
      <c r="A656" s="13">
        <v>61483</v>
      </c>
      <c r="B656" s="4">
        <f>42.5565 * CHOOSE(CONTROL!$C$9, $C$13, 100%, $E$13) + CHOOSE(CONTROL!$C$28, 0.0003, 0)</f>
        <v>42.556800000000003</v>
      </c>
      <c r="C656" s="4">
        <f>42.1932 * CHOOSE(CONTROL!$C$9, $C$13, 100%, $E$13) + CHOOSE(CONTROL!$C$28, 0.0003, 0)</f>
        <v>42.1935</v>
      </c>
      <c r="D656" s="4">
        <f>60.94 * CHOOSE(CONTROL!$C$9, $C$13, 100%, $E$13) + CHOOSE(CONTROL!$C$28, 0, 0)</f>
        <v>60.94</v>
      </c>
      <c r="E656" s="4">
        <f>288.290990081751 * CHOOSE(CONTROL!$C$9, $C$13, 100%, $E$13) + CHOOSE(CONTROL!$C$28, 0, 0)</f>
        <v>288.29099008175098</v>
      </c>
    </row>
    <row r="657" spans="1:5" ht="15">
      <c r="A657" s="13">
        <v>61514</v>
      </c>
      <c r="B657" s="4">
        <f>43.557 * CHOOSE(CONTROL!$C$9, $C$13, 100%, $E$13) + CHOOSE(CONTROL!$C$28, 0.0136, 0)</f>
        <v>43.570599999999999</v>
      </c>
      <c r="C657" s="4">
        <f>43.1937 * CHOOSE(CONTROL!$C$9, $C$13, 100%, $E$13) + CHOOSE(CONTROL!$C$28, 0.0136, 0)</f>
        <v>43.207299999999996</v>
      </c>
      <c r="D657" s="4">
        <f>60.278 * CHOOSE(CONTROL!$C$9, $C$13, 100%, $E$13) + CHOOSE(CONTROL!$C$28, 0, 0)</f>
        <v>60.277999999999999</v>
      </c>
      <c r="E657" s="4">
        <f>295.194212989139 * CHOOSE(CONTROL!$C$9, $C$13, 100%, $E$13) + CHOOSE(CONTROL!$C$28, 0, 0)</f>
        <v>295.19421298913898</v>
      </c>
    </row>
    <row r="658" spans="1:5" ht="15">
      <c r="A658" s="13">
        <v>61544</v>
      </c>
      <c r="B658" s="4">
        <f>43.6924 * CHOOSE(CONTROL!$C$9, $C$13, 100%, $E$13) + CHOOSE(CONTROL!$C$28, 0.0136, 0)</f>
        <v>43.705999999999996</v>
      </c>
      <c r="C658" s="4">
        <f>43.3291 * CHOOSE(CONTROL!$C$9, $C$13, 100%, $E$13) + CHOOSE(CONTROL!$C$28, 0.0136, 0)</f>
        <v>43.342699999999994</v>
      </c>
      <c r="D658" s="4">
        <f>60.8172 * CHOOSE(CONTROL!$C$9, $C$13, 100%, $E$13) + CHOOSE(CONTROL!$C$28, 0, 0)</f>
        <v>60.8172</v>
      </c>
      <c r="E658" s="4">
        <f>296.128247697472 * CHOOSE(CONTROL!$C$9, $C$13, 100%, $E$13) + CHOOSE(CONTROL!$C$28, 0, 0)</f>
        <v>296.12824769747198</v>
      </c>
    </row>
    <row r="659" spans="1:5" ht="15">
      <c r="A659" s="13">
        <v>61575</v>
      </c>
      <c r="B659" s="4">
        <f>43.6787 * CHOOSE(CONTROL!$C$9, $C$13, 100%, $E$13) + CHOOSE(CONTROL!$C$28, 0.0136, 0)</f>
        <v>43.692299999999996</v>
      </c>
      <c r="C659" s="4">
        <f>43.3154 * CHOOSE(CONTROL!$C$9, $C$13, 100%, $E$13) + CHOOSE(CONTROL!$C$28, 0.0136, 0)</f>
        <v>43.328999999999994</v>
      </c>
      <c r="D659" s="4">
        <f>61.7901 * CHOOSE(CONTROL!$C$9, $C$13, 100%, $E$13) + CHOOSE(CONTROL!$C$28, 0, 0)</f>
        <v>61.790100000000002</v>
      </c>
      <c r="E659" s="4">
        <f>296.034059323523 * CHOOSE(CONTROL!$C$9, $C$13, 100%, $E$13) + CHOOSE(CONTROL!$C$28, 0, 0)</f>
        <v>296.03405932352302</v>
      </c>
    </row>
    <row r="660" spans="1:5" ht="15">
      <c r="A660" s="13">
        <v>61606</v>
      </c>
      <c r="B660" s="4">
        <f>44.706 * CHOOSE(CONTROL!$C$9, $C$13, 100%, $E$13) + CHOOSE(CONTROL!$C$28, 0.0136, 0)</f>
        <v>44.7196</v>
      </c>
      <c r="C660" s="4">
        <f>44.3427 * CHOOSE(CONTROL!$C$9, $C$13, 100%, $E$13) + CHOOSE(CONTROL!$C$28, 0.0136, 0)</f>
        <v>44.356299999999997</v>
      </c>
      <c r="D660" s="4">
        <f>61.1476 * CHOOSE(CONTROL!$C$9, $C$13, 100%, $E$13) + CHOOSE(CONTROL!$C$28, 0, 0)</f>
        <v>61.147599999999997</v>
      </c>
      <c r="E660" s="4">
        <f>303.121734463229 * CHOOSE(CONTROL!$C$9, $C$13, 100%, $E$13) + CHOOSE(CONTROL!$C$28, 0, 0)</f>
        <v>303.12173446322902</v>
      </c>
    </row>
    <row r="661" spans="1:5" ht="15">
      <c r="A661" s="13">
        <v>61636</v>
      </c>
      <c r="B661" s="4">
        <f>42.9552 * CHOOSE(CONTROL!$C$9, $C$13, 100%, $E$13) + CHOOSE(CONTROL!$C$28, 0.0136, 0)</f>
        <v>42.968799999999995</v>
      </c>
      <c r="C661" s="4">
        <f>42.5919 * CHOOSE(CONTROL!$C$9, $C$13, 100%, $E$13) + CHOOSE(CONTROL!$C$28, 0.0136, 0)</f>
        <v>42.605499999999999</v>
      </c>
      <c r="D661" s="4">
        <f>60.844 * CHOOSE(CONTROL!$C$9, $C$13, 100%, $E$13) + CHOOSE(CONTROL!$C$28, 0, 0)</f>
        <v>60.844000000000001</v>
      </c>
      <c r="E661" s="4">
        <f>291.042075504195 * CHOOSE(CONTROL!$C$9, $C$13, 100%, $E$13) + CHOOSE(CONTROL!$C$28, 0, 0)</f>
        <v>291.042075504195</v>
      </c>
    </row>
    <row r="662" spans="1:5" ht="15">
      <c r="A662" s="13">
        <v>61667</v>
      </c>
      <c r="B662" s="4">
        <f>41.5537 * CHOOSE(CONTROL!$C$9, $C$13, 100%, $E$13) + CHOOSE(CONTROL!$C$28, 0.0003, 0)</f>
        <v>41.554000000000002</v>
      </c>
      <c r="C662" s="4">
        <f>41.1904 * CHOOSE(CONTROL!$C$9, $C$13, 100%, $E$13) + CHOOSE(CONTROL!$C$28, 0.0003, 0)</f>
        <v>41.1907</v>
      </c>
      <c r="D662" s="4">
        <f>60.0311 * CHOOSE(CONTROL!$C$9, $C$13, 100%, $E$13) + CHOOSE(CONTROL!$C$28, 0, 0)</f>
        <v>60.031100000000002</v>
      </c>
      <c r="E662" s="4">
        <f>281.372069112039 * CHOOSE(CONTROL!$C$9, $C$13, 100%, $E$13) + CHOOSE(CONTROL!$C$28, 0, 0)</f>
        <v>281.37206911203901</v>
      </c>
    </row>
    <row r="663" spans="1:5" ht="15">
      <c r="A663" s="13">
        <v>61697</v>
      </c>
      <c r="B663" s="4">
        <f>40.651 * CHOOSE(CONTROL!$C$9, $C$13, 100%, $E$13) + CHOOSE(CONTROL!$C$28, 0.0003, 0)</f>
        <v>40.651300000000006</v>
      </c>
      <c r="C663" s="4">
        <f>40.2878 * CHOOSE(CONTROL!$C$9, $C$13, 100%, $E$13) + CHOOSE(CONTROL!$C$28, 0.0003, 0)</f>
        <v>40.2881</v>
      </c>
      <c r="D663" s="4">
        <f>59.7517 * CHOOSE(CONTROL!$C$9, $C$13, 100%, $E$13) + CHOOSE(CONTROL!$C$28, 0, 0)</f>
        <v>59.7517</v>
      </c>
      <c r="E663" s="4">
        <f>275.143862884623 * CHOOSE(CONTROL!$C$9, $C$13, 100%, $E$13) + CHOOSE(CONTROL!$C$28, 0, 0)</f>
        <v>275.14386288462299</v>
      </c>
    </row>
    <row r="664" spans="1:5" ht="15">
      <c r="A664" s="13">
        <v>61728</v>
      </c>
      <c r="B664" s="4">
        <f>40.0265 * CHOOSE(CONTROL!$C$9, $C$13, 100%, $E$13) + CHOOSE(CONTROL!$C$28, 0.0003, 0)</f>
        <v>40.026800000000001</v>
      </c>
      <c r="C664" s="4">
        <f>39.6632 * CHOOSE(CONTROL!$C$9, $C$13, 100%, $E$13) + CHOOSE(CONTROL!$C$28, 0.0003, 0)</f>
        <v>39.663500000000006</v>
      </c>
      <c r="D664" s="4">
        <f>57.6943 * CHOOSE(CONTROL!$C$9, $C$13, 100%, $E$13) + CHOOSE(CONTROL!$C$28, 0, 0)</f>
        <v>57.694299999999998</v>
      </c>
      <c r="E664" s="4">
        <f>270.83474477643 * CHOOSE(CONTROL!$C$9, $C$13, 100%, $E$13) + CHOOSE(CONTROL!$C$28, 0, 0)</f>
        <v>270.83474477643</v>
      </c>
    </row>
    <row r="665" spans="1:5" ht="15">
      <c r="A665" s="13">
        <v>61759</v>
      </c>
      <c r="B665" s="4">
        <f>38.3178 * CHOOSE(CONTROL!$C$9, $C$13, 100%, $E$13) + CHOOSE(CONTROL!$C$28, 0.0003, 0)</f>
        <v>38.318100000000001</v>
      </c>
      <c r="C665" s="4">
        <f>37.9545 * CHOOSE(CONTROL!$C$9, $C$13, 100%, $E$13) + CHOOSE(CONTROL!$C$28, 0.0003, 0)</f>
        <v>37.954800000000006</v>
      </c>
      <c r="D665" s="4">
        <f>55.4279 * CHOOSE(CONTROL!$C$9, $C$13, 100%, $E$13) + CHOOSE(CONTROL!$C$28, 0, 0)</f>
        <v>55.427900000000001</v>
      </c>
      <c r="E665" s="4">
        <f>259.553377143848 * CHOOSE(CONTROL!$C$9, $C$13, 100%, $E$13) + CHOOSE(CONTROL!$C$28, 0, 0)</f>
        <v>259.55337714384802</v>
      </c>
    </row>
    <row r="666" spans="1:5" ht="15">
      <c r="A666" s="13">
        <v>61787</v>
      </c>
      <c r="B666" s="4">
        <f>39.2092 * CHOOSE(CONTROL!$C$9, $C$13, 100%, $E$13) + CHOOSE(CONTROL!$C$28, 0.0003, 0)</f>
        <v>39.209500000000006</v>
      </c>
      <c r="C666" s="4">
        <f>38.8459 * CHOOSE(CONTROL!$C$9, $C$13, 100%, $E$13) + CHOOSE(CONTROL!$C$28, 0.0003, 0)</f>
        <v>38.846200000000003</v>
      </c>
      <c r="D666" s="4">
        <f>57.3188 * CHOOSE(CONTROL!$C$9, $C$13, 100%, $E$13) + CHOOSE(CONTROL!$C$28, 0, 0)</f>
        <v>57.318800000000003</v>
      </c>
      <c r="E666" s="4">
        <f>265.716197193598 * CHOOSE(CONTROL!$C$9, $C$13, 100%, $E$13) + CHOOSE(CONTROL!$C$28, 0, 0)</f>
        <v>265.71619719359802</v>
      </c>
    </row>
    <row r="667" spans="1:5" ht="15">
      <c r="A667" s="13">
        <v>61818</v>
      </c>
      <c r="B667" s="4">
        <f>41.5502 * CHOOSE(CONTROL!$C$9, $C$13, 100%, $E$13) + CHOOSE(CONTROL!$C$28, 0.0003, 0)</f>
        <v>41.5505</v>
      </c>
      <c r="C667" s="4">
        <f>41.1869 * CHOOSE(CONTROL!$C$9, $C$13, 100%, $E$13) + CHOOSE(CONTROL!$C$28, 0.0003, 0)</f>
        <v>41.187200000000004</v>
      </c>
      <c r="D667" s="4">
        <f>60.2789 * CHOOSE(CONTROL!$C$9, $C$13, 100%, $E$13) + CHOOSE(CONTROL!$C$28, 0, 0)</f>
        <v>60.2789</v>
      </c>
      <c r="E667" s="4">
        <f>281.900090156387 * CHOOSE(CONTROL!$C$9, $C$13, 100%, $E$13) + CHOOSE(CONTROL!$C$28, 0, 0)</f>
        <v>281.90009015638702</v>
      </c>
    </row>
    <row r="668" spans="1:5" ht="15">
      <c r="A668" s="13">
        <v>61848</v>
      </c>
      <c r="B668" s="4">
        <f>43.2135 * CHOOSE(CONTROL!$C$9, $C$13, 100%, $E$13) + CHOOSE(CONTROL!$C$28, 0.0003, 0)</f>
        <v>43.213800000000006</v>
      </c>
      <c r="C668" s="4">
        <f>42.8503 * CHOOSE(CONTROL!$C$9, $C$13, 100%, $E$13) + CHOOSE(CONTROL!$C$28, 0.0003, 0)</f>
        <v>42.8506</v>
      </c>
      <c r="D668" s="4">
        <f>61.984 * CHOOSE(CONTROL!$C$9, $C$13, 100%, $E$13) + CHOOSE(CONTROL!$C$28, 0, 0)</f>
        <v>61.984000000000002</v>
      </c>
      <c r="E668" s="4">
        <f>293.398961785181 * CHOOSE(CONTROL!$C$9, $C$13, 100%, $E$13) + CHOOSE(CONTROL!$C$28, 0, 0)</f>
        <v>293.39896178518097</v>
      </c>
    </row>
    <row r="669" spans="1:5" ht="15">
      <c r="A669" s="13">
        <v>61879</v>
      </c>
      <c r="B669" s="4">
        <f>44.2298 * CHOOSE(CONTROL!$C$9, $C$13, 100%, $E$13) + CHOOSE(CONTROL!$C$28, 0.0136, 0)</f>
        <v>44.243399999999994</v>
      </c>
      <c r="C669" s="4">
        <f>43.8665 * CHOOSE(CONTROL!$C$9, $C$13, 100%, $E$13) + CHOOSE(CONTROL!$C$28, 0.0136, 0)</f>
        <v>43.880099999999999</v>
      </c>
      <c r="D669" s="4">
        <f>61.3102 * CHOOSE(CONTROL!$C$9, $C$13, 100%, $E$13) + CHOOSE(CONTROL!$C$28, 0, 0)</f>
        <v>61.310200000000002</v>
      </c>
      <c r="E669" s="4">
        <f>300.424496760883 * CHOOSE(CONTROL!$C$9, $C$13, 100%, $E$13) + CHOOSE(CONTROL!$C$28, 0, 0)</f>
        <v>300.42449676088302</v>
      </c>
    </row>
    <row r="670" spans="1:5" ht="15">
      <c r="A670" s="13">
        <v>61909</v>
      </c>
      <c r="B670" s="4">
        <f>44.3673 * CHOOSE(CONTROL!$C$9, $C$13, 100%, $E$13) + CHOOSE(CONTROL!$C$28, 0.0136, 0)</f>
        <v>44.380899999999997</v>
      </c>
      <c r="C670" s="4">
        <f>44.004 * CHOOSE(CONTROL!$C$9, $C$13, 100%, $E$13) + CHOOSE(CONTROL!$C$28, 0.0136, 0)</f>
        <v>44.017599999999995</v>
      </c>
      <c r="D670" s="4">
        <f>61.859 * CHOOSE(CONTROL!$C$9, $C$13, 100%, $E$13) + CHOOSE(CONTROL!$C$28, 0, 0)</f>
        <v>61.859000000000002</v>
      </c>
      <c r="E670" s="4">
        <f>301.375080799665 * CHOOSE(CONTROL!$C$9, $C$13, 100%, $E$13) + CHOOSE(CONTROL!$C$28, 0, 0)</f>
        <v>301.375080799665</v>
      </c>
    </row>
    <row r="671" spans="1:5" ht="15">
      <c r="A671" s="13">
        <v>61940</v>
      </c>
      <c r="B671" s="4">
        <f>44.3534 * CHOOSE(CONTROL!$C$9, $C$13, 100%, $E$13) + CHOOSE(CONTROL!$C$28, 0.0136, 0)</f>
        <v>44.366999999999997</v>
      </c>
      <c r="C671" s="4">
        <f>43.9901 * CHOOSE(CONTROL!$C$9, $C$13, 100%, $E$13) + CHOOSE(CONTROL!$C$28, 0.0136, 0)</f>
        <v>44.003699999999995</v>
      </c>
      <c r="D671" s="4">
        <f>62.8491 * CHOOSE(CONTROL!$C$9, $C$13, 100%, $E$13) + CHOOSE(CONTROL!$C$28, 0, 0)</f>
        <v>62.8491</v>
      </c>
      <c r="E671" s="4">
        <f>301.27922358567 * CHOOSE(CONTROL!$C$9, $C$13, 100%, $E$13) + CHOOSE(CONTROL!$C$28, 0, 0)</f>
        <v>301.27922358567002</v>
      </c>
    </row>
    <row r="672" spans="1:5" ht="15">
      <c r="A672" s="13">
        <v>61971</v>
      </c>
      <c r="B672" s="4">
        <f>45.3968 * CHOOSE(CONTROL!$C$9, $C$13, 100%, $E$13) + CHOOSE(CONTROL!$C$28, 0.0136, 0)</f>
        <v>45.410399999999996</v>
      </c>
      <c r="C672" s="4">
        <f>45.0335 * CHOOSE(CONTROL!$C$9, $C$13, 100%, $E$13) + CHOOSE(CONTROL!$C$28, 0.0136, 0)</f>
        <v>45.047099999999993</v>
      </c>
      <c r="D672" s="4">
        <f>62.1952 * CHOOSE(CONTROL!$C$9, $C$13, 100%, $E$13) + CHOOSE(CONTROL!$C$28, 0, 0)</f>
        <v>62.1952</v>
      </c>
      <c r="E672" s="4">
        <f>308.492478938779 * CHOOSE(CONTROL!$C$9, $C$13, 100%, $E$13) + CHOOSE(CONTROL!$C$28, 0, 0)</f>
        <v>308.49247893877902</v>
      </c>
    </row>
    <row r="673" spans="1:5" ht="15">
      <c r="A673" s="13">
        <v>62001</v>
      </c>
      <c r="B673" s="4">
        <f>43.6185 * CHOOSE(CONTROL!$C$9, $C$13, 100%, $E$13) + CHOOSE(CONTROL!$C$28, 0.0136, 0)</f>
        <v>43.632099999999994</v>
      </c>
      <c r="C673" s="4">
        <f>43.2552 * CHOOSE(CONTROL!$C$9, $C$13, 100%, $E$13) + CHOOSE(CONTROL!$C$28, 0.0136, 0)</f>
        <v>43.268799999999999</v>
      </c>
      <c r="D673" s="4">
        <f>61.8863 * CHOOSE(CONTROL!$C$9, $C$13, 100%, $E$13) + CHOOSE(CONTROL!$C$28, 0, 0)</f>
        <v>61.886299999999999</v>
      </c>
      <c r="E673" s="4">
        <f>296.198791243946 * CHOOSE(CONTROL!$C$9, $C$13, 100%, $E$13) + CHOOSE(CONTROL!$C$28, 0, 0)</f>
        <v>296.198791243946</v>
      </c>
    </row>
    <row r="674" spans="1:5" ht="15">
      <c r="A674" s="13">
        <v>62032</v>
      </c>
      <c r="B674" s="4">
        <f>42.195 * CHOOSE(CONTROL!$C$9, $C$13, 100%, $E$13) + CHOOSE(CONTROL!$C$28, 0.0003, 0)</f>
        <v>42.195300000000003</v>
      </c>
      <c r="C674" s="4">
        <f>41.8317 * CHOOSE(CONTROL!$C$9, $C$13, 100%, $E$13) + CHOOSE(CONTROL!$C$28, 0.0003, 0)</f>
        <v>41.832000000000001</v>
      </c>
      <c r="D674" s="4">
        <f>61.0591 * CHOOSE(CONTROL!$C$9, $C$13, 100%, $E$13) + CHOOSE(CONTROL!$C$28, 0, 0)</f>
        <v>61.059100000000001</v>
      </c>
      <c r="E674" s="4">
        <f>286.357450607146 * CHOOSE(CONTROL!$C$9, $C$13, 100%, $E$13) + CHOOSE(CONTROL!$C$28, 0, 0)</f>
        <v>286.35745060714601</v>
      </c>
    </row>
    <row r="675" spans="1:5" ht="15">
      <c r="A675" s="13">
        <v>62062</v>
      </c>
      <c r="B675" s="4">
        <f>41.2781 * CHOOSE(CONTROL!$C$9, $C$13, 100%, $E$13) + CHOOSE(CONTROL!$C$28, 0.0003, 0)</f>
        <v>41.278400000000005</v>
      </c>
      <c r="C675" s="4">
        <f>40.9148 * CHOOSE(CONTROL!$C$9, $C$13, 100%, $E$13) + CHOOSE(CONTROL!$C$28, 0.0003, 0)</f>
        <v>40.915100000000002</v>
      </c>
      <c r="D675" s="4">
        <f>60.7747 * CHOOSE(CONTROL!$C$9, $C$13, 100%, $E$13) + CHOOSE(CONTROL!$C$28, 0, 0)</f>
        <v>60.774700000000003</v>
      </c>
      <c r="E675" s="4">
        <f>280.018892331739 * CHOOSE(CONTROL!$C$9, $C$13, 100%, $E$13) + CHOOSE(CONTROL!$C$28, 0, 0)</f>
        <v>280.01889233173898</v>
      </c>
    </row>
    <row r="676" spans="1:5" ht="15">
      <c r="A676" s="13">
        <v>62093</v>
      </c>
      <c r="B676" s="4">
        <f>40.6438 * CHOOSE(CONTROL!$C$9, $C$13, 100%, $E$13) + CHOOSE(CONTROL!$C$28, 0.0003, 0)</f>
        <v>40.644100000000002</v>
      </c>
      <c r="C676" s="4">
        <f>40.2805 * CHOOSE(CONTROL!$C$9, $C$13, 100%, $E$13) + CHOOSE(CONTROL!$C$28, 0.0003, 0)</f>
        <v>40.280800000000006</v>
      </c>
      <c r="D676" s="4">
        <f>58.6809 * CHOOSE(CONTROL!$C$9, $C$13, 100%, $E$13) + CHOOSE(CONTROL!$C$28, 0, 0)</f>
        <v>58.680900000000001</v>
      </c>
      <c r="E676" s="4">
        <f>275.633424791477 * CHOOSE(CONTROL!$C$9, $C$13, 100%, $E$13) + CHOOSE(CONTROL!$C$28, 0, 0)</f>
        <v>275.63342479147701</v>
      </c>
    </row>
    <row r="677" spans="1:5" ht="15">
      <c r="A677" s="13">
        <v>62124</v>
      </c>
      <c r="B677" s="4">
        <f>38.9082 * CHOOSE(CONTROL!$C$9, $C$13, 100%, $E$13) + CHOOSE(CONTROL!$C$28, 0.0003, 0)</f>
        <v>38.908500000000004</v>
      </c>
      <c r="C677" s="4">
        <f>38.5449 * CHOOSE(CONTROL!$C$9, $C$13, 100%, $E$13) + CHOOSE(CONTROL!$C$28, 0.0003, 0)</f>
        <v>38.545200000000001</v>
      </c>
      <c r="D677" s="4">
        <f>56.3745 * CHOOSE(CONTROL!$C$9, $C$13, 100%, $E$13) + CHOOSE(CONTROL!$C$28, 0, 0)</f>
        <v>56.374499999999998</v>
      </c>
      <c r="E677" s="4">
        <f>264.152172637264 * CHOOSE(CONTROL!$C$9, $C$13, 100%, $E$13) + CHOOSE(CONTROL!$C$28, 0, 0)</f>
        <v>264.15217263726402</v>
      </c>
    </row>
    <row r="678" spans="1:5" ht="15">
      <c r="A678" s="13">
        <v>62152</v>
      </c>
      <c r="B678" s="4">
        <f>39.8136 * CHOOSE(CONTROL!$C$9, $C$13, 100%, $E$13) + CHOOSE(CONTROL!$C$28, 0.0003, 0)</f>
        <v>39.813900000000004</v>
      </c>
      <c r="C678" s="4">
        <f>39.4503 * CHOOSE(CONTROL!$C$9, $C$13, 100%, $E$13) + CHOOSE(CONTROL!$C$28, 0.0003, 0)</f>
        <v>39.450600000000001</v>
      </c>
      <c r="D678" s="4">
        <f>58.2988 * CHOOSE(CONTROL!$C$9, $C$13, 100%, $E$13) + CHOOSE(CONTROL!$C$28, 0, 0)</f>
        <v>58.2988</v>
      </c>
      <c r="E678" s="4">
        <f>270.424186215464 * CHOOSE(CONTROL!$C$9, $C$13, 100%, $E$13) + CHOOSE(CONTROL!$C$28, 0, 0)</f>
        <v>270.42418621546398</v>
      </c>
    </row>
    <row r="679" spans="1:5" ht="15">
      <c r="A679" s="13">
        <v>62183</v>
      </c>
      <c r="B679" s="4">
        <f>42.1914 * CHOOSE(CONTROL!$C$9, $C$13, 100%, $E$13) + CHOOSE(CONTROL!$C$28, 0.0003, 0)</f>
        <v>42.191700000000004</v>
      </c>
      <c r="C679" s="4">
        <f>41.8282 * CHOOSE(CONTROL!$C$9, $C$13, 100%, $E$13) + CHOOSE(CONTROL!$C$28, 0.0003, 0)</f>
        <v>41.828500000000005</v>
      </c>
      <c r="D679" s="4">
        <f>61.3112 * CHOOSE(CONTROL!$C$9, $C$13, 100%, $E$13) + CHOOSE(CONTROL!$C$28, 0, 0)</f>
        <v>61.311199999999999</v>
      </c>
      <c r="E679" s="4">
        <f>286.89482718686 * CHOOSE(CONTROL!$C$9, $C$13, 100%, $E$13) + CHOOSE(CONTROL!$C$28, 0, 0)</f>
        <v>286.89482718686003</v>
      </c>
    </row>
    <row r="680" spans="1:5" ht="15">
      <c r="A680" s="13">
        <v>62213</v>
      </c>
      <c r="B680" s="4">
        <f>43.8809 * CHOOSE(CONTROL!$C$9, $C$13, 100%, $E$13) + CHOOSE(CONTROL!$C$28, 0.0003, 0)</f>
        <v>43.8812</v>
      </c>
      <c r="C680" s="4">
        <f>43.5176 * CHOOSE(CONTROL!$C$9, $C$13, 100%, $E$13) + CHOOSE(CONTROL!$C$28, 0.0003, 0)</f>
        <v>43.517900000000004</v>
      </c>
      <c r="D680" s="4">
        <f>63.0465 * CHOOSE(CONTROL!$C$9, $C$13, 100%, $E$13) + CHOOSE(CONTROL!$C$28, 0, 0)</f>
        <v>63.046500000000002</v>
      </c>
      <c r="E680" s="4">
        <f>298.597437097188 * CHOOSE(CONTROL!$C$9, $C$13, 100%, $E$13) + CHOOSE(CONTROL!$C$28, 0, 0)</f>
        <v>298.59743709718799</v>
      </c>
    </row>
    <row r="681" spans="1:5" ht="15">
      <c r="A681" s="13">
        <v>62244</v>
      </c>
      <c r="B681" s="4">
        <f>44.9131 * CHOOSE(CONTROL!$C$9, $C$13, 100%, $E$13) + CHOOSE(CONTROL!$C$28, 0.0136, 0)</f>
        <v>44.926699999999997</v>
      </c>
      <c r="C681" s="4">
        <f>44.5498 * CHOOSE(CONTROL!$C$9, $C$13, 100%, $E$13) + CHOOSE(CONTROL!$C$28, 0.0136, 0)</f>
        <v>44.563399999999994</v>
      </c>
      <c r="D681" s="4">
        <f>62.3608 * CHOOSE(CONTROL!$C$9, $C$13, 100%, $E$13) + CHOOSE(CONTROL!$C$28, 0, 0)</f>
        <v>62.360799999999998</v>
      </c>
      <c r="E681" s="4">
        <f>305.747451279983 * CHOOSE(CONTROL!$C$9, $C$13, 100%, $E$13) + CHOOSE(CONTROL!$C$28, 0, 0)</f>
        <v>305.74745127998301</v>
      </c>
    </row>
    <row r="682" spans="1:5" ht="15">
      <c r="A682" s="13">
        <v>62274</v>
      </c>
      <c r="B682" s="4">
        <f>45.0528 * CHOOSE(CONTROL!$C$9, $C$13, 100%, $E$13) + CHOOSE(CONTROL!$C$28, 0.0136, 0)</f>
        <v>45.066399999999994</v>
      </c>
      <c r="C682" s="4">
        <f>44.6895 * CHOOSE(CONTROL!$C$9, $C$13, 100%, $E$13) + CHOOSE(CONTROL!$C$28, 0.0136, 0)</f>
        <v>44.703099999999999</v>
      </c>
      <c r="D682" s="4">
        <f>62.9192 * CHOOSE(CONTROL!$C$9, $C$13, 100%, $E$13) + CHOOSE(CONTROL!$C$28, 0, 0)</f>
        <v>62.919199999999996</v>
      </c>
      <c r="E682" s="4">
        <f>306.714877872084 * CHOOSE(CONTROL!$C$9, $C$13, 100%, $E$13) + CHOOSE(CONTROL!$C$28, 0, 0)</f>
        <v>306.714877872084</v>
      </c>
    </row>
    <row r="683" spans="1:5" ht="15">
      <c r="A683" s="13">
        <v>62305</v>
      </c>
      <c r="B683" s="4">
        <f>45.0387 * CHOOSE(CONTROL!$C$9, $C$13, 100%, $E$13) + CHOOSE(CONTROL!$C$28, 0.0136, 0)</f>
        <v>45.052299999999995</v>
      </c>
      <c r="C683" s="4">
        <f>44.6754 * CHOOSE(CONTROL!$C$9, $C$13, 100%, $E$13) + CHOOSE(CONTROL!$C$28, 0.0136, 0)</f>
        <v>44.689</v>
      </c>
      <c r="D683" s="4">
        <f>63.9268 * CHOOSE(CONTROL!$C$9, $C$13, 100%, $E$13) + CHOOSE(CONTROL!$C$28, 0, 0)</f>
        <v>63.9268</v>
      </c>
      <c r="E683" s="4">
        <f>306.617322249351 * CHOOSE(CONTROL!$C$9, $C$13, 100%, $E$13) + CHOOSE(CONTROL!$C$28, 0, 0)</f>
        <v>306.61732224935099</v>
      </c>
    </row>
    <row r="684" spans="1:5" ht="15">
      <c r="A684" s="13">
        <v>62336</v>
      </c>
      <c r="B684" s="4">
        <f>46.0985 * CHOOSE(CONTROL!$C$9, $C$13, 100%, $E$13) + CHOOSE(CONTROL!$C$28, 0.0136, 0)</f>
        <v>46.112099999999998</v>
      </c>
      <c r="C684" s="4">
        <f>45.7352 * CHOOSE(CONTROL!$C$9, $C$13, 100%, $E$13) + CHOOSE(CONTROL!$C$28, 0.0136, 0)</f>
        <v>45.748799999999996</v>
      </c>
      <c r="D684" s="4">
        <f>63.2614 * CHOOSE(CONTROL!$C$9, $C$13, 100%, $E$13) + CHOOSE(CONTROL!$C$28, 0, 0)</f>
        <v>63.261400000000002</v>
      </c>
      <c r="E684" s="4">
        <f>313.958382859998 * CHOOSE(CONTROL!$C$9, $C$13, 100%, $E$13) + CHOOSE(CONTROL!$C$28, 0, 0)</f>
        <v>313.95838285999798</v>
      </c>
    </row>
    <row r="685" spans="1:5" ht="15">
      <c r="A685" s="13">
        <v>62366</v>
      </c>
      <c r="B685" s="4">
        <f>44.2923 * CHOOSE(CONTROL!$C$9, $C$13, 100%, $E$13) + CHOOSE(CONTROL!$C$28, 0.0136, 0)</f>
        <v>44.305899999999994</v>
      </c>
      <c r="C685" s="4">
        <f>43.929 * CHOOSE(CONTROL!$C$9, $C$13, 100%, $E$13) + CHOOSE(CONTROL!$C$28, 0.0136, 0)</f>
        <v>43.942599999999999</v>
      </c>
      <c r="D685" s="4">
        <f>62.947 * CHOOSE(CONTROL!$C$9, $C$13, 100%, $E$13) + CHOOSE(CONTROL!$C$28, 0, 0)</f>
        <v>62.947000000000003</v>
      </c>
      <c r="E685" s="4">
        <f>301.44687424451 * CHOOSE(CONTROL!$C$9, $C$13, 100%, $E$13) + CHOOSE(CONTROL!$C$28, 0, 0)</f>
        <v>301.44687424451001</v>
      </c>
    </row>
    <row r="686" spans="1:5" ht="15">
      <c r="A686" s="13">
        <v>62397</v>
      </c>
      <c r="B686" s="4">
        <f>42.8463 * CHOOSE(CONTROL!$C$9, $C$13, 100%, $E$13) + CHOOSE(CONTROL!$C$28, 0.0003, 0)</f>
        <v>42.846600000000002</v>
      </c>
      <c r="C686" s="4">
        <f>42.4831 * CHOOSE(CONTROL!$C$9, $C$13, 100%, $E$13) + CHOOSE(CONTROL!$C$28, 0.0003, 0)</f>
        <v>42.483400000000003</v>
      </c>
      <c r="D686" s="4">
        <f>62.1052 * CHOOSE(CONTROL!$C$9, $C$13, 100%, $E$13) + CHOOSE(CONTROL!$C$28, 0, 0)</f>
        <v>62.105200000000004</v>
      </c>
      <c r="E686" s="4">
        <f>291.431163643937 * CHOOSE(CONTROL!$C$9, $C$13, 100%, $E$13) + CHOOSE(CONTROL!$C$28, 0, 0)</f>
        <v>291.431163643937</v>
      </c>
    </row>
    <row r="687" spans="1:5" ht="15">
      <c r="A687" s="13">
        <v>62427</v>
      </c>
      <c r="B687" s="4">
        <f>41.915 * CHOOSE(CONTROL!$C$9, $C$13, 100%, $E$13) + CHOOSE(CONTROL!$C$28, 0.0003, 0)</f>
        <v>41.915300000000002</v>
      </c>
      <c r="C687" s="4">
        <f>41.5518 * CHOOSE(CONTROL!$C$9, $C$13, 100%, $E$13) + CHOOSE(CONTROL!$C$28, 0.0003, 0)</f>
        <v>41.552100000000003</v>
      </c>
      <c r="D687" s="4">
        <f>61.8157 * CHOOSE(CONTROL!$C$9, $C$13, 100%, $E$13) + CHOOSE(CONTROL!$C$28, 0, 0)</f>
        <v>61.8157</v>
      </c>
      <c r="E687" s="4">
        <f>284.980298090728 * CHOOSE(CONTROL!$C$9, $C$13, 100%, $E$13) + CHOOSE(CONTROL!$C$28, 0, 0)</f>
        <v>284.98029809072801</v>
      </c>
    </row>
    <row r="688" spans="1:5" ht="15">
      <c r="A688" s="13">
        <v>62458</v>
      </c>
      <c r="B688" s="4">
        <f>41.2707 * CHOOSE(CONTROL!$C$9, $C$13, 100%, $E$13) + CHOOSE(CONTROL!$C$28, 0.0003, 0)</f>
        <v>41.271000000000001</v>
      </c>
      <c r="C688" s="4">
        <f>40.9074 * CHOOSE(CONTROL!$C$9, $C$13, 100%, $E$13) + CHOOSE(CONTROL!$C$28, 0.0003, 0)</f>
        <v>40.907700000000006</v>
      </c>
      <c r="D688" s="4">
        <f>59.685 * CHOOSE(CONTROL!$C$9, $C$13, 100%, $E$13) + CHOOSE(CONTROL!$C$28, 0, 0)</f>
        <v>59.685000000000002</v>
      </c>
      <c r="E688" s="4">
        <f>280.5171283507 * CHOOSE(CONTROL!$C$9, $C$13, 100%, $E$13) + CHOOSE(CONTROL!$C$28, 0, 0)</f>
        <v>280.51712835069998</v>
      </c>
    </row>
    <row r="689" spans="1:5" ht="15">
      <c r="A689" s="13">
        <v>62489</v>
      </c>
      <c r="B689" s="4">
        <f>39.5078 * CHOOSE(CONTROL!$C$9, $C$13, 100%, $E$13) + CHOOSE(CONTROL!$C$28, 0.0003, 0)</f>
        <v>39.508100000000006</v>
      </c>
      <c r="C689" s="4">
        <f>39.1445 * CHOOSE(CONTROL!$C$9, $C$13, 100%, $E$13) + CHOOSE(CONTROL!$C$28, 0.0003, 0)</f>
        <v>39.144800000000004</v>
      </c>
      <c r="D689" s="4">
        <f>57.3379 * CHOOSE(CONTROL!$C$9, $C$13, 100%, $E$13) + CHOOSE(CONTROL!$C$28, 0, 0)</f>
        <v>57.337899999999998</v>
      </c>
      <c r="E689" s="4">
        <f>268.832450098755 * CHOOSE(CONTROL!$C$9, $C$13, 100%, $E$13) + CHOOSE(CONTROL!$C$28, 0, 0)</f>
        <v>268.83245009875498</v>
      </c>
    </row>
    <row r="690" spans="1:5" ht="15">
      <c r="A690" s="13">
        <v>62517</v>
      </c>
      <c r="B690" s="4">
        <f>40.4275 * CHOOSE(CONTROL!$C$9, $C$13, 100%, $E$13) + CHOOSE(CONTROL!$C$28, 0.0003, 0)</f>
        <v>40.427800000000005</v>
      </c>
      <c r="C690" s="4">
        <f>40.0643 * CHOOSE(CONTROL!$C$9, $C$13, 100%, $E$13) + CHOOSE(CONTROL!$C$28, 0.0003, 0)</f>
        <v>40.064600000000006</v>
      </c>
      <c r="D690" s="4">
        <f>59.2962 * CHOOSE(CONTROL!$C$9, $C$13, 100%, $E$13) + CHOOSE(CONTROL!$C$28, 0, 0)</f>
        <v>59.296199999999999</v>
      </c>
      <c r="E690" s="4">
        <f>275.21559190844 * CHOOSE(CONTROL!$C$9, $C$13, 100%, $E$13) + CHOOSE(CONTROL!$C$28, 0, 0)</f>
        <v>275.21559190843999</v>
      </c>
    </row>
    <row r="691" spans="1:5" ht="15">
      <c r="A691" s="13">
        <v>62548</v>
      </c>
      <c r="B691" s="4">
        <f>42.8427 * CHOOSE(CONTROL!$C$9, $C$13, 100%, $E$13) + CHOOSE(CONTROL!$C$28, 0.0003, 0)</f>
        <v>42.843000000000004</v>
      </c>
      <c r="C691" s="4">
        <f>42.4795 * CHOOSE(CONTROL!$C$9, $C$13, 100%, $E$13) + CHOOSE(CONTROL!$C$28, 0.0003, 0)</f>
        <v>42.479800000000004</v>
      </c>
      <c r="D691" s="4">
        <f>62.3618 * CHOOSE(CONTROL!$C$9, $C$13, 100%, $E$13) + CHOOSE(CONTROL!$C$28, 0, 0)</f>
        <v>62.361800000000002</v>
      </c>
      <c r="E691" s="4">
        <f>291.97806152143 * CHOOSE(CONTROL!$C$9, $C$13, 100%, $E$13) + CHOOSE(CONTROL!$C$28, 0, 0)</f>
        <v>291.97806152142999</v>
      </c>
    </row>
    <row r="692" spans="1:5" ht="15">
      <c r="A692" s="13">
        <v>62578</v>
      </c>
      <c r="B692" s="4">
        <f>44.5588 * CHOOSE(CONTROL!$C$9, $C$13, 100%, $E$13) + CHOOSE(CONTROL!$C$28, 0.0003, 0)</f>
        <v>44.559100000000001</v>
      </c>
      <c r="C692" s="4">
        <f>44.1955 * CHOOSE(CONTROL!$C$9, $C$13, 100%, $E$13) + CHOOSE(CONTROL!$C$28, 0.0003, 0)</f>
        <v>44.195800000000006</v>
      </c>
      <c r="D692" s="4">
        <f>64.1277 * CHOOSE(CONTROL!$C$9, $C$13, 100%, $E$13) + CHOOSE(CONTROL!$C$28, 0, 0)</f>
        <v>64.127700000000004</v>
      </c>
      <c r="E692" s="4">
        <f>303.888019570738 * CHOOSE(CONTROL!$C$9, $C$13, 100%, $E$13) + CHOOSE(CONTROL!$C$28, 0, 0)</f>
        <v>303.88801957073798</v>
      </c>
    </row>
    <row r="693" spans="1:5" ht="15">
      <c r="A693" s="13">
        <v>62609</v>
      </c>
      <c r="B693" s="4">
        <f>45.6072 * CHOOSE(CONTROL!$C$9, $C$13, 100%, $E$13) + CHOOSE(CONTROL!$C$28, 0.0136, 0)</f>
        <v>45.620799999999996</v>
      </c>
      <c r="C693" s="4">
        <f>45.2439 * CHOOSE(CONTROL!$C$9, $C$13, 100%, $E$13) + CHOOSE(CONTROL!$C$28, 0.0136, 0)</f>
        <v>45.257499999999993</v>
      </c>
      <c r="D693" s="4">
        <f>63.4299 * CHOOSE(CONTROL!$C$9, $C$13, 100%, $E$13) + CHOOSE(CONTROL!$C$28, 0, 0)</f>
        <v>63.429900000000004</v>
      </c>
      <c r="E693" s="4">
        <f>311.164718497009 * CHOOSE(CONTROL!$C$9, $C$13, 100%, $E$13) + CHOOSE(CONTROL!$C$28, 0, 0)</f>
        <v>311.16471849700901</v>
      </c>
    </row>
    <row r="694" spans="1:5" ht="15">
      <c r="A694" s="13">
        <v>62639</v>
      </c>
      <c r="B694" s="4">
        <f>45.7491 * CHOOSE(CONTROL!$C$9, $C$13, 100%, $E$13) + CHOOSE(CONTROL!$C$28, 0.0136, 0)</f>
        <v>45.762699999999995</v>
      </c>
      <c r="C694" s="4">
        <f>45.3858 * CHOOSE(CONTROL!$C$9, $C$13, 100%, $E$13) + CHOOSE(CONTROL!$C$28, 0.0136, 0)</f>
        <v>45.3994</v>
      </c>
      <c r="D694" s="4">
        <f>63.9982 * CHOOSE(CONTROL!$C$9, $C$13, 100%, $E$13) + CHOOSE(CONTROL!$C$28, 0, 0)</f>
        <v>63.998199999999997</v>
      </c>
      <c r="E694" s="4">
        <f>312.149286060655 * CHOOSE(CONTROL!$C$9, $C$13, 100%, $E$13) + CHOOSE(CONTROL!$C$28, 0, 0)</f>
        <v>312.14928606065502</v>
      </c>
    </row>
    <row r="695" spans="1:5" ht="15">
      <c r="A695" s="13">
        <v>62670</v>
      </c>
      <c r="B695" s="4">
        <f>45.7348 * CHOOSE(CONTROL!$C$9, $C$13, 100%, $E$13) + CHOOSE(CONTROL!$C$28, 0.0136, 0)</f>
        <v>45.748399999999997</v>
      </c>
      <c r="C695" s="4">
        <f>45.3715 * CHOOSE(CONTROL!$C$9, $C$13, 100%, $E$13) + CHOOSE(CONTROL!$C$28, 0.0136, 0)</f>
        <v>45.385099999999994</v>
      </c>
      <c r="D695" s="4">
        <f>65.0236 * CHOOSE(CONTROL!$C$9, $C$13, 100%, $E$13) + CHOOSE(CONTROL!$C$28, 0, 0)</f>
        <v>65.023600000000002</v>
      </c>
      <c r="E695" s="4">
        <f>312.05000193659 * CHOOSE(CONTROL!$C$9, $C$13, 100%, $E$13) + CHOOSE(CONTROL!$C$28, 0, 0)</f>
        <v>312.05000193658998</v>
      </c>
    </row>
    <row r="696" spans="1:5" ht="15">
      <c r="A696" s="13">
        <v>62701</v>
      </c>
      <c r="B696" s="4">
        <f>46.8112 * CHOOSE(CONTROL!$C$9, $C$13, 100%, $E$13) + CHOOSE(CONTROL!$C$28, 0.0136, 0)</f>
        <v>46.824799999999996</v>
      </c>
      <c r="C696" s="4">
        <f>46.448 * CHOOSE(CONTROL!$C$9, $C$13, 100%, $E$13) + CHOOSE(CONTROL!$C$28, 0.0136, 0)</f>
        <v>46.461599999999997</v>
      </c>
      <c r="D696" s="4">
        <f>64.3464 * CHOOSE(CONTROL!$C$9, $C$13, 100%, $E$13) + CHOOSE(CONTROL!$C$28, 0, 0)</f>
        <v>64.346400000000003</v>
      </c>
      <c r="E696" s="4">
        <f>319.521132272488 * CHOOSE(CONTROL!$C$9, $C$13, 100%, $E$13) + CHOOSE(CONTROL!$C$28, 0, 0)</f>
        <v>319.52113227248799</v>
      </c>
    </row>
    <row r="697" spans="1:5" ht="15">
      <c r="A697" s="13">
        <v>62731</v>
      </c>
      <c r="B697" s="4">
        <f>44.9766 * CHOOSE(CONTROL!$C$9, $C$13, 100%, $E$13) + CHOOSE(CONTROL!$C$28, 0.0136, 0)</f>
        <v>44.990199999999994</v>
      </c>
      <c r="C697" s="4">
        <f>44.6133 * CHOOSE(CONTROL!$C$9, $C$13, 100%, $E$13) + CHOOSE(CONTROL!$C$28, 0.0136, 0)</f>
        <v>44.626899999999999</v>
      </c>
      <c r="D697" s="4">
        <f>64.0264 * CHOOSE(CONTROL!$C$9, $C$13, 100%, $E$13) + CHOOSE(CONTROL!$C$28, 0, 0)</f>
        <v>64.026399999999995</v>
      </c>
      <c r="E697" s="4">
        <f>306.78794336114 * CHOOSE(CONTROL!$C$9, $C$13, 100%, $E$13) + CHOOSE(CONTROL!$C$28, 0, 0)</f>
        <v>306.78794336113998</v>
      </c>
    </row>
    <row r="698" spans="1:5" ht="15">
      <c r="A698" s="13">
        <v>62762</v>
      </c>
      <c r="B698" s="4">
        <f>43.5079 * CHOOSE(CONTROL!$C$9, $C$13, 100%, $E$13) + CHOOSE(CONTROL!$C$28, 0.0003, 0)</f>
        <v>43.508200000000002</v>
      </c>
      <c r="C698" s="4">
        <f>43.1446 * CHOOSE(CONTROL!$C$9, $C$13, 100%, $E$13) + CHOOSE(CONTROL!$C$28, 0.0003, 0)</f>
        <v>43.1449</v>
      </c>
      <c r="D698" s="4">
        <f>63.1697 * CHOOSE(CONTROL!$C$9, $C$13, 100%, $E$13) + CHOOSE(CONTROL!$C$28, 0, 0)</f>
        <v>63.169699999999999</v>
      </c>
      <c r="E698" s="4">
        <f>296.594773290457 * CHOOSE(CONTROL!$C$9, $C$13, 100%, $E$13) + CHOOSE(CONTROL!$C$28, 0, 0)</f>
        <v>296.594773290457</v>
      </c>
    </row>
    <row r="699" spans="1:5" ht="15">
      <c r="A699" s="13">
        <v>62792</v>
      </c>
      <c r="B699" s="4">
        <f>42.562 * CHOOSE(CONTROL!$C$9, $C$13, 100%, $E$13) + CHOOSE(CONTROL!$C$28, 0.0003, 0)</f>
        <v>42.5623</v>
      </c>
      <c r="C699" s="4">
        <f>42.1987 * CHOOSE(CONTROL!$C$9, $C$13, 100%, $E$13) + CHOOSE(CONTROL!$C$28, 0.0003, 0)</f>
        <v>42.199000000000005</v>
      </c>
      <c r="D699" s="4">
        <f>62.8752 * CHOOSE(CONTROL!$C$9, $C$13, 100%, $E$13) + CHOOSE(CONTROL!$C$28, 0, 0)</f>
        <v>62.8752</v>
      </c>
      <c r="E699" s="4">
        <f>290.029610586652 * CHOOSE(CONTROL!$C$9, $C$13, 100%, $E$13) + CHOOSE(CONTROL!$C$28, 0, 0)</f>
        <v>290.02961058665198</v>
      </c>
    </row>
    <row r="700" spans="1:5" ht="15">
      <c r="A700" s="13">
        <v>62823</v>
      </c>
      <c r="B700" s="4">
        <f>41.9075 * CHOOSE(CONTROL!$C$9, $C$13, 100%, $E$13) + CHOOSE(CONTROL!$C$28, 0.0003, 0)</f>
        <v>41.907800000000002</v>
      </c>
      <c r="C700" s="4">
        <f>41.5442 * CHOOSE(CONTROL!$C$9, $C$13, 100%, $E$13) + CHOOSE(CONTROL!$C$28, 0.0003, 0)</f>
        <v>41.544499999999999</v>
      </c>
      <c r="D700" s="4">
        <f>60.7068 * CHOOSE(CONTROL!$C$9, $C$13, 100%, $E$13) + CHOOSE(CONTROL!$C$28, 0, 0)</f>
        <v>60.706800000000001</v>
      </c>
      <c r="E700" s="4">
        <f>285.487361910674 * CHOOSE(CONTROL!$C$9, $C$13, 100%, $E$13) + CHOOSE(CONTROL!$C$28, 0, 0)</f>
        <v>285.487361910674</v>
      </c>
    </row>
    <row r="701" spans="1:5" ht="15">
      <c r="A701" s="13">
        <v>62854</v>
      </c>
      <c r="B701" s="4">
        <f>40.1169 * CHOOSE(CONTROL!$C$9, $C$13, 100%, $E$13) + CHOOSE(CONTROL!$C$28, 0.0003, 0)</f>
        <v>40.117200000000004</v>
      </c>
      <c r="C701" s="4">
        <f>39.7536 * CHOOSE(CONTROL!$C$9, $C$13, 100%, $E$13) + CHOOSE(CONTROL!$C$28, 0.0003, 0)</f>
        <v>39.753900000000002</v>
      </c>
      <c r="D701" s="4">
        <f>58.3182 * CHOOSE(CONTROL!$C$9, $C$13, 100%, $E$13) + CHOOSE(CONTROL!$C$28, 0, 0)</f>
        <v>58.318199999999997</v>
      </c>
      <c r="E701" s="4">
        <f>273.595653234859 * CHOOSE(CONTROL!$C$9, $C$13, 100%, $E$13) + CHOOSE(CONTROL!$C$28, 0, 0)</f>
        <v>273.59565323485901</v>
      </c>
    </row>
    <row r="702" spans="1:5" ht="15">
      <c r="A702" s="13">
        <v>62883</v>
      </c>
      <c r="B702" s="4">
        <f>41.0511 * CHOOSE(CONTROL!$C$9, $C$13, 100%, $E$13) + CHOOSE(CONTROL!$C$28, 0.0003, 0)</f>
        <v>41.051400000000001</v>
      </c>
      <c r="C702" s="4">
        <f>40.6878 * CHOOSE(CONTROL!$C$9, $C$13, 100%, $E$13) + CHOOSE(CONTROL!$C$28, 0.0003, 0)</f>
        <v>40.688100000000006</v>
      </c>
      <c r="D702" s="4">
        <f>60.3111 * CHOOSE(CONTROL!$C$9, $C$13, 100%, $E$13) + CHOOSE(CONTROL!$C$28, 0, 0)</f>
        <v>60.311100000000003</v>
      </c>
      <c r="E702" s="4">
        <f>280.091892258347 * CHOOSE(CONTROL!$C$9, $C$13, 100%, $E$13) + CHOOSE(CONTROL!$C$28, 0, 0)</f>
        <v>280.091892258347</v>
      </c>
    </row>
    <row r="703" spans="1:5" ht="15">
      <c r="A703" s="13">
        <v>62914</v>
      </c>
      <c r="B703" s="4">
        <f>43.5043 * CHOOSE(CONTROL!$C$9, $C$13, 100%, $E$13) + CHOOSE(CONTROL!$C$28, 0.0003, 0)</f>
        <v>43.504600000000003</v>
      </c>
      <c r="C703" s="4">
        <f>43.141 * CHOOSE(CONTROL!$C$9, $C$13, 100%, $E$13) + CHOOSE(CONTROL!$C$28, 0.0003, 0)</f>
        <v>43.141300000000001</v>
      </c>
      <c r="D703" s="4">
        <f>63.4309 * CHOOSE(CONTROL!$C$9, $C$13, 100%, $E$13) + CHOOSE(CONTROL!$C$28, 0, 0)</f>
        <v>63.430900000000001</v>
      </c>
      <c r="E703" s="4">
        <f>297.151361165136 * CHOOSE(CONTROL!$C$9, $C$13, 100%, $E$13) + CHOOSE(CONTROL!$C$28, 0, 0)</f>
        <v>297.151361165136</v>
      </c>
    </row>
    <row r="704" spans="1:5" ht="15">
      <c r="A704" s="13">
        <v>62944</v>
      </c>
      <c r="B704" s="4">
        <f>45.2473 * CHOOSE(CONTROL!$C$9, $C$13, 100%, $E$13) + CHOOSE(CONTROL!$C$28, 0.0003, 0)</f>
        <v>45.247600000000006</v>
      </c>
      <c r="C704" s="4">
        <f>44.884 * CHOOSE(CONTROL!$C$9, $C$13, 100%, $E$13) + CHOOSE(CONTROL!$C$28, 0.0003, 0)</f>
        <v>44.884300000000003</v>
      </c>
      <c r="D704" s="4">
        <f>65.228 * CHOOSE(CONTROL!$C$9, $C$13, 100%, $E$13) + CHOOSE(CONTROL!$C$28, 0, 0)</f>
        <v>65.227999999999994</v>
      </c>
      <c r="E704" s="4">
        <f>309.272341170724 * CHOOSE(CONTROL!$C$9, $C$13, 100%, $E$13) + CHOOSE(CONTROL!$C$28, 0, 0)</f>
        <v>309.27234117072402</v>
      </c>
    </row>
    <row r="705" spans="1:5" ht="15">
      <c r="A705" s="13">
        <v>62975</v>
      </c>
      <c r="B705" s="4">
        <f>46.3122 * CHOOSE(CONTROL!$C$9, $C$13, 100%, $E$13) + CHOOSE(CONTROL!$C$28, 0.0136, 0)</f>
        <v>46.325799999999994</v>
      </c>
      <c r="C705" s="4">
        <f>45.9489 * CHOOSE(CONTROL!$C$9, $C$13, 100%, $E$13) + CHOOSE(CONTROL!$C$28, 0.0136, 0)</f>
        <v>45.962499999999999</v>
      </c>
      <c r="D705" s="4">
        <f>64.5178 * CHOOSE(CONTROL!$C$9, $C$13, 100%, $E$13) + CHOOSE(CONTROL!$C$28, 0, 0)</f>
        <v>64.517799999999994</v>
      </c>
      <c r="E705" s="4">
        <f>316.677969454791 * CHOOSE(CONTROL!$C$9, $C$13, 100%, $E$13) + CHOOSE(CONTROL!$C$28, 0, 0)</f>
        <v>316.67796945479103</v>
      </c>
    </row>
    <row r="706" spans="1:5" ht="15">
      <c r="A706" s="13">
        <v>63005</v>
      </c>
      <c r="B706" s="4">
        <f>46.4563 * CHOOSE(CONTROL!$C$9, $C$13, 100%, $E$13) + CHOOSE(CONTROL!$C$28, 0.0136, 0)</f>
        <v>46.469899999999996</v>
      </c>
      <c r="C706" s="4">
        <f>46.093 * CHOOSE(CONTROL!$C$9, $C$13, 100%, $E$13) + CHOOSE(CONTROL!$C$28, 0.0136, 0)</f>
        <v>46.1066</v>
      </c>
      <c r="D706" s="4">
        <f>65.0962 * CHOOSE(CONTROL!$C$9, $C$13, 100%, $E$13) + CHOOSE(CONTROL!$C$28, 0, 0)</f>
        <v>65.096199999999996</v>
      </c>
      <c r="E706" s="4">
        <f>317.679981695615 * CHOOSE(CONTROL!$C$9, $C$13, 100%, $E$13) + CHOOSE(CONTROL!$C$28, 0, 0)</f>
        <v>317.67998169561503</v>
      </c>
    </row>
    <row r="707" spans="1:5" ht="15">
      <c r="A707" s="13">
        <v>63036</v>
      </c>
      <c r="B707" s="4">
        <f>46.4418 * CHOOSE(CONTROL!$C$9, $C$13, 100%, $E$13) + CHOOSE(CONTROL!$C$28, 0.0136, 0)</f>
        <v>46.455399999999997</v>
      </c>
      <c r="C707" s="4">
        <f>46.0785 * CHOOSE(CONTROL!$C$9, $C$13, 100%, $E$13) + CHOOSE(CONTROL!$C$28, 0.0136, 0)</f>
        <v>46.092099999999995</v>
      </c>
      <c r="D707" s="4">
        <f>66.1397 * CHOOSE(CONTROL!$C$9, $C$13, 100%, $E$13) + CHOOSE(CONTROL!$C$28, 0, 0)</f>
        <v>66.139700000000005</v>
      </c>
      <c r="E707" s="4">
        <f>317.578938444439 * CHOOSE(CONTROL!$C$9, $C$13, 100%, $E$13) + CHOOSE(CONTROL!$C$28, 0, 0)</f>
        <v>317.57893844443902</v>
      </c>
    </row>
    <row r="708" spans="1:5" ht="15">
      <c r="A708" s="13">
        <v>63067</v>
      </c>
      <c r="B708" s="4">
        <f>47.5352 * CHOOSE(CONTROL!$C$9, $C$13, 100%, $E$13) + CHOOSE(CONTROL!$C$28, 0.0136, 0)</f>
        <v>47.5488</v>
      </c>
      <c r="C708" s="4">
        <f>47.1719 * CHOOSE(CONTROL!$C$9, $C$13, 100%, $E$13) + CHOOSE(CONTROL!$C$28, 0.0136, 0)</f>
        <v>47.185499999999998</v>
      </c>
      <c r="D708" s="4">
        <f>65.4506 * CHOOSE(CONTROL!$C$9, $C$13, 100%, $E$13) + CHOOSE(CONTROL!$C$28, 0, 0)</f>
        <v>65.450599999999994</v>
      </c>
      <c r="E708" s="4">
        <f>325.182443095392 * CHOOSE(CONTROL!$C$9, $C$13, 100%, $E$13) + CHOOSE(CONTROL!$C$28, 0, 0)</f>
        <v>325.18244309539199</v>
      </c>
    </row>
    <row r="709" spans="1:5" ht="15">
      <c r="A709" s="13">
        <v>63097</v>
      </c>
      <c r="B709" s="4">
        <f>45.6717 * CHOOSE(CONTROL!$C$9, $C$13, 100%, $E$13) + CHOOSE(CONTROL!$C$28, 0.0136, 0)</f>
        <v>45.685299999999998</v>
      </c>
      <c r="C709" s="4">
        <f>45.3084 * CHOOSE(CONTROL!$C$9, $C$13, 100%, $E$13) + CHOOSE(CONTROL!$C$28, 0.0136, 0)</f>
        <v>45.321999999999996</v>
      </c>
      <c r="D709" s="4">
        <f>65.125 * CHOOSE(CONTROL!$C$9, $C$13, 100%, $E$13) + CHOOSE(CONTROL!$C$28, 0, 0)</f>
        <v>65.125</v>
      </c>
      <c r="E709" s="4">
        <f>312.22364613214 * CHOOSE(CONTROL!$C$9, $C$13, 100%, $E$13) + CHOOSE(CONTROL!$C$28, 0, 0)</f>
        <v>312.22364613214</v>
      </c>
    </row>
    <row r="710" spans="1:5" ht="15">
      <c r="A710" s="13">
        <v>63128</v>
      </c>
      <c r="B710" s="4">
        <f>44.1799 * CHOOSE(CONTROL!$C$9, $C$13, 100%, $E$13) + CHOOSE(CONTROL!$C$28, 0.0003, 0)</f>
        <v>44.180200000000006</v>
      </c>
      <c r="C710" s="4">
        <f>43.8166 * CHOOSE(CONTROL!$C$9, $C$13, 100%, $E$13) + CHOOSE(CONTROL!$C$28, 0.0003, 0)</f>
        <v>43.816900000000004</v>
      </c>
      <c r="D710" s="4">
        <f>64.2531 * CHOOSE(CONTROL!$C$9, $C$13, 100%, $E$13) + CHOOSE(CONTROL!$C$28, 0, 0)</f>
        <v>64.253100000000003</v>
      </c>
      <c r="E710" s="4">
        <f>301.849872344794 * CHOOSE(CONTROL!$C$9, $C$13, 100%, $E$13) + CHOOSE(CONTROL!$C$28, 0, 0)</f>
        <v>301.84987234479399</v>
      </c>
    </row>
    <row r="711" spans="1:5" ht="15">
      <c r="A711" s="13">
        <v>63158</v>
      </c>
      <c r="B711" s="4">
        <f>43.2191 * CHOOSE(CONTROL!$C$9, $C$13, 100%, $E$13) + CHOOSE(CONTROL!$C$28, 0.0003, 0)</f>
        <v>43.2194</v>
      </c>
      <c r="C711" s="4">
        <f>42.8558 * CHOOSE(CONTROL!$C$9, $C$13, 100%, $E$13) + CHOOSE(CONTROL!$C$28, 0.0003, 0)</f>
        <v>42.856100000000005</v>
      </c>
      <c r="D711" s="4">
        <f>63.9534 * CHOOSE(CONTROL!$C$9, $C$13, 100%, $E$13) + CHOOSE(CONTROL!$C$28, 0, 0)</f>
        <v>63.953400000000002</v>
      </c>
      <c r="E711" s="4">
        <f>295.168387360818 * CHOOSE(CONTROL!$C$9, $C$13, 100%, $E$13) + CHOOSE(CONTROL!$C$28, 0, 0)</f>
        <v>295.16838736081797</v>
      </c>
    </row>
    <row r="712" spans="1:5" ht="15">
      <c r="A712" s="13">
        <v>63189</v>
      </c>
      <c r="B712" s="4">
        <f>42.5544 * CHOOSE(CONTROL!$C$9, $C$13, 100%, $E$13) + CHOOSE(CONTROL!$C$28, 0.0003, 0)</f>
        <v>42.554700000000004</v>
      </c>
      <c r="C712" s="4">
        <f>42.1911 * CHOOSE(CONTROL!$C$9, $C$13, 100%, $E$13) + CHOOSE(CONTROL!$C$28, 0.0003, 0)</f>
        <v>42.191400000000002</v>
      </c>
      <c r="D712" s="4">
        <f>61.7467 * CHOOSE(CONTROL!$C$9, $C$13, 100%, $E$13) + CHOOSE(CONTROL!$C$28, 0, 0)</f>
        <v>61.746699999999997</v>
      </c>
      <c r="E712" s="4">
        <f>290.545658619541 * CHOOSE(CONTROL!$C$9, $C$13, 100%, $E$13) + CHOOSE(CONTROL!$C$28, 0, 0)</f>
        <v>290.54565861954097</v>
      </c>
    </row>
    <row r="713" spans="1:5" ht="15">
      <c r="A713" s="13">
        <v>63220</v>
      </c>
      <c r="B713" s="4">
        <f>40.7356 * CHOOSE(CONTROL!$C$9, $C$13, 100%, $E$13) + CHOOSE(CONTROL!$C$28, 0.0003, 0)</f>
        <v>40.735900000000001</v>
      </c>
      <c r="C713" s="4">
        <f>40.3723 * CHOOSE(CONTROL!$C$9, $C$13, 100%, $E$13) + CHOOSE(CONTROL!$C$28, 0.0003, 0)</f>
        <v>40.372600000000006</v>
      </c>
      <c r="D713" s="4">
        <f>59.3159 * CHOOSE(CONTROL!$C$9, $C$13, 100%, $E$13) + CHOOSE(CONTROL!$C$28, 0, 0)</f>
        <v>59.315899999999999</v>
      </c>
      <c r="E713" s="4">
        <f>278.443251331867 * CHOOSE(CONTROL!$C$9, $C$13, 100%, $E$13) + CHOOSE(CONTROL!$C$28, 0, 0)</f>
        <v>278.44325133186697</v>
      </c>
    </row>
    <row r="714" spans="1:5" ht="15">
      <c r="A714" s="13">
        <v>63248</v>
      </c>
      <c r="B714" s="4">
        <f>41.6845 * CHOOSE(CONTROL!$C$9, $C$13, 100%, $E$13) + CHOOSE(CONTROL!$C$28, 0.0003, 0)</f>
        <v>41.684800000000003</v>
      </c>
      <c r="C714" s="4">
        <f>41.3212 * CHOOSE(CONTROL!$C$9, $C$13, 100%, $E$13) + CHOOSE(CONTROL!$C$28, 0.0003, 0)</f>
        <v>41.3215</v>
      </c>
      <c r="D714" s="4">
        <f>61.344 * CHOOSE(CONTROL!$C$9, $C$13, 100%, $E$13) + CHOOSE(CONTROL!$C$28, 0, 0)</f>
        <v>61.344000000000001</v>
      </c>
      <c r="E714" s="4">
        <f>285.054591438124 * CHOOSE(CONTROL!$C$9, $C$13, 100%, $E$13) + CHOOSE(CONTROL!$C$28, 0, 0)</f>
        <v>285.05459143812402</v>
      </c>
    </row>
    <row r="715" spans="1:5" ht="15">
      <c r="A715" s="13">
        <v>63279</v>
      </c>
      <c r="B715" s="4">
        <f>44.1762 * CHOOSE(CONTROL!$C$9, $C$13, 100%, $E$13) + CHOOSE(CONTROL!$C$28, 0.0003, 0)</f>
        <v>44.176500000000004</v>
      </c>
      <c r="C715" s="4">
        <f>43.8129 * CHOOSE(CONTROL!$C$9, $C$13, 100%, $E$13) + CHOOSE(CONTROL!$C$28, 0.0003, 0)</f>
        <v>43.813200000000002</v>
      </c>
      <c r="D715" s="4">
        <f>64.5189 * CHOOSE(CONTROL!$C$9, $C$13, 100%, $E$13) + CHOOSE(CONTROL!$C$28, 0, 0)</f>
        <v>64.518900000000002</v>
      </c>
      <c r="E715" s="4">
        <f>302.416321905104 * CHOOSE(CONTROL!$C$9, $C$13, 100%, $E$13) + CHOOSE(CONTROL!$C$28, 0, 0)</f>
        <v>302.41632190510398</v>
      </c>
    </row>
    <row r="716" spans="1:5" ht="15">
      <c r="A716" s="13">
        <v>63309</v>
      </c>
      <c r="B716" s="4">
        <f>45.9466 * CHOOSE(CONTROL!$C$9, $C$13, 100%, $E$13) + CHOOSE(CONTROL!$C$28, 0.0003, 0)</f>
        <v>45.946899999999999</v>
      </c>
      <c r="C716" s="4">
        <f>45.5834 * CHOOSE(CONTROL!$C$9, $C$13, 100%, $E$13) + CHOOSE(CONTROL!$C$28, 0.0003, 0)</f>
        <v>45.5837</v>
      </c>
      <c r="D716" s="4">
        <f>66.3477 * CHOOSE(CONTROL!$C$9, $C$13, 100%, $E$13) + CHOOSE(CONTROL!$C$28, 0, 0)</f>
        <v>66.347700000000003</v>
      </c>
      <c r="E716" s="4">
        <f>314.752062777374 * CHOOSE(CONTROL!$C$9, $C$13, 100%, $E$13) + CHOOSE(CONTROL!$C$28, 0, 0)</f>
        <v>314.75206277737402</v>
      </c>
    </row>
    <row r="717" spans="1:5" ht="15">
      <c r="A717" s="13">
        <v>63340</v>
      </c>
      <c r="B717" s="4">
        <f>47.0283 * CHOOSE(CONTROL!$C$9, $C$13, 100%, $E$13) + CHOOSE(CONTROL!$C$28, 0.0136, 0)</f>
        <v>47.041899999999998</v>
      </c>
      <c r="C717" s="4">
        <f>46.665 * CHOOSE(CONTROL!$C$9, $C$13, 100%, $E$13) + CHOOSE(CONTROL!$C$28, 0.0136, 0)</f>
        <v>46.678599999999996</v>
      </c>
      <c r="D717" s="4">
        <f>65.625 * CHOOSE(CONTROL!$C$9, $C$13, 100%, $E$13) + CHOOSE(CONTROL!$C$28, 0, 0)</f>
        <v>65.625</v>
      </c>
      <c r="E717" s="4">
        <f>322.288904803884 * CHOOSE(CONTROL!$C$9, $C$13, 100%, $E$13) + CHOOSE(CONTROL!$C$28, 0, 0)</f>
        <v>322.28890480388401</v>
      </c>
    </row>
    <row r="718" spans="1:5" ht="15">
      <c r="A718" s="13">
        <v>63370</v>
      </c>
      <c r="B718" s="4">
        <f>47.1747 * CHOOSE(CONTROL!$C$9, $C$13, 100%, $E$13) + CHOOSE(CONTROL!$C$28, 0.0136, 0)</f>
        <v>47.188299999999998</v>
      </c>
      <c r="C718" s="4">
        <f>46.8114 * CHOOSE(CONTROL!$C$9, $C$13, 100%, $E$13) + CHOOSE(CONTROL!$C$28, 0.0136, 0)</f>
        <v>46.824999999999996</v>
      </c>
      <c r="D718" s="4">
        <f>66.2136 * CHOOSE(CONTROL!$C$9, $C$13, 100%, $E$13) + CHOOSE(CONTROL!$C$28, 0, 0)</f>
        <v>66.2136</v>
      </c>
      <c r="E718" s="4">
        <f>323.308670808608 * CHOOSE(CONTROL!$C$9, $C$13, 100%, $E$13) + CHOOSE(CONTROL!$C$28, 0, 0)</f>
        <v>323.30867080860799</v>
      </c>
    </row>
    <row r="719" spans="1:5" ht="15">
      <c r="A719" s="13">
        <v>63401</v>
      </c>
      <c r="B719" s="4">
        <f>47.1599 * CHOOSE(CONTROL!$C$9, $C$13, 100%, $E$13) + CHOOSE(CONTROL!$C$28, 0.0136, 0)</f>
        <v>47.173499999999997</v>
      </c>
      <c r="C719" s="4">
        <f>46.7966 * CHOOSE(CONTROL!$C$9, $C$13, 100%, $E$13) + CHOOSE(CONTROL!$C$28, 0.0136, 0)</f>
        <v>46.810199999999995</v>
      </c>
      <c r="D719" s="4">
        <f>67.2756 * CHOOSE(CONTROL!$C$9, $C$13, 100%, $E$13) + CHOOSE(CONTROL!$C$28, 0, 0)</f>
        <v>67.275599999999997</v>
      </c>
      <c r="E719" s="4">
        <f>323.205837261913 * CHOOSE(CONTROL!$C$9, $C$13, 100%, $E$13) + CHOOSE(CONTROL!$C$28, 0, 0)</f>
        <v>323.20583726191302</v>
      </c>
    </row>
    <row r="720" spans="1:5" ht="15">
      <c r="A720" s="13">
        <v>63432</v>
      </c>
      <c r="B720" s="4">
        <f>48.2705 * CHOOSE(CONTROL!$C$9, $C$13, 100%, $E$13) + CHOOSE(CONTROL!$C$28, 0.0136, 0)</f>
        <v>48.284099999999995</v>
      </c>
      <c r="C720" s="4">
        <f>47.9072 * CHOOSE(CONTROL!$C$9, $C$13, 100%, $E$13) + CHOOSE(CONTROL!$C$28, 0.0136, 0)</f>
        <v>47.9208</v>
      </c>
      <c r="D720" s="4">
        <f>66.5742 * CHOOSE(CONTROL!$C$9, $C$13, 100%, $E$13) + CHOOSE(CONTROL!$C$28, 0, 0)</f>
        <v>66.574200000000005</v>
      </c>
      <c r="E720" s="4">
        <f>330.9440616507 * CHOOSE(CONTROL!$C$9, $C$13, 100%, $E$13) + CHOOSE(CONTROL!$C$28, 0, 0)</f>
        <v>330.94406165070001</v>
      </c>
    </row>
    <row r="721" spans="1:5" ht="15">
      <c r="A721" s="13">
        <v>63462</v>
      </c>
      <c r="B721" s="4">
        <f>46.3777 * CHOOSE(CONTROL!$C$9, $C$13, 100%, $E$13) + CHOOSE(CONTROL!$C$28, 0.0136, 0)</f>
        <v>46.391299999999994</v>
      </c>
      <c r="C721" s="4">
        <f>46.0144 * CHOOSE(CONTROL!$C$9, $C$13, 100%, $E$13) + CHOOSE(CONTROL!$C$28, 0.0136, 0)</f>
        <v>46.027999999999999</v>
      </c>
      <c r="D721" s="4">
        <f>66.2429 * CHOOSE(CONTROL!$C$9, $C$13, 100%, $E$13) + CHOOSE(CONTROL!$C$28, 0, 0)</f>
        <v>66.242900000000006</v>
      </c>
      <c r="E721" s="4">
        <f>317.755659287086 * CHOOSE(CONTROL!$C$9, $C$13, 100%, $E$13) + CHOOSE(CONTROL!$C$28, 0, 0)</f>
        <v>317.75565928708602</v>
      </c>
    </row>
    <row r="722" spans="1:5" ht="15">
      <c r="A722" s="13">
        <v>63493</v>
      </c>
      <c r="B722" s="4">
        <f>44.8625 * CHOOSE(CONTROL!$C$9, $C$13, 100%, $E$13) + CHOOSE(CONTROL!$C$28, 0.0003, 0)</f>
        <v>44.8628</v>
      </c>
      <c r="C722" s="4">
        <f>44.4992 * CHOOSE(CONTROL!$C$9, $C$13, 100%, $E$13) + CHOOSE(CONTROL!$C$28, 0.0003, 0)</f>
        <v>44.499500000000005</v>
      </c>
      <c r="D722" s="4">
        <f>65.3556 * CHOOSE(CONTROL!$C$9, $C$13, 100%, $E$13) + CHOOSE(CONTROL!$C$28, 0, 0)</f>
        <v>65.355599999999995</v>
      </c>
      <c r="E722" s="4">
        <f>307.198081826414 * CHOOSE(CONTROL!$C$9, $C$13, 100%, $E$13) + CHOOSE(CONTROL!$C$28, 0, 0)</f>
        <v>307.19808182641401</v>
      </c>
    </row>
    <row r="723" spans="1:5" ht="15">
      <c r="A723" s="13">
        <v>63523</v>
      </c>
      <c r="B723" s="4">
        <f>43.8866 * CHOOSE(CONTROL!$C$9, $C$13, 100%, $E$13) + CHOOSE(CONTROL!$C$28, 0.0003, 0)</f>
        <v>43.886900000000004</v>
      </c>
      <c r="C723" s="4">
        <f>43.5233 * CHOOSE(CONTROL!$C$9, $C$13, 100%, $E$13) + CHOOSE(CONTROL!$C$28, 0.0003, 0)</f>
        <v>43.523600000000002</v>
      </c>
      <c r="D723" s="4">
        <f>65.0506 * CHOOSE(CONTROL!$C$9, $C$13, 100%, $E$13) + CHOOSE(CONTROL!$C$28, 0, 0)</f>
        <v>65.050600000000003</v>
      </c>
      <c r="E723" s="4">
        <f>300.398213551217 * CHOOSE(CONTROL!$C$9, $C$13, 100%, $E$13) + CHOOSE(CONTROL!$C$28, 0, 0)</f>
        <v>300.398213551217</v>
      </c>
    </row>
    <row r="724" spans="1:5" ht="15">
      <c r="A724" s="13">
        <v>63554</v>
      </c>
      <c r="B724" s="4">
        <f>43.2114 * CHOOSE(CONTROL!$C$9, $C$13, 100%, $E$13) + CHOOSE(CONTROL!$C$28, 0.0003, 0)</f>
        <v>43.2117</v>
      </c>
      <c r="C724" s="4">
        <f>42.8481 * CHOOSE(CONTROL!$C$9, $C$13, 100%, $E$13) + CHOOSE(CONTROL!$C$28, 0.0003, 0)</f>
        <v>42.848400000000005</v>
      </c>
      <c r="D724" s="4">
        <f>62.8049 * CHOOSE(CONTROL!$C$9, $C$13, 100%, $E$13) + CHOOSE(CONTROL!$C$28, 0, 0)</f>
        <v>62.804900000000004</v>
      </c>
      <c r="E724" s="4">
        <f>295.693578789928 * CHOOSE(CONTROL!$C$9, $C$13, 100%, $E$13) + CHOOSE(CONTROL!$C$28, 0, 0)</f>
        <v>295.69357878992798</v>
      </c>
    </row>
    <row r="725" spans="1:5" ht="15">
      <c r="A725" s="13">
        <v>63585</v>
      </c>
      <c r="B725" s="4">
        <f>41.364 * CHOOSE(CONTROL!$C$9, $C$13, 100%, $E$13) + CHOOSE(CONTROL!$C$28, 0.0003, 0)</f>
        <v>41.3643</v>
      </c>
      <c r="C725" s="4">
        <f>41.0007 * CHOOSE(CONTROL!$C$9, $C$13, 100%, $E$13) + CHOOSE(CONTROL!$C$28, 0.0003, 0)</f>
        <v>41.001000000000005</v>
      </c>
      <c r="D725" s="4">
        <f>60.3311 * CHOOSE(CONTROL!$C$9, $C$13, 100%, $E$13) + CHOOSE(CONTROL!$C$28, 0, 0)</f>
        <v>60.331099999999999</v>
      </c>
      <c r="E725" s="4">
        <f>283.376739709047 * CHOOSE(CONTROL!$C$9, $C$13, 100%, $E$13) + CHOOSE(CONTROL!$C$28, 0, 0)</f>
        <v>283.376739709047</v>
      </c>
    </row>
    <row r="726" spans="1:5" ht="15">
      <c r="A726" s="13">
        <v>63613</v>
      </c>
      <c r="B726" s="4">
        <f>42.3278 * CHOOSE(CONTROL!$C$9, $C$13, 100%, $E$13) + CHOOSE(CONTROL!$C$28, 0.0003, 0)</f>
        <v>42.328100000000006</v>
      </c>
      <c r="C726" s="4">
        <f>41.9645 * CHOOSE(CONTROL!$C$9, $C$13, 100%, $E$13) + CHOOSE(CONTROL!$C$28, 0.0003, 0)</f>
        <v>41.964800000000004</v>
      </c>
      <c r="D726" s="4">
        <f>62.3951 * CHOOSE(CONTROL!$C$9, $C$13, 100%, $E$13) + CHOOSE(CONTROL!$C$28, 0, 0)</f>
        <v>62.395099999999999</v>
      </c>
      <c r="E726" s="4">
        <f>290.105220271809 * CHOOSE(CONTROL!$C$9, $C$13, 100%, $E$13) + CHOOSE(CONTROL!$C$28, 0, 0)</f>
        <v>290.105220271809</v>
      </c>
    </row>
    <row r="727" spans="1:5" ht="15">
      <c r="A727" s="13">
        <v>63644</v>
      </c>
      <c r="B727" s="4">
        <f>44.8587 * CHOOSE(CONTROL!$C$9, $C$13, 100%, $E$13) + CHOOSE(CONTROL!$C$28, 0.0003, 0)</f>
        <v>44.859000000000002</v>
      </c>
      <c r="C727" s="4">
        <f>44.4954 * CHOOSE(CONTROL!$C$9, $C$13, 100%, $E$13) + CHOOSE(CONTROL!$C$28, 0.0003, 0)</f>
        <v>44.495699999999999</v>
      </c>
      <c r="D727" s="4">
        <f>65.6261 * CHOOSE(CONTROL!$C$9, $C$13, 100%, $E$13) + CHOOSE(CONTROL!$C$28, 0, 0)</f>
        <v>65.626099999999994</v>
      </c>
      <c r="E727" s="4">
        <f>307.774567802793 * CHOOSE(CONTROL!$C$9, $C$13, 100%, $E$13) + CHOOSE(CONTROL!$C$28, 0, 0)</f>
        <v>307.774567802793</v>
      </c>
    </row>
    <row r="728" spans="1:5" ht="15">
      <c r="A728" s="13">
        <v>63674</v>
      </c>
      <c r="B728" s="4">
        <f>46.657 * CHOOSE(CONTROL!$C$9, $C$13, 100%, $E$13) + CHOOSE(CONTROL!$C$28, 0.0003, 0)</f>
        <v>46.657299999999999</v>
      </c>
      <c r="C728" s="4">
        <f>46.2937 * CHOOSE(CONTROL!$C$9, $C$13, 100%, $E$13) + CHOOSE(CONTROL!$C$28, 0.0003, 0)</f>
        <v>46.294000000000004</v>
      </c>
      <c r="D728" s="4">
        <f>67.4872 * CHOOSE(CONTROL!$C$9, $C$13, 100%, $E$13) + CHOOSE(CONTROL!$C$28, 0, 0)</f>
        <v>67.487200000000001</v>
      </c>
      <c r="E728" s="4">
        <f>320.328874698575 * CHOOSE(CONTROL!$C$9, $C$13, 100%, $E$13) + CHOOSE(CONTROL!$C$28, 0, 0)</f>
        <v>320.32887469857502</v>
      </c>
    </row>
    <row r="729" spans="1:5" ht="15">
      <c r="A729" s="13">
        <v>63705</v>
      </c>
      <c r="B729" s="4">
        <f>47.7557 * CHOOSE(CONTROL!$C$9, $C$13, 100%, $E$13) + CHOOSE(CONTROL!$C$28, 0.0136, 0)</f>
        <v>47.769299999999994</v>
      </c>
      <c r="C729" s="4">
        <f>47.3924 * CHOOSE(CONTROL!$C$9, $C$13, 100%, $E$13) + CHOOSE(CONTROL!$C$28, 0.0136, 0)</f>
        <v>47.405999999999999</v>
      </c>
      <c r="D729" s="4">
        <f>66.7518 * CHOOSE(CONTROL!$C$9, $C$13, 100%, $E$13) + CHOOSE(CONTROL!$C$28, 0, 0)</f>
        <v>66.751800000000003</v>
      </c>
      <c r="E729" s="4">
        <f>327.999255327154 * CHOOSE(CONTROL!$C$9, $C$13, 100%, $E$13) + CHOOSE(CONTROL!$C$28, 0, 0)</f>
        <v>327.999255327154</v>
      </c>
    </row>
    <row r="730" spans="1:5" ht="15">
      <c r="A730" s="13">
        <v>63735</v>
      </c>
      <c r="B730" s="4">
        <f>47.9043 * CHOOSE(CONTROL!$C$9, $C$13, 100%, $E$13) + CHOOSE(CONTROL!$C$28, 0.0136, 0)</f>
        <v>47.917899999999996</v>
      </c>
      <c r="C730" s="4">
        <f>47.5411 * CHOOSE(CONTROL!$C$9, $C$13, 100%, $E$13) + CHOOSE(CONTROL!$C$28, 0.0136, 0)</f>
        <v>47.554699999999997</v>
      </c>
      <c r="D730" s="4">
        <f>67.3508 * CHOOSE(CONTROL!$C$9, $C$13, 100%, $E$13) + CHOOSE(CONTROL!$C$28, 0, 0)</f>
        <v>67.350800000000007</v>
      </c>
      <c r="E730" s="4">
        <f>329.037089658934 * CHOOSE(CONTROL!$C$9, $C$13, 100%, $E$13) + CHOOSE(CONTROL!$C$28, 0, 0)</f>
        <v>329.03708965893401</v>
      </c>
    </row>
    <row r="731" spans="1:5" ht="15">
      <c r="A731" s="13">
        <v>63766</v>
      </c>
      <c r="B731" s="4">
        <f>47.8893 * CHOOSE(CONTROL!$C$9, $C$13, 100%, $E$13) + CHOOSE(CONTROL!$C$28, 0.0136, 0)</f>
        <v>47.902899999999995</v>
      </c>
      <c r="C731" s="4">
        <f>47.5261 * CHOOSE(CONTROL!$C$9, $C$13, 100%, $E$13) + CHOOSE(CONTROL!$C$28, 0.0136, 0)</f>
        <v>47.539699999999996</v>
      </c>
      <c r="D731" s="4">
        <f>68.4315 * CHOOSE(CONTROL!$C$9, $C$13, 100%, $E$13) + CHOOSE(CONTROL!$C$28, 0, 0)</f>
        <v>68.4315</v>
      </c>
      <c r="E731" s="4">
        <f>328.932434096066 * CHOOSE(CONTROL!$C$9, $C$13, 100%, $E$13) + CHOOSE(CONTROL!$C$28, 0, 0)</f>
        <v>328.932434096066</v>
      </c>
    </row>
    <row r="732" spans="1:5" ht="15">
      <c r="A732" s="13">
        <v>63797</v>
      </c>
      <c r="B732" s="4">
        <f>49.0174 * CHOOSE(CONTROL!$C$9, $C$13, 100%, $E$13) + CHOOSE(CONTROL!$C$28, 0.0136, 0)</f>
        <v>49.030999999999999</v>
      </c>
      <c r="C732" s="4">
        <f>48.6541 * CHOOSE(CONTROL!$C$9, $C$13, 100%, $E$13) + CHOOSE(CONTROL!$C$28, 0.0136, 0)</f>
        <v>48.667699999999996</v>
      </c>
      <c r="D732" s="4">
        <f>67.7178 * CHOOSE(CONTROL!$C$9, $C$13, 100%, $E$13) + CHOOSE(CONTROL!$C$28, 0, 0)</f>
        <v>67.717799999999997</v>
      </c>
      <c r="E732" s="4">
        <f>336.807765201929 * CHOOSE(CONTROL!$C$9, $C$13, 100%, $E$13) + CHOOSE(CONTROL!$C$28, 0, 0)</f>
        <v>336.80776520192899</v>
      </c>
    </row>
    <row r="733" spans="1:5" ht="15">
      <c r="A733" s="13">
        <v>63827</v>
      </c>
      <c r="B733" s="4">
        <f>47.0948 * CHOOSE(CONTROL!$C$9, $C$13, 100%, $E$13) + CHOOSE(CONTROL!$C$28, 0.0136, 0)</f>
        <v>47.108399999999996</v>
      </c>
      <c r="C733" s="4">
        <f>46.7316 * CHOOSE(CONTROL!$C$9, $C$13, 100%, $E$13) + CHOOSE(CONTROL!$C$28, 0.0136, 0)</f>
        <v>46.745199999999997</v>
      </c>
      <c r="D733" s="4">
        <f>67.3806 * CHOOSE(CONTROL!$C$9, $C$13, 100%, $E$13) + CHOOSE(CONTROL!$C$28, 0, 0)</f>
        <v>67.380600000000001</v>
      </c>
      <c r="E733" s="4">
        <f>323.385689264029 * CHOOSE(CONTROL!$C$9, $C$13, 100%, $E$13) + CHOOSE(CONTROL!$C$28, 0, 0)</f>
        <v>323.385689264029</v>
      </c>
    </row>
    <row r="734" spans="1:5" ht="15">
      <c r="A734" s="13">
        <v>63858</v>
      </c>
      <c r="B734" s="4">
        <f>45.5558 * CHOOSE(CONTROL!$C$9, $C$13, 100%, $E$13) + CHOOSE(CONTROL!$C$28, 0.0003, 0)</f>
        <v>45.556100000000001</v>
      </c>
      <c r="C734" s="4">
        <f>45.1925 * CHOOSE(CONTROL!$C$9, $C$13, 100%, $E$13) + CHOOSE(CONTROL!$C$28, 0.0003, 0)</f>
        <v>45.192800000000005</v>
      </c>
      <c r="D734" s="4">
        <f>66.4776 * CHOOSE(CONTROL!$C$9, $C$13, 100%, $E$13) + CHOOSE(CONTROL!$C$28, 0, 0)</f>
        <v>66.477599999999995</v>
      </c>
      <c r="E734" s="4">
        <f>312.641051476184 * CHOOSE(CONTROL!$C$9, $C$13, 100%, $E$13) + CHOOSE(CONTROL!$C$28, 0, 0)</f>
        <v>312.64105147618397</v>
      </c>
    </row>
    <row r="735" spans="1:5" ht="15">
      <c r="A735" s="13">
        <v>63888</v>
      </c>
      <c r="B735" s="4">
        <f>44.5645 * CHOOSE(CONTROL!$C$9, $C$13, 100%, $E$13) + CHOOSE(CONTROL!$C$28, 0.0003, 0)</f>
        <v>44.564800000000005</v>
      </c>
      <c r="C735" s="4">
        <f>44.2012 * CHOOSE(CONTROL!$C$9, $C$13, 100%, $E$13) + CHOOSE(CONTROL!$C$28, 0.0003, 0)</f>
        <v>44.201500000000003</v>
      </c>
      <c r="D735" s="4">
        <f>66.1672 * CHOOSE(CONTROL!$C$9, $C$13, 100%, $E$13) + CHOOSE(CONTROL!$C$28, 0, 0)</f>
        <v>66.167199999999994</v>
      </c>
      <c r="E735" s="4">
        <f>305.720702381497 * CHOOSE(CONTROL!$C$9, $C$13, 100%, $E$13) + CHOOSE(CONTROL!$C$28, 0, 0)</f>
        <v>305.72070238149701</v>
      </c>
    </row>
    <row r="736" spans="1:5" ht="15">
      <c r="A736" s="13">
        <v>63919</v>
      </c>
      <c r="B736" s="4">
        <f>43.8787 * CHOOSE(CONTROL!$C$9, $C$13, 100%, $E$13) + CHOOSE(CONTROL!$C$28, 0.0003, 0)</f>
        <v>43.879000000000005</v>
      </c>
      <c r="C736" s="4">
        <f>43.5154 * CHOOSE(CONTROL!$C$9, $C$13, 100%, $E$13) + CHOOSE(CONTROL!$C$28, 0.0003, 0)</f>
        <v>43.515700000000002</v>
      </c>
      <c r="D736" s="4">
        <f>63.8819 * CHOOSE(CONTROL!$C$9, $C$13, 100%, $E$13) + CHOOSE(CONTROL!$C$28, 0, 0)</f>
        <v>63.881900000000002</v>
      </c>
      <c r="E736" s="4">
        <f>300.932710380258 * CHOOSE(CONTROL!$C$9, $C$13, 100%, $E$13) + CHOOSE(CONTROL!$C$28, 0, 0)</f>
        <v>300.93271038025802</v>
      </c>
    </row>
    <row r="737" spans="1:5" ht="15">
      <c r="A737" s="13">
        <v>63950</v>
      </c>
      <c r="B737" s="4">
        <f>42.0023 * CHOOSE(CONTROL!$C$9, $C$13, 100%, $E$13) + CHOOSE(CONTROL!$C$28, 0.0003, 0)</f>
        <v>42.002600000000001</v>
      </c>
      <c r="C737" s="4">
        <f>41.639 * CHOOSE(CONTROL!$C$9, $C$13, 100%, $E$13) + CHOOSE(CONTROL!$C$28, 0.0003, 0)</f>
        <v>41.639300000000006</v>
      </c>
      <c r="D737" s="4">
        <f>61.3644 * CHOOSE(CONTROL!$C$9, $C$13, 100%, $E$13) + CHOOSE(CONTROL!$C$28, 0, 0)</f>
        <v>61.364400000000003</v>
      </c>
      <c r="E737" s="4">
        <f>288.397640179899 * CHOOSE(CONTROL!$C$9, $C$13, 100%, $E$13) + CHOOSE(CONTROL!$C$28, 0, 0)</f>
        <v>288.39764017989899</v>
      </c>
    </row>
    <row r="738" spans="1:5" ht="15">
      <c r="A738" s="13">
        <v>63978</v>
      </c>
      <c r="B738" s="4">
        <f>42.9812 * CHOOSE(CONTROL!$C$9, $C$13, 100%, $E$13) + CHOOSE(CONTROL!$C$28, 0.0003, 0)</f>
        <v>42.981500000000004</v>
      </c>
      <c r="C738" s="4">
        <f>42.6179 * CHOOSE(CONTROL!$C$9, $C$13, 100%, $E$13) + CHOOSE(CONTROL!$C$28, 0.0003, 0)</f>
        <v>42.618200000000002</v>
      </c>
      <c r="D738" s="4">
        <f>63.4648 * CHOOSE(CONTROL!$C$9, $C$13, 100%, $E$13) + CHOOSE(CONTROL!$C$28, 0, 0)</f>
        <v>63.464799999999997</v>
      </c>
      <c r="E738" s="4">
        <f>295.245336706753 * CHOOSE(CONTROL!$C$9, $C$13, 100%, $E$13) + CHOOSE(CONTROL!$C$28, 0, 0)</f>
        <v>295.24533670675299</v>
      </c>
    </row>
    <row r="739" spans="1:5" ht="15">
      <c r="A739" s="13">
        <v>64009</v>
      </c>
      <c r="B739" s="4">
        <f>45.552 * CHOOSE(CONTROL!$C$9, $C$13, 100%, $E$13) + CHOOSE(CONTROL!$C$28, 0.0003, 0)</f>
        <v>45.552300000000002</v>
      </c>
      <c r="C739" s="4">
        <f>45.1887 * CHOOSE(CONTROL!$C$9, $C$13, 100%, $E$13) + CHOOSE(CONTROL!$C$28, 0.0003, 0)</f>
        <v>45.189</v>
      </c>
      <c r="D739" s="4">
        <f>66.7529 * CHOOSE(CONTROL!$C$9, $C$13, 100%, $E$13) + CHOOSE(CONTROL!$C$28, 0, 0)</f>
        <v>66.752899999999997</v>
      </c>
      <c r="E739" s="4">
        <f>313.227751694964 * CHOOSE(CONTROL!$C$9, $C$13, 100%, $E$13) + CHOOSE(CONTROL!$C$28, 0, 0)</f>
        <v>313.22775169496401</v>
      </c>
    </row>
    <row r="740" spans="1:5" ht="15">
      <c r="A740" s="13">
        <v>64039</v>
      </c>
      <c r="B740" s="4">
        <f>47.3785 * CHOOSE(CONTROL!$C$9, $C$13, 100%, $E$13) + CHOOSE(CONTROL!$C$28, 0.0003, 0)</f>
        <v>47.378800000000005</v>
      </c>
      <c r="C740" s="4">
        <f>47.0152 * CHOOSE(CONTROL!$C$9, $C$13, 100%, $E$13) + CHOOSE(CONTROL!$C$28, 0.0003, 0)</f>
        <v>47.015500000000003</v>
      </c>
      <c r="D740" s="4">
        <f>68.6469 * CHOOSE(CONTROL!$C$9, $C$13, 100%, $E$13) + CHOOSE(CONTROL!$C$28, 0, 0)</f>
        <v>68.646900000000002</v>
      </c>
      <c r="E740" s="4">
        <f>326.004497191278 * CHOOSE(CONTROL!$C$9, $C$13, 100%, $E$13) + CHOOSE(CONTROL!$C$28, 0, 0)</f>
        <v>326.00449719127801</v>
      </c>
    </row>
    <row r="741" spans="1:5" ht="15">
      <c r="A741" s="13">
        <v>64070</v>
      </c>
      <c r="B741" s="4">
        <f>48.4945 * CHOOSE(CONTROL!$C$9, $C$13, 100%, $E$13) + CHOOSE(CONTROL!$C$28, 0.0136, 0)</f>
        <v>48.508099999999999</v>
      </c>
      <c r="C741" s="4">
        <f>48.1312 * CHOOSE(CONTROL!$C$9, $C$13, 100%, $E$13) + CHOOSE(CONTROL!$C$28, 0.0136, 0)</f>
        <v>48.144799999999996</v>
      </c>
      <c r="D741" s="4">
        <f>67.8985 * CHOOSE(CONTROL!$C$9, $C$13, 100%, $E$13) + CHOOSE(CONTROL!$C$28, 0, 0)</f>
        <v>67.898499999999999</v>
      </c>
      <c r="E741" s="4">
        <f>333.810782473673 * CHOOSE(CONTROL!$C$9, $C$13, 100%, $E$13) + CHOOSE(CONTROL!$C$28, 0, 0)</f>
        <v>333.81078247367299</v>
      </c>
    </row>
    <row r="742" spans="1:5" ht="15">
      <c r="A742" s="13">
        <v>64100</v>
      </c>
      <c r="B742" s="4">
        <f>48.6455 * CHOOSE(CONTROL!$C$9, $C$13, 100%, $E$13) + CHOOSE(CONTROL!$C$28, 0.0136, 0)</f>
        <v>48.659099999999995</v>
      </c>
      <c r="C742" s="4">
        <f>48.2822 * CHOOSE(CONTROL!$C$9, $C$13, 100%, $E$13) + CHOOSE(CONTROL!$C$28, 0.0136, 0)</f>
        <v>48.2958</v>
      </c>
      <c r="D742" s="4">
        <f>68.508 * CHOOSE(CONTROL!$C$9, $C$13, 100%, $E$13) + CHOOSE(CONTROL!$C$28, 0, 0)</f>
        <v>68.507999999999996</v>
      </c>
      <c r="E742" s="4">
        <f>334.867005269131 * CHOOSE(CONTROL!$C$9, $C$13, 100%, $E$13) + CHOOSE(CONTROL!$C$28, 0, 0)</f>
        <v>334.86700526913103</v>
      </c>
    </row>
    <row r="743" spans="1:5" ht="15">
      <c r="A743" s="13">
        <v>64131</v>
      </c>
      <c r="B743" s="4">
        <f>48.6302 * CHOOSE(CONTROL!$C$9, $C$13, 100%, $E$13) + CHOOSE(CONTROL!$C$28, 0.0136, 0)</f>
        <v>48.643799999999999</v>
      </c>
      <c r="C743" s="4">
        <f>48.267 * CHOOSE(CONTROL!$C$9, $C$13, 100%, $E$13) + CHOOSE(CONTROL!$C$28, 0.0136, 0)</f>
        <v>48.2806</v>
      </c>
      <c r="D743" s="4">
        <f>69.6078 * CHOOSE(CONTROL!$C$9, $C$13, 100%, $E$13) + CHOOSE(CONTROL!$C$28, 0, 0)</f>
        <v>69.607799999999997</v>
      </c>
      <c r="E743" s="4">
        <f>334.760495407404 * CHOOSE(CONTROL!$C$9, $C$13, 100%, $E$13) + CHOOSE(CONTROL!$C$28, 0, 0)</f>
        <v>334.76049540740399</v>
      </c>
    </row>
    <row r="744" spans="1:5" ht="15">
      <c r="A744" s="13">
        <v>64162</v>
      </c>
      <c r="B744" s="4">
        <f>49.776 * CHOOSE(CONTROL!$C$9, $C$13, 100%, $E$13) + CHOOSE(CONTROL!$C$28, 0.0136, 0)</f>
        <v>49.7896</v>
      </c>
      <c r="C744" s="4">
        <f>49.4127 * CHOOSE(CONTROL!$C$9, $C$13, 100%, $E$13) + CHOOSE(CONTROL!$C$28, 0.0136, 0)</f>
        <v>49.426299999999998</v>
      </c>
      <c r="D744" s="4">
        <f>68.8815 * CHOOSE(CONTROL!$C$9, $C$13, 100%, $E$13) + CHOOSE(CONTROL!$C$28, 0, 0)</f>
        <v>68.881500000000003</v>
      </c>
      <c r="E744" s="4">
        <f>342.775362502347 * CHOOSE(CONTROL!$C$9, $C$13, 100%, $E$13) + CHOOSE(CONTROL!$C$28, 0, 0)</f>
        <v>342.77536250234698</v>
      </c>
    </row>
    <row r="745" spans="1:5" ht="15">
      <c r="A745" s="13">
        <v>64192</v>
      </c>
      <c r="B745" s="4">
        <f>47.8232 * CHOOSE(CONTROL!$C$9, $C$13, 100%, $E$13) + CHOOSE(CONTROL!$C$28, 0.0136, 0)</f>
        <v>47.836799999999997</v>
      </c>
      <c r="C745" s="4">
        <f>47.46 * CHOOSE(CONTROL!$C$9, $C$13, 100%, $E$13) + CHOOSE(CONTROL!$C$28, 0.0136, 0)</f>
        <v>47.473599999999998</v>
      </c>
      <c r="D745" s="4">
        <f>68.5383 * CHOOSE(CONTROL!$C$9, $C$13, 100%, $E$13) + CHOOSE(CONTROL!$C$28, 0, 0)</f>
        <v>68.538300000000007</v>
      </c>
      <c r="E745" s="4">
        <f>329.115472735882 * CHOOSE(CONTROL!$C$9, $C$13, 100%, $E$13) + CHOOSE(CONTROL!$C$28, 0, 0)</f>
        <v>329.11547273588201</v>
      </c>
    </row>
    <row r="746" spans="1:5" ht="15">
      <c r="A746" s="13">
        <v>64223</v>
      </c>
      <c r="B746" s="4">
        <f>46.26 * CHOOSE(CONTROL!$C$9, $C$13, 100%, $E$13) + CHOOSE(CONTROL!$C$28, 0.0003, 0)</f>
        <v>46.260300000000001</v>
      </c>
      <c r="C746" s="4">
        <f>45.8967 * CHOOSE(CONTROL!$C$9, $C$13, 100%, $E$13) + CHOOSE(CONTROL!$C$28, 0.0003, 0)</f>
        <v>45.897000000000006</v>
      </c>
      <c r="D746" s="4">
        <f>67.6195 * CHOOSE(CONTROL!$C$9, $C$13, 100%, $E$13) + CHOOSE(CONTROL!$C$28, 0, 0)</f>
        <v>67.619500000000002</v>
      </c>
      <c r="E746" s="4">
        <f>318.180460265262 * CHOOSE(CONTROL!$C$9, $C$13, 100%, $E$13) + CHOOSE(CONTROL!$C$28, 0, 0)</f>
        <v>318.18046026526201</v>
      </c>
    </row>
    <row r="747" spans="1:5" ht="15">
      <c r="A747" s="13">
        <v>64253</v>
      </c>
      <c r="B747" s="4">
        <f>45.2531 * CHOOSE(CONTROL!$C$9, $C$13, 100%, $E$13) + CHOOSE(CONTROL!$C$28, 0.0003, 0)</f>
        <v>45.253400000000006</v>
      </c>
      <c r="C747" s="4">
        <f>44.8898 * CHOOSE(CONTROL!$C$9, $C$13, 100%, $E$13) + CHOOSE(CONTROL!$C$28, 0.0003, 0)</f>
        <v>44.890100000000004</v>
      </c>
      <c r="D747" s="4">
        <f>67.3036 * CHOOSE(CONTROL!$C$9, $C$13, 100%, $E$13) + CHOOSE(CONTROL!$C$28, 0, 0)</f>
        <v>67.303600000000003</v>
      </c>
      <c r="E747" s="4">
        <f>311.137495658576 * CHOOSE(CONTROL!$C$9, $C$13, 100%, $E$13) + CHOOSE(CONTROL!$C$28, 0, 0)</f>
        <v>311.13749565857597</v>
      </c>
    </row>
    <row r="748" spans="1:5" ht="15">
      <c r="A748" s="13">
        <v>64284</v>
      </c>
      <c r="B748" s="4">
        <f>44.5565 * CHOOSE(CONTROL!$C$9, $C$13, 100%, $E$13) + CHOOSE(CONTROL!$C$28, 0.0003, 0)</f>
        <v>44.556800000000003</v>
      </c>
      <c r="C748" s="4">
        <f>44.1932 * CHOOSE(CONTROL!$C$9, $C$13, 100%, $E$13) + CHOOSE(CONTROL!$C$28, 0.0003, 0)</f>
        <v>44.1935</v>
      </c>
      <c r="D748" s="4">
        <f>64.9778 * CHOOSE(CONTROL!$C$9, $C$13, 100%, $E$13) + CHOOSE(CONTROL!$C$28, 0, 0)</f>
        <v>64.977800000000002</v>
      </c>
      <c r="E748" s="4">
        <f>306.264669484573 * CHOOSE(CONTROL!$C$9, $C$13, 100%, $E$13) + CHOOSE(CONTROL!$C$28, 0, 0)</f>
        <v>306.26466948457301</v>
      </c>
    </row>
    <row r="749" spans="1:5" ht="15">
      <c r="A749" s="13">
        <v>64315</v>
      </c>
      <c r="B749" s="4">
        <f>42.6506 * CHOOSE(CONTROL!$C$9, $C$13, 100%, $E$13) + CHOOSE(CONTROL!$C$28, 0.0003, 0)</f>
        <v>42.6509</v>
      </c>
      <c r="C749" s="4">
        <f>42.2873 * CHOOSE(CONTROL!$C$9, $C$13, 100%, $E$13) + CHOOSE(CONTROL!$C$28, 0.0003, 0)</f>
        <v>42.287600000000005</v>
      </c>
      <c r="D749" s="4">
        <f>62.4159 * CHOOSE(CONTROL!$C$9, $C$13, 100%, $E$13) + CHOOSE(CONTROL!$C$28, 0, 0)</f>
        <v>62.415900000000001</v>
      </c>
      <c r="E749" s="4">
        <f>293.507501521583 * CHOOSE(CONTROL!$C$9, $C$13, 100%, $E$13) + CHOOSE(CONTROL!$C$28, 0, 0)</f>
        <v>293.50750152158298</v>
      </c>
    </row>
    <row r="750" spans="1:5" ht="15">
      <c r="A750" s="13">
        <v>64344</v>
      </c>
      <c r="B750" s="4">
        <f>43.6449 * CHOOSE(CONTROL!$C$9, $C$13, 100%, $E$13) + CHOOSE(CONTROL!$C$28, 0.0003, 0)</f>
        <v>43.645200000000003</v>
      </c>
      <c r="C750" s="4">
        <f>43.2816 * CHOOSE(CONTROL!$C$9, $C$13, 100%, $E$13) + CHOOSE(CONTROL!$C$28, 0.0003, 0)</f>
        <v>43.2819</v>
      </c>
      <c r="D750" s="4">
        <f>64.5534 * CHOOSE(CONTROL!$C$9, $C$13, 100%, $E$13) + CHOOSE(CONTROL!$C$28, 0, 0)</f>
        <v>64.553399999999996</v>
      </c>
      <c r="E750" s="4">
        <f>300.476526294189 * CHOOSE(CONTROL!$C$9, $C$13, 100%, $E$13) + CHOOSE(CONTROL!$C$28, 0, 0)</f>
        <v>300.476526294189</v>
      </c>
    </row>
    <row r="751" spans="1:5" ht="15">
      <c r="A751" s="13">
        <v>64375</v>
      </c>
      <c r="B751" s="4">
        <f>46.2561 * CHOOSE(CONTROL!$C$9, $C$13, 100%, $E$13) + CHOOSE(CONTROL!$C$28, 0.0003, 0)</f>
        <v>46.256400000000006</v>
      </c>
      <c r="C751" s="4">
        <f>45.8928 * CHOOSE(CONTROL!$C$9, $C$13, 100%, $E$13) + CHOOSE(CONTROL!$C$28, 0.0003, 0)</f>
        <v>45.893100000000004</v>
      </c>
      <c r="D751" s="4">
        <f>67.8996 * CHOOSE(CONTROL!$C$9, $C$13, 100%, $E$13) + CHOOSE(CONTROL!$C$28, 0, 0)</f>
        <v>67.899600000000007</v>
      </c>
      <c r="E751" s="4">
        <f>318.777555703522 * CHOOSE(CONTROL!$C$9, $C$13, 100%, $E$13) + CHOOSE(CONTROL!$C$28, 0, 0)</f>
        <v>318.77755570352201</v>
      </c>
    </row>
    <row r="752" spans="1:5" ht="15">
      <c r="A752" s="13">
        <v>64405</v>
      </c>
      <c r="B752" s="4">
        <f>48.1114 * CHOOSE(CONTROL!$C$9, $C$13, 100%, $E$13) + CHOOSE(CONTROL!$C$28, 0.0003, 0)</f>
        <v>48.111700000000006</v>
      </c>
      <c r="C752" s="4">
        <f>47.7481 * CHOOSE(CONTROL!$C$9, $C$13, 100%, $E$13) + CHOOSE(CONTROL!$C$28, 0.0003, 0)</f>
        <v>47.748400000000004</v>
      </c>
      <c r="D752" s="4">
        <f>69.8271 * CHOOSE(CONTROL!$C$9, $C$13, 100%, $E$13) + CHOOSE(CONTROL!$C$28, 0, 0)</f>
        <v>69.827100000000002</v>
      </c>
      <c r="E752" s="4">
        <f>331.780680992137 * CHOOSE(CONTROL!$C$9, $C$13, 100%, $E$13) + CHOOSE(CONTROL!$C$28, 0, 0)</f>
        <v>331.78068099213698</v>
      </c>
    </row>
    <row r="753" spans="1:5" ht="15">
      <c r="A753" s="13">
        <v>64436</v>
      </c>
      <c r="B753" s="4">
        <f>49.2449 * CHOOSE(CONTROL!$C$9, $C$13, 100%, $E$13) + CHOOSE(CONTROL!$C$28, 0.0136, 0)</f>
        <v>49.258499999999998</v>
      </c>
      <c r="C753" s="4">
        <f>48.8816 * CHOOSE(CONTROL!$C$9, $C$13, 100%, $E$13) + CHOOSE(CONTROL!$C$28, 0.0136, 0)</f>
        <v>48.895199999999996</v>
      </c>
      <c r="D753" s="4">
        <f>69.0654 * CHOOSE(CONTROL!$C$9, $C$13, 100%, $E$13) + CHOOSE(CONTROL!$C$28, 0, 0)</f>
        <v>69.065399999999997</v>
      </c>
      <c r="E753" s="4">
        <f>339.725278902061 * CHOOSE(CONTROL!$C$9, $C$13, 100%, $E$13) + CHOOSE(CONTROL!$C$28, 0, 0)</f>
        <v>339.72527890206101</v>
      </c>
    </row>
    <row r="754" spans="1:5" ht="15">
      <c r="A754" s="13">
        <v>64466</v>
      </c>
      <c r="B754" s="4">
        <f>49.3982 * CHOOSE(CONTROL!$C$9, $C$13, 100%, $E$13) + CHOOSE(CONTROL!$C$28, 0.0136, 0)</f>
        <v>49.411799999999999</v>
      </c>
      <c r="C754" s="4">
        <f>49.035 * CHOOSE(CONTROL!$C$9, $C$13, 100%, $E$13) + CHOOSE(CONTROL!$C$28, 0.0136, 0)</f>
        <v>49.048599999999993</v>
      </c>
      <c r="D754" s="4">
        <f>69.6857 * CHOOSE(CONTROL!$C$9, $C$13, 100%, $E$13) + CHOOSE(CONTROL!$C$28, 0, 0)</f>
        <v>69.685699999999997</v>
      </c>
      <c r="E754" s="4">
        <f>340.800215970033 * CHOOSE(CONTROL!$C$9, $C$13, 100%, $E$13) + CHOOSE(CONTROL!$C$28, 0, 0)</f>
        <v>340.80021597003298</v>
      </c>
    </row>
    <row r="755" spans="1:5" ht="15">
      <c r="A755" s="13">
        <v>64497</v>
      </c>
      <c r="B755" s="4">
        <f>49.3828 * CHOOSE(CONTROL!$C$9, $C$13, 100%, $E$13) + CHOOSE(CONTROL!$C$28, 0.0136, 0)</f>
        <v>49.3964</v>
      </c>
      <c r="C755" s="4">
        <f>49.0195 * CHOOSE(CONTROL!$C$9, $C$13, 100%, $E$13) + CHOOSE(CONTROL!$C$28, 0.0136, 0)</f>
        <v>49.033099999999997</v>
      </c>
      <c r="D755" s="4">
        <f>70.805 * CHOOSE(CONTROL!$C$9, $C$13, 100%, $E$13) + CHOOSE(CONTROL!$C$28, 0, 0)</f>
        <v>70.805000000000007</v>
      </c>
      <c r="E755" s="4">
        <f>340.691818954775 * CHOOSE(CONTROL!$C$9, $C$13, 100%, $E$13) + CHOOSE(CONTROL!$C$28, 0, 0)</f>
        <v>340.69181895477499</v>
      </c>
    </row>
    <row r="756" spans="1:5" ht="15">
      <c r="A756" s="13">
        <v>64528</v>
      </c>
      <c r="B756" s="4">
        <f>50.5466 * CHOOSE(CONTROL!$C$9, $C$13, 100%, $E$13) + CHOOSE(CONTROL!$C$28, 0.0136, 0)</f>
        <v>50.560199999999995</v>
      </c>
      <c r="C756" s="4">
        <f>50.1833 * CHOOSE(CONTROL!$C$9, $C$13, 100%, $E$13) + CHOOSE(CONTROL!$C$28, 0.0136, 0)</f>
        <v>50.196899999999999</v>
      </c>
      <c r="D756" s="4">
        <f>70.0658 * CHOOSE(CONTROL!$C$9, $C$13, 100%, $E$13) + CHOOSE(CONTROL!$C$28, 0, 0)</f>
        <v>70.065799999999996</v>
      </c>
      <c r="E756" s="4">
        <f>348.848694352913 * CHOOSE(CONTROL!$C$9, $C$13, 100%, $E$13) + CHOOSE(CONTROL!$C$28, 0, 0)</f>
        <v>348.84869435291301</v>
      </c>
    </row>
    <row r="757" spans="1:5" ht="15">
      <c r="A757" s="13">
        <v>64558</v>
      </c>
      <c r="B757" s="4">
        <f>48.5631 * CHOOSE(CONTROL!$C$9, $C$13, 100%, $E$13) + CHOOSE(CONTROL!$C$28, 0.0136, 0)</f>
        <v>48.576699999999995</v>
      </c>
      <c r="C757" s="4">
        <f>48.1998 * CHOOSE(CONTROL!$C$9, $C$13, 100%, $E$13) + CHOOSE(CONTROL!$C$28, 0.0136, 0)</f>
        <v>48.2134</v>
      </c>
      <c r="D757" s="4">
        <f>69.7166 * CHOOSE(CONTROL!$C$9, $C$13, 100%, $E$13) + CHOOSE(CONTROL!$C$28, 0, 0)</f>
        <v>69.7166</v>
      </c>
      <c r="E757" s="4">
        <f>334.94677714612 * CHOOSE(CONTROL!$C$9, $C$13, 100%, $E$13) + CHOOSE(CONTROL!$C$28, 0, 0)</f>
        <v>334.94677714611998</v>
      </c>
    </row>
    <row r="758" spans="1:5" ht="15">
      <c r="A758" s="13">
        <v>64589</v>
      </c>
      <c r="B758" s="4">
        <f>46.9753 * CHOOSE(CONTROL!$C$9, $C$13, 100%, $E$13) + CHOOSE(CONTROL!$C$28, 0.0003, 0)</f>
        <v>46.9756</v>
      </c>
      <c r="C758" s="4">
        <f>46.612 * CHOOSE(CONTROL!$C$9, $C$13, 100%, $E$13) + CHOOSE(CONTROL!$C$28, 0.0003, 0)</f>
        <v>46.612300000000005</v>
      </c>
      <c r="D758" s="4">
        <f>68.7815 * CHOOSE(CONTROL!$C$9, $C$13, 100%, $E$13) + CHOOSE(CONTROL!$C$28, 0, 0)</f>
        <v>68.781499999999994</v>
      </c>
      <c r="E758" s="4">
        <f>323.818016913002 * CHOOSE(CONTROL!$C$9, $C$13, 100%, $E$13) + CHOOSE(CONTROL!$C$28, 0, 0)</f>
        <v>323.818016913002</v>
      </c>
    </row>
    <row r="759" spans="1:5" ht="15">
      <c r="A759" s="13">
        <v>64619</v>
      </c>
      <c r="B759" s="4">
        <f>45.9526 * CHOOSE(CONTROL!$C$9, $C$13, 100%, $E$13) + CHOOSE(CONTROL!$C$28, 0.0003, 0)</f>
        <v>45.9529</v>
      </c>
      <c r="C759" s="4">
        <f>45.5893 * CHOOSE(CONTROL!$C$9, $C$13, 100%, $E$13) + CHOOSE(CONTROL!$C$28, 0.0003, 0)</f>
        <v>45.589600000000004</v>
      </c>
      <c r="D759" s="4">
        <f>68.46 * CHOOSE(CONTROL!$C$9, $C$13, 100%, $E$13) + CHOOSE(CONTROL!$C$28, 0, 0)</f>
        <v>68.459999999999994</v>
      </c>
      <c r="E759" s="4">
        <f>316.65026427909 * CHOOSE(CONTROL!$C$9, $C$13, 100%, $E$13) + CHOOSE(CONTROL!$C$28, 0, 0)</f>
        <v>316.65026427908998</v>
      </c>
    </row>
    <row r="760" spans="1:5" ht="15">
      <c r="A760" s="13">
        <v>64650</v>
      </c>
      <c r="B760" s="4">
        <f>45.245 * CHOOSE(CONTROL!$C$9, $C$13, 100%, $E$13) + CHOOSE(CONTROL!$C$28, 0.0003, 0)</f>
        <v>45.2453</v>
      </c>
      <c r="C760" s="4">
        <f>44.8817 * CHOOSE(CONTROL!$C$9, $C$13, 100%, $E$13) + CHOOSE(CONTROL!$C$28, 0.0003, 0)</f>
        <v>44.882000000000005</v>
      </c>
      <c r="D760" s="4">
        <f>66.0932 * CHOOSE(CONTROL!$C$9, $C$13, 100%, $E$13) + CHOOSE(CONTROL!$C$28, 0, 0)</f>
        <v>66.093199999999996</v>
      </c>
      <c r="E760" s="4">
        <f>311.691100831053 * CHOOSE(CONTROL!$C$9, $C$13, 100%, $E$13) + CHOOSE(CONTROL!$C$28, 0, 0)</f>
        <v>311.69110083105301</v>
      </c>
    </row>
    <row r="761" spans="1:5" ht="15">
      <c r="A761" s="13">
        <v>64681</v>
      </c>
      <c r="B761" s="4">
        <f>43.3091 * CHOOSE(CONTROL!$C$9, $C$13, 100%, $E$13) + CHOOSE(CONTROL!$C$28, 0.0003, 0)</f>
        <v>43.309400000000004</v>
      </c>
      <c r="C761" s="4">
        <f>42.9458 * CHOOSE(CONTROL!$C$9, $C$13, 100%, $E$13) + CHOOSE(CONTROL!$C$28, 0.0003, 0)</f>
        <v>42.946100000000001</v>
      </c>
      <c r="D761" s="4">
        <f>63.4859 * CHOOSE(CONTROL!$C$9, $C$13, 100%, $E$13) + CHOOSE(CONTROL!$C$28, 0, 0)</f>
        <v>63.485900000000001</v>
      </c>
      <c r="E761" s="4">
        <f>298.707899952666 * CHOOSE(CONTROL!$C$9, $C$13, 100%, $E$13) + CHOOSE(CONTROL!$C$28, 0, 0)</f>
        <v>298.70789995266603</v>
      </c>
    </row>
    <row r="762" spans="1:5" ht="15">
      <c r="A762" s="13">
        <v>64709</v>
      </c>
      <c r="B762" s="4">
        <f>44.3191 * CHOOSE(CONTROL!$C$9, $C$13, 100%, $E$13) + CHOOSE(CONTROL!$C$28, 0.0003, 0)</f>
        <v>44.319400000000002</v>
      </c>
      <c r="C762" s="4">
        <f>43.9558 * CHOOSE(CONTROL!$C$9, $C$13, 100%, $E$13) + CHOOSE(CONTROL!$C$28, 0.0003, 0)</f>
        <v>43.956100000000006</v>
      </c>
      <c r="D762" s="4">
        <f>65.6612 * CHOOSE(CONTROL!$C$9, $C$13, 100%, $E$13) + CHOOSE(CONTROL!$C$28, 0, 0)</f>
        <v>65.661199999999994</v>
      </c>
      <c r="E762" s="4">
        <f>305.800402678325 * CHOOSE(CONTROL!$C$9, $C$13, 100%, $E$13) + CHOOSE(CONTROL!$C$28, 0, 0)</f>
        <v>305.80040267832499</v>
      </c>
    </row>
    <row r="763" spans="1:5" ht="15">
      <c r="A763" s="13">
        <v>64740</v>
      </c>
      <c r="B763" s="4">
        <f>46.9713 * CHOOSE(CONTROL!$C$9, $C$13, 100%, $E$13) + CHOOSE(CONTROL!$C$28, 0.0003, 0)</f>
        <v>46.971600000000002</v>
      </c>
      <c r="C763" s="4">
        <f>46.608 * CHOOSE(CONTROL!$C$9, $C$13, 100%, $E$13) + CHOOSE(CONTROL!$C$28, 0.0003, 0)</f>
        <v>46.6083</v>
      </c>
      <c r="D763" s="4">
        <f>69.0665 * CHOOSE(CONTROL!$C$9, $C$13, 100%, $E$13) + CHOOSE(CONTROL!$C$28, 0, 0)</f>
        <v>69.066500000000005</v>
      </c>
      <c r="E763" s="4">
        <f>324.425691754392 * CHOOSE(CONTROL!$C$9, $C$13, 100%, $E$13) + CHOOSE(CONTROL!$C$28, 0, 0)</f>
        <v>324.42569175439201</v>
      </c>
    </row>
    <row r="764" spans="1:5" ht="15">
      <c r="A764" s="13">
        <v>64770</v>
      </c>
      <c r="B764" s="4">
        <f>48.8557 * CHOOSE(CONTROL!$C$9, $C$13, 100%, $E$13) + CHOOSE(CONTROL!$C$28, 0.0003, 0)</f>
        <v>48.856000000000002</v>
      </c>
      <c r="C764" s="4">
        <f>48.4925 * CHOOSE(CONTROL!$C$9, $C$13, 100%, $E$13) + CHOOSE(CONTROL!$C$28, 0.0003, 0)</f>
        <v>48.492800000000003</v>
      </c>
      <c r="D764" s="4">
        <f>71.0281 * CHOOSE(CONTROL!$C$9, $C$13, 100%, $E$13) + CHOOSE(CONTROL!$C$28, 0, 0)</f>
        <v>71.028099999999995</v>
      </c>
      <c r="E764" s="4">
        <f>337.65920785755 * CHOOSE(CONTROL!$C$9, $C$13, 100%, $E$13) + CHOOSE(CONTROL!$C$28, 0, 0)</f>
        <v>337.65920785754997</v>
      </c>
    </row>
    <row r="765" spans="1:5" ht="15">
      <c r="A765" s="13">
        <v>64801</v>
      </c>
      <c r="B765" s="4">
        <f>50.0071 * CHOOSE(CONTROL!$C$9, $C$13, 100%, $E$13) + CHOOSE(CONTROL!$C$28, 0.0136, 0)</f>
        <v>50.020699999999998</v>
      </c>
      <c r="C765" s="4">
        <f>49.6438 * CHOOSE(CONTROL!$C$9, $C$13, 100%, $E$13) + CHOOSE(CONTROL!$C$28, 0.0136, 0)</f>
        <v>49.657399999999996</v>
      </c>
      <c r="D765" s="4">
        <f>70.253 * CHOOSE(CONTROL!$C$9, $C$13, 100%, $E$13) + CHOOSE(CONTROL!$C$28, 0, 0)</f>
        <v>70.253</v>
      </c>
      <c r="E765" s="4">
        <f>345.744569033464 * CHOOSE(CONTROL!$C$9, $C$13, 100%, $E$13) + CHOOSE(CONTROL!$C$28, 0, 0)</f>
        <v>345.74456903346402</v>
      </c>
    </row>
    <row r="766" spans="1:5" ht="15">
      <c r="A766" s="13">
        <v>64831</v>
      </c>
      <c r="B766" s="4">
        <f>50.1629 * CHOOSE(CONTROL!$C$9, $C$13, 100%, $E$13) + CHOOSE(CONTROL!$C$28, 0.0136, 0)</f>
        <v>50.176499999999997</v>
      </c>
      <c r="C766" s="4">
        <f>49.7996 * CHOOSE(CONTROL!$C$9, $C$13, 100%, $E$13) + CHOOSE(CONTROL!$C$28, 0.0136, 0)</f>
        <v>49.813199999999995</v>
      </c>
      <c r="D766" s="4">
        <f>70.8842 * CHOOSE(CONTROL!$C$9, $C$13, 100%, $E$13) + CHOOSE(CONTROL!$C$28, 0, 0)</f>
        <v>70.884200000000007</v>
      </c>
      <c r="E766" s="4">
        <f>346.838551955503 * CHOOSE(CONTROL!$C$9, $C$13, 100%, $E$13) + CHOOSE(CONTROL!$C$28, 0, 0)</f>
        <v>346.83855195550302</v>
      </c>
    </row>
    <row r="767" spans="1:5" ht="15">
      <c r="A767" s="13">
        <v>64862</v>
      </c>
      <c r="B767" s="4">
        <f>50.1472 * CHOOSE(CONTROL!$C$9, $C$13, 100%, $E$13) + CHOOSE(CONTROL!$C$28, 0.0136, 0)</f>
        <v>50.160799999999995</v>
      </c>
      <c r="C767" s="4">
        <f>49.7839 * CHOOSE(CONTROL!$C$9, $C$13, 100%, $E$13) + CHOOSE(CONTROL!$C$28, 0.0136, 0)</f>
        <v>49.797499999999999</v>
      </c>
      <c r="D767" s="4">
        <f>72.0233 * CHOOSE(CONTROL!$C$9, $C$13, 100%, $E$13) + CHOOSE(CONTROL!$C$28, 0, 0)</f>
        <v>72.023300000000006</v>
      </c>
      <c r="E767" s="4">
        <f>346.728234349919 * CHOOSE(CONTROL!$C$9, $C$13, 100%, $E$13) + CHOOSE(CONTROL!$C$28, 0, 0)</f>
        <v>346.72823434991898</v>
      </c>
    </row>
    <row r="768" spans="1:5" ht="15">
      <c r="A768" s="13">
        <v>64893</v>
      </c>
      <c r="B768" s="4">
        <f>51.3293 * CHOOSE(CONTROL!$C$9, $C$13, 100%, $E$13) + CHOOSE(CONTROL!$C$28, 0.0136, 0)</f>
        <v>51.3429</v>
      </c>
      <c r="C768" s="4">
        <f>50.966 * CHOOSE(CONTROL!$C$9, $C$13, 100%, $E$13) + CHOOSE(CONTROL!$C$28, 0.0136, 0)</f>
        <v>50.979599999999998</v>
      </c>
      <c r="D768" s="4">
        <f>71.271 * CHOOSE(CONTROL!$C$9, $C$13, 100%, $E$13) + CHOOSE(CONTROL!$C$28, 0, 0)</f>
        <v>71.271000000000001</v>
      </c>
      <c r="E768" s="4">
        <f>355.029634170101 * CHOOSE(CONTROL!$C$9, $C$13, 100%, $E$13) + CHOOSE(CONTROL!$C$28, 0, 0)</f>
        <v>355.02963417010102</v>
      </c>
    </row>
    <row r="769" spans="1:5" ht="15">
      <c r="A769" s="13">
        <v>64923</v>
      </c>
      <c r="B769" s="4">
        <f>49.3146 * CHOOSE(CONTROL!$C$9, $C$13, 100%, $E$13) + CHOOSE(CONTROL!$C$28, 0.0136, 0)</f>
        <v>49.328199999999995</v>
      </c>
      <c r="C769" s="4">
        <f>48.9513 * CHOOSE(CONTROL!$C$9, $C$13, 100%, $E$13) + CHOOSE(CONTROL!$C$28, 0.0136, 0)</f>
        <v>48.9649</v>
      </c>
      <c r="D769" s="4">
        <f>70.9156 * CHOOSE(CONTROL!$C$9, $C$13, 100%, $E$13) + CHOOSE(CONTROL!$C$28, 0, 0)</f>
        <v>70.915599999999998</v>
      </c>
      <c r="E769" s="4">
        <f>340.881401253978 * CHOOSE(CONTROL!$C$9, $C$13, 100%, $E$13) + CHOOSE(CONTROL!$C$28, 0, 0)</f>
        <v>340.88140125397803</v>
      </c>
    </row>
    <row r="770" spans="1:5" ht="15">
      <c r="A770" s="13">
        <v>64954</v>
      </c>
      <c r="B770" s="4">
        <f>47.7018 * CHOOSE(CONTROL!$C$9, $C$13, 100%, $E$13) + CHOOSE(CONTROL!$C$28, 0.0003, 0)</f>
        <v>47.702100000000002</v>
      </c>
      <c r="C770" s="4">
        <f>47.3385 * CHOOSE(CONTROL!$C$9, $C$13, 100%, $E$13) + CHOOSE(CONTROL!$C$28, 0.0003, 0)</f>
        <v>47.338800000000006</v>
      </c>
      <c r="D770" s="4">
        <f>69.964 * CHOOSE(CONTROL!$C$9, $C$13, 100%, $E$13) + CHOOSE(CONTROL!$C$28, 0, 0)</f>
        <v>69.963999999999999</v>
      </c>
      <c r="E770" s="4">
        <f>329.555460414039 * CHOOSE(CONTROL!$C$9, $C$13, 100%, $E$13) + CHOOSE(CONTROL!$C$28, 0, 0)</f>
        <v>329.55546041403898</v>
      </c>
    </row>
    <row r="771" spans="1:5" ht="15">
      <c r="A771" s="13">
        <v>64984</v>
      </c>
      <c r="B771" s="4">
        <f>46.663 * CHOOSE(CONTROL!$C$9, $C$13, 100%, $E$13) + CHOOSE(CONTROL!$C$28, 0.0003, 0)</f>
        <v>46.6633</v>
      </c>
      <c r="C771" s="4">
        <f>46.2997 * CHOOSE(CONTROL!$C$9, $C$13, 100%, $E$13) + CHOOSE(CONTROL!$C$28, 0.0003, 0)</f>
        <v>46.300000000000004</v>
      </c>
      <c r="D771" s="4">
        <f>69.6368 * CHOOSE(CONTROL!$C$9, $C$13, 100%, $E$13) + CHOOSE(CONTROL!$C$28, 0, 0)</f>
        <v>69.636799999999994</v>
      </c>
      <c r="E771" s="4">
        <f>322.26070874481 * CHOOSE(CONTROL!$C$9, $C$13, 100%, $E$13) + CHOOSE(CONTROL!$C$28, 0, 0)</f>
        <v>322.26070874481002</v>
      </c>
    </row>
    <row r="772" spans="1:5" ht="15">
      <c r="A772" s="13">
        <v>65015</v>
      </c>
      <c r="B772" s="4">
        <f>45.9443 * CHOOSE(CONTROL!$C$9, $C$13, 100%, $E$13) + CHOOSE(CONTROL!$C$28, 0.0003, 0)</f>
        <v>45.944600000000001</v>
      </c>
      <c r="C772" s="4">
        <f>45.581 * CHOOSE(CONTROL!$C$9, $C$13, 100%, $E$13) + CHOOSE(CONTROL!$C$28, 0.0003, 0)</f>
        <v>45.581300000000006</v>
      </c>
      <c r="D772" s="4">
        <f>67.2282 * CHOOSE(CONTROL!$C$9, $C$13, 100%, $E$13) + CHOOSE(CONTROL!$C$28, 0, 0)</f>
        <v>67.228200000000001</v>
      </c>
      <c r="E772" s="4">
        <f>317.213678289351 * CHOOSE(CONTROL!$C$9, $C$13, 100%, $E$13) + CHOOSE(CONTROL!$C$28, 0, 0)</f>
        <v>317.21367828935098</v>
      </c>
    </row>
    <row r="773" spans="1:5" ht="15">
      <c r="A773" s="13">
        <v>65046</v>
      </c>
      <c r="B773" s="4">
        <f>43.978 * CHOOSE(CONTROL!$C$9, $C$13, 100%, $E$13) + CHOOSE(CONTROL!$C$28, 0.0003, 0)</f>
        <v>43.978300000000004</v>
      </c>
      <c r="C773" s="4">
        <f>43.6147 * CHOOSE(CONTROL!$C$9, $C$13, 100%, $E$13) + CHOOSE(CONTROL!$C$28, 0.0003, 0)</f>
        <v>43.615000000000002</v>
      </c>
      <c r="D773" s="4">
        <f>64.5749 * CHOOSE(CONTROL!$C$9, $C$13, 100%, $E$13) + CHOOSE(CONTROL!$C$28, 0, 0)</f>
        <v>64.5749</v>
      </c>
      <c r="E773" s="4">
        <f>304.000439619328 * CHOOSE(CONTROL!$C$9, $C$13, 100%, $E$13) + CHOOSE(CONTROL!$C$28, 0, 0)</f>
        <v>304.00043961932801</v>
      </c>
    </row>
    <row r="774" spans="1:5" ht="15">
      <c r="A774" s="13">
        <v>65074</v>
      </c>
      <c r="B774" s="4">
        <f>45.0038 * CHOOSE(CONTROL!$C$9, $C$13, 100%, $E$13) + CHOOSE(CONTROL!$C$28, 0.0003, 0)</f>
        <v>45.004100000000001</v>
      </c>
      <c r="C774" s="4">
        <f>44.6406 * CHOOSE(CONTROL!$C$9, $C$13, 100%, $E$13) + CHOOSE(CONTROL!$C$28, 0.0003, 0)</f>
        <v>44.640900000000002</v>
      </c>
      <c r="D774" s="4">
        <f>66.7886 * CHOOSE(CONTROL!$C$9, $C$13, 100%, $E$13) + CHOOSE(CONTROL!$C$28, 0, 0)</f>
        <v>66.788600000000002</v>
      </c>
      <c r="E774" s="4">
        <f>311.218608094094 * CHOOSE(CONTROL!$C$9, $C$13, 100%, $E$13) + CHOOSE(CONTROL!$C$28, 0, 0)</f>
        <v>311.21860809409401</v>
      </c>
    </row>
    <row r="775" spans="1:5" ht="15">
      <c r="A775" s="13">
        <v>65105</v>
      </c>
      <c r="B775" s="4">
        <f>47.6978 * CHOOSE(CONTROL!$C$9, $C$13, 100%, $E$13) + CHOOSE(CONTROL!$C$28, 0.0003, 0)</f>
        <v>47.698100000000004</v>
      </c>
      <c r="C775" s="4">
        <f>47.3345 * CHOOSE(CONTROL!$C$9, $C$13, 100%, $E$13) + CHOOSE(CONTROL!$C$28, 0.0003, 0)</f>
        <v>47.334800000000001</v>
      </c>
      <c r="D775" s="4">
        <f>70.2541 * CHOOSE(CONTROL!$C$9, $C$13, 100%, $E$13) + CHOOSE(CONTROL!$C$28, 0, 0)</f>
        <v>70.254099999999994</v>
      </c>
      <c r="E775" s="4">
        <f>330.173902105597 * CHOOSE(CONTROL!$C$9, $C$13, 100%, $E$13) + CHOOSE(CONTROL!$C$28, 0, 0)</f>
        <v>330.17390210559699</v>
      </c>
    </row>
    <row r="776" spans="1:5" ht="15">
      <c r="A776" s="13">
        <v>65135</v>
      </c>
      <c r="B776" s="4">
        <f>49.6118 * CHOOSE(CONTROL!$C$9, $C$13, 100%, $E$13) + CHOOSE(CONTROL!$C$28, 0.0003, 0)</f>
        <v>49.612100000000005</v>
      </c>
      <c r="C776" s="4">
        <f>49.2485 * CHOOSE(CONTROL!$C$9, $C$13, 100%, $E$13) + CHOOSE(CONTROL!$C$28, 0.0003, 0)</f>
        <v>49.248800000000003</v>
      </c>
      <c r="D776" s="4">
        <f>72.2503 * CHOOSE(CONTROL!$C$9, $C$13, 100%, $E$13) + CHOOSE(CONTROL!$C$28, 0, 0)</f>
        <v>72.250299999999996</v>
      </c>
      <c r="E776" s="4">
        <f>343.641891113276 * CHOOSE(CONTROL!$C$9, $C$13, 100%, $E$13) + CHOOSE(CONTROL!$C$28, 0, 0)</f>
        <v>343.64189111327602</v>
      </c>
    </row>
    <row r="777" spans="1:5" ht="15">
      <c r="A777" s="13">
        <v>65166</v>
      </c>
      <c r="B777" s="4">
        <f>50.7813 * CHOOSE(CONTROL!$C$9, $C$13, 100%, $E$13) + CHOOSE(CONTROL!$C$28, 0.0136, 0)</f>
        <v>50.794899999999998</v>
      </c>
      <c r="C777" s="4">
        <f>50.418 * CHOOSE(CONTROL!$C$9, $C$13, 100%, $E$13) + CHOOSE(CONTROL!$C$28, 0.0136, 0)</f>
        <v>50.431599999999996</v>
      </c>
      <c r="D777" s="4">
        <f>71.4615 * CHOOSE(CONTROL!$C$9, $C$13, 100%, $E$13) + CHOOSE(CONTROL!$C$28, 0, 0)</f>
        <v>71.461500000000001</v>
      </c>
      <c r="E777" s="4">
        <f>351.870509614321 * CHOOSE(CONTROL!$C$9, $C$13, 100%, $E$13) + CHOOSE(CONTROL!$C$28, 0, 0)</f>
        <v>351.87050961432101</v>
      </c>
    </row>
    <row r="778" spans="1:5" ht="15">
      <c r="A778" s="13">
        <v>65196</v>
      </c>
      <c r="B778" s="4">
        <f>50.9395 * CHOOSE(CONTROL!$C$9, $C$13, 100%, $E$13) + CHOOSE(CONTROL!$C$28, 0.0136, 0)</f>
        <v>50.953099999999999</v>
      </c>
      <c r="C778" s="4">
        <f>50.5762 * CHOOSE(CONTROL!$C$9, $C$13, 100%, $E$13) + CHOOSE(CONTROL!$C$28, 0.0136, 0)</f>
        <v>50.589799999999997</v>
      </c>
      <c r="D778" s="4">
        <f>72.1039 * CHOOSE(CONTROL!$C$9, $C$13, 100%, $E$13) + CHOOSE(CONTROL!$C$28, 0, 0)</f>
        <v>72.103899999999996</v>
      </c>
      <c r="E778" s="4">
        <f>352.983875846981 * CHOOSE(CONTROL!$C$9, $C$13, 100%, $E$13) + CHOOSE(CONTROL!$C$28, 0, 0)</f>
        <v>352.98387584698099</v>
      </c>
    </row>
    <row r="779" spans="1:5" ht="15">
      <c r="A779" s="13">
        <v>65227</v>
      </c>
      <c r="B779" s="4">
        <f>50.9236 * CHOOSE(CONTROL!$C$9, $C$13, 100%, $E$13) + CHOOSE(CONTROL!$C$28, 0.0136, 0)</f>
        <v>50.937199999999997</v>
      </c>
      <c r="C779" s="4">
        <f>50.5603 * CHOOSE(CONTROL!$C$9, $C$13, 100%, $E$13) + CHOOSE(CONTROL!$C$28, 0.0136, 0)</f>
        <v>50.573899999999995</v>
      </c>
      <c r="D779" s="4">
        <f>73.2631 * CHOOSE(CONTROL!$C$9, $C$13, 100%, $E$13) + CHOOSE(CONTROL!$C$28, 0, 0)</f>
        <v>73.263099999999994</v>
      </c>
      <c r="E779" s="4">
        <f>352.871603621839 * CHOOSE(CONTROL!$C$9, $C$13, 100%, $E$13) + CHOOSE(CONTROL!$C$28, 0, 0)</f>
        <v>352.87160362183897</v>
      </c>
    </row>
    <row r="780" spans="1:5" ht="15">
      <c r="A780" s="13">
        <v>65258</v>
      </c>
      <c r="B780" s="4">
        <f>52.1243 * CHOOSE(CONTROL!$C$9, $C$13, 100%, $E$13) + CHOOSE(CONTROL!$C$28, 0.0136, 0)</f>
        <v>52.137899999999995</v>
      </c>
      <c r="C780" s="4">
        <f>51.761 * CHOOSE(CONTROL!$C$9, $C$13, 100%, $E$13) + CHOOSE(CONTROL!$C$28, 0.0136, 0)</f>
        <v>51.7746</v>
      </c>
      <c r="D780" s="4">
        <f>72.4976 * CHOOSE(CONTROL!$C$9, $C$13, 100%, $E$13) + CHOOSE(CONTROL!$C$28, 0, 0)</f>
        <v>72.497600000000006</v>
      </c>
      <c r="E780" s="4">
        <f>361.320088563787 * CHOOSE(CONTROL!$C$9, $C$13, 100%, $E$13) + CHOOSE(CONTROL!$C$28, 0, 0)</f>
        <v>361.32008856378701</v>
      </c>
    </row>
    <row r="781" spans="1:5" ht="15">
      <c r="A781" s="13">
        <v>65288</v>
      </c>
      <c r="B781" s="4">
        <f>50.0779 * CHOOSE(CONTROL!$C$9, $C$13, 100%, $E$13) + CHOOSE(CONTROL!$C$28, 0.0136, 0)</f>
        <v>50.091499999999996</v>
      </c>
      <c r="C781" s="4">
        <f>49.7146 * CHOOSE(CONTROL!$C$9, $C$13, 100%, $E$13) + CHOOSE(CONTROL!$C$28, 0.0136, 0)</f>
        <v>49.728199999999994</v>
      </c>
      <c r="D781" s="4">
        <f>72.1359 * CHOOSE(CONTROL!$C$9, $C$13, 100%, $E$13) + CHOOSE(CONTROL!$C$28, 0, 0)</f>
        <v>72.135900000000007</v>
      </c>
      <c r="E781" s="4">
        <f>346.921175689304 * CHOOSE(CONTROL!$C$9, $C$13, 100%, $E$13) + CHOOSE(CONTROL!$C$28, 0, 0)</f>
        <v>346.92117568930399</v>
      </c>
    </row>
    <row r="782" spans="1:5" ht="15">
      <c r="A782" s="13">
        <v>65319</v>
      </c>
      <c r="B782" s="4">
        <f>48.4397 * CHOOSE(CONTROL!$C$9, $C$13, 100%, $E$13) + CHOOSE(CONTROL!$C$28, 0.0003, 0)</f>
        <v>48.440000000000005</v>
      </c>
      <c r="C782" s="4">
        <f>48.0764 * CHOOSE(CONTROL!$C$9, $C$13, 100%, $E$13) + CHOOSE(CONTROL!$C$28, 0.0003, 0)</f>
        <v>48.076700000000002</v>
      </c>
      <c r="D782" s="4">
        <f>71.1674 * CHOOSE(CONTROL!$C$9, $C$13, 100%, $E$13) + CHOOSE(CONTROL!$C$28, 0, 0)</f>
        <v>71.167400000000001</v>
      </c>
      <c r="E782" s="4">
        <f>335.394560574707 * CHOOSE(CONTROL!$C$9, $C$13, 100%, $E$13) + CHOOSE(CONTROL!$C$28, 0, 0)</f>
        <v>335.39456057470699</v>
      </c>
    </row>
    <row r="783" spans="1:5" ht="15">
      <c r="A783" s="13">
        <v>65349</v>
      </c>
      <c r="B783" s="4">
        <f>47.3846 * CHOOSE(CONTROL!$C$9, $C$13, 100%, $E$13) + CHOOSE(CONTROL!$C$28, 0.0003, 0)</f>
        <v>47.384900000000002</v>
      </c>
      <c r="C783" s="4">
        <f>47.0213 * CHOOSE(CONTROL!$C$9, $C$13, 100%, $E$13) + CHOOSE(CONTROL!$C$28, 0.0003, 0)</f>
        <v>47.021599999999999</v>
      </c>
      <c r="D783" s="4">
        <f>70.8345 * CHOOSE(CONTROL!$C$9, $C$13, 100%, $E$13) + CHOOSE(CONTROL!$C$28, 0, 0)</f>
        <v>70.834500000000006</v>
      </c>
      <c r="E783" s="4">
        <f>327.970559687181 * CHOOSE(CONTROL!$C$9, $C$13, 100%, $E$13) + CHOOSE(CONTROL!$C$28, 0, 0)</f>
        <v>327.97055968718098</v>
      </c>
    </row>
    <row r="784" spans="1:5" ht="15">
      <c r="A784" s="13">
        <v>65380</v>
      </c>
      <c r="B784" s="4">
        <f>46.6546 * CHOOSE(CONTROL!$C$9, $C$13, 100%, $E$13) + CHOOSE(CONTROL!$C$28, 0.0003, 0)</f>
        <v>46.654900000000005</v>
      </c>
      <c r="C784" s="4">
        <f>46.2913 * CHOOSE(CONTROL!$C$9, $C$13, 100%, $E$13) + CHOOSE(CONTROL!$C$28, 0.0003, 0)</f>
        <v>46.291600000000003</v>
      </c>
      <c r="D784" s="4">
        <f>68.3833 * CHOOSE(CONTROL!$C$9, $C$13, 100%, $E$13) + CHOOSE(CONTROL!$C$28, 0, 0)</f>
        <v>68.383300000000006</v>
      </c>
      <c r="E784" s="4">
        <f>322.834105386927 * CHOOSE(CONTROL!$C$9, $C$13, 100%, $E$13) + CHOOSE(CONTROL!$C$28, 0, 0)</f>
        <v>322.83410538692698</v>
      </c>
    </row>
    <row r="785" spans="1:5" ht="15">
      <c r="A785" s="13">
        <v>65411</v>
      </c>
      <c r="B785" s="4">
        <f>44.6574 * CHOOSE(CONTROL!$C$9, $C$13, 100%, $E$13) + CHOOSE(CONTROL!$C$28, 0.0003, 0)</f>
        <v>44.657700000000006</v>
      </c>
      <c r="C785" s="4">
        <f>44.2941 * CHOOSE(CONTROL!$C$9, $C$13, 100%, $E$13) + CHOOSE(CONTROL!$C$28, 0.0003, 0)</f>
        <v>44.294400000000003</v>
      </c>
      <c r="D785" s="4">
        <f>65.6831 * CHOOSE(CONTROL!$C$9, $C$13, 100%, $E$13) + CHOOSE(CONTROL!$C$28, 0, 0)</f>
        <v>65.683099999999996</v>
      </c>
      <c r="E785" s="4">
        <f>309.386753090191 * CHOOSE(CONTROL!$C$9, $C$13, 100%, $E$13) + CHOOSE(CONTROL!$C$28, 0, 0)</f>
        <v>309.38675309019101</v>
      </c>
    </row>
    <row r="786" spans="1:5" ht="15">
      <c r="A786" s="13">
        <v>65439</v>
      </c>
      <c r="B786" s="4">
        <f>45.6994 * CHOOSE(CONTROL!$C$9, $C$13, 100%, $E$13) + CHOOSE(CONTROL!$C$28, 0.0003, 0)</f>
        <v>45.6997</v>
      </c>
      <c r="C786" s="4">
        <f>45.3361 * CHOOSE(CONTROL!$C$9, $C$13, 100%, $E$13) + CHOOSE(CONTROL!$C$28, 0.0003, 0)</f>
        <v>45.336400000000005</v>
      </c>
      <c r="D786" s="4">
        <f>67.936 * CHOOSE(CONTROL!$C$9, $C$13, 100%, $E$13) + CHOOSE(CONTROL!$C$28, 0, 0)</f>
        <v>67.936000000000007</v>
      </c>
      <c r="E786" s="4">
        <f>316.732813873728 * CHOOSE(CONTROL!$C$9, $C$13, 100%, $E$13) + CHOOSE(CONTROL!$C$28, 0, 0)</f>
        <v>316.73281387372799</v>
      </c>
    </row>
    <row r="787" spans="1:5" ht="15">
      <c r="A787" s="13">
        <v>65470</v>
      </c>
      <c r="B787" s="4">
        <f>48.4356 * CHOOSE(CONTROL!$C$9, $C$13, 100%, $E$13) + CHOOSE(CONTROL!$C$28, 0.0003, 0)</f>
        <v>48.435900000000004</v>
      </c>
      <c r="C787" s="4">
        <f>48.0724 * CHOOSE(CONTROL!$C$9, $C$13, 100%, $E$13) + CHOOSE(CONTROL!$C$28, 0.0003, 0)</f>
        <v>48.072700000000005</v>
      </c>
      <c r="D787" s="4">
        <f>71.4626 * CHOOSE(CONTROL!$C$9, $C$13, 100%, $E$13) + CHOOSE(CONTROL!$C$28, 0, 0)</f>
        <v>71.462599999999995</v>
      </c>
      <c r="E787" s="4">
        <f>336.023959884676 * CHOOSE(CONTROL!$C$9, $C$13, 100%, $E$13) + CHOOSE(CONTROL!$C$28, 0, 0)</f>
        <v>336.023959884676</v>
      </c>
    </row>
    <row r="788" spans="1:5" ht="15">
      <c r="A788" s="13">
        <v>65500</v>
      </c>
      <c r="B788" s="4">
        <f>50.3798 * CHOOSE(CONTROL!$C$9, $C$13, 100%, $E$13) + CHOOSE(CONTROL!$C$28, 0.0003, 0)</f>
        <v>50.380100000000006</v>
      </c>
      <c r="C788" s="4">
        <f>50.0165 * CHOOSE(CONTROL!$C$9, $C$13, 100%, $E$13) + CHOOSE(CONTROL!$C$28, 0.0003, 0)</f>
        <v>50.016800000000003</v>
      </c>
      <c r="D788" s="4">
        <f>73.4941 * CHOOSE(CONTROL!$C$9, $C$13, 100%, $E$13) + CHOOSE(CONTROL!$C$28, 0, 0)</f>
        <v>73.494100000000003</v>
      </c>
      <c r="E788" s="4">
        <f>349.730576213777 * CHOOSE(CONTROL!$C$9, $C$13, 100%, $E$13) + CHOOSE(CONTROL!$C$28, 0, 0)</f>
        <v>349.730576213777</v>
      </c>
    </row>
    <row r="789" spans="1:5" ht="15">
      <c r="A789" s="13">
        <v>65531</v>
      </c>
      <c r="B789" s="4">
        <f>51.5676 * CHOOSE(CONTROL!$C$9, $C$13, 100%, $E$13) + CHOOSE(CONTROL!$C$28, 0.0136, 0)</f>
        <v>51.581199999999995</v>
      </c>
      <c r="C789" s="4">
        <f>51.2044 * CHOOSE(CONTROL!$C$9, $C$13, 100%, $E$13) + CHOOSE(CONTROL!$C$28, 0.0136, 0)</f>
        <v>51.217999999999996</v>
      </c>
      <c r="D789" s="4">
        <f>72.6914 * CHOOSE(CONTROL!$C$9, $C$13, 100%, $E$13) + CHOOSE(CONTROL!$C$28, 0, 0)</f>
        <v>72.691400000000002</v>
      </c>
      <c r="E789" s="4">
        <f>358.104990289112 * CHOOSE(CONTROL!$C$9, $C$13, 100%, $E$13) + CHOOSE(CONTROL!$C$28, 0, 0)</f>
        <v>358.10499028911198</v>
      </c>
    </row>
    <row r="790" spans="1:5" ht="15">
      <c r="A790" s="13">
        <v>65561</v>
      </c>
      <c r="B790" s="4">
        <f>51.7284 * CHOOSE(CONTROL!$C$9, $C$13, 100%, $E$13) + CHOOSE(CONTROL!$C$28, 0.0136, 0)</f>
        <v>51.741999999999997</v>
      </c>
      <c r="C790" s="4">
        <f>51.3651 * CHOOSE(CONTROL!$C$9, $C$13, 100%, $E$13) + CHOOSE(CONTROL!$C$28, 0.0136, 0)</f>
        <v>51.378699999999995</v>
      </c>
      <c r="D790" s="4">
        <f>73.3451 * CHOOSE(CONTROL!$C$9, $C$13, 100%, $E$13) + CHOOSE(CONTROL!$C$28, 0, 0)</f>
        <v>73.345100000000002</v>
      </c>
      <c r="E790" s="4">
        <f>359.238083268038 * CHOOSE(CONTROL!$C$9, $C$13, 100%, $E$13) + CHOOSE(CONTROL!$C$28, 0, 0)</f>
        <v>359.238083268038</v>
      </c>
    </row>
    <row r="791" spans="1:5" ht="15">
      <c r="A791" s="13">
        <v>65592</v>
      </c>
      <c r="B791" s="4">
        <f>51.7122 * CHOOSE(CONTROL!$C$9, $C$13, 100%, $E$13) + CHOOSE(CONTROL!$C$28, 0.0136, 0)</f>
        <v>51.7258</v>
      </c>
      <c r="C791" s="4">
        <f>51.3489 * CHOOSE(CONTROL!$C$9, $C$13, 100%, $E$13) + CHOOSE(CONTROL!$C$28, 0.0136, 0)</f>
        <v>51.362499999999997</v>
      </c>
      <c r="D791" s="4">
        <f>74.5248 * CHOOSE(CONTROL!$C$9, $C$13, 100%, $E$13) + CHOOSE(CONTROL!$C$28, 0, 0)</f>
        <v>74.524799999999999</v>
      </c>
      <c r="E791" s="4">
        <f>359.123821791171 * CHOOSE(CONTROL!$C$9, $C$13, 100%, $E$13) + CHOOSE(CONTROL!$C$28, 0, 0)</f>
        <v>359.123821791171</v>
      </c>
    </row>
    <row r="792" spans="1:5" ht="15">
      <c r="A792" s="13">
        <v>65623</v>
      </c>
      <c r="B792" s="4">
        <f>52.9317 * CHOOSE(CONTROL!$C$9, $C$13, 100%, $E$13) + CHOOSE(CONTROL!$C$28, 0.0136, 0)</f>
        <v>52.945299999999996</v>
      </c>
      <c r="C792" s="4">
        <f>52.5685 * CHOOSE(CONTROL!$C$9, $C$13, 100%, $E$13) + CHOOSE(CONTROL!$C$28, 0.0136, 0)</f>
        <v>52.582099999999997</v>
      </c>
      <c r="D792" s="4">
        <f>73.7457 * CHOOSE(CONTROL!$C$9, $C$13, 100%, $E$13) + CHOOSE(CONTROL!$C$28, 0, 0)</f>
        <v>73.745699999999999</v>
      </c>
      <c r="E792" s="4">
        <f>367.72199792537 * CHOOSE(CONTROL!$C$9, $C$13, 100%, $E$13) + CHOOSE(CONTROL!$C$28, 0, 0)</f>
        <v>367.72199792536998</v>
      </c>
    </row>
    <row r="793" spans="1:5" ht="15">
      <c r="A793" s="13">
        <v>65653</v>
      </c>
      <c r="B793" s="4">
        <f>50.8532 * CHOOSE(CONTROL!$C$9, $C$13, 100%, $E$13) + CHOOSE(CONTROL!$C$28, 0.0136, 0)</f>
        <v>50.866799999999998</v>
      </c>
      <c r="C793" s="4">
        <f>50.4899 * CHOOSE(CONTROL!$C$9, $C$13, 100%, $E$13) + CHOOSE(CONTROL!$C$28, 0.0136, 0)</f>
        <v>50.503499999999995</v>
      </c>
      <c r="D793" s="4">
        <f>73.3777 * CHOOSE(CONTROL!$C$9, $C$13, 100%, $E$13) + CHOOSE(CONTROL!$C$28, 0, 0)</f>
        <v>73.377700000000004</v>
      </c>
      <c r="E793" s="4">
        <f>353.067963517251 * CHOOSE(CONTROL!$C$9, $C$13, 100%, $E$13) + CHOOSE(CONTROL!$C$28, 0, 0)</f>
        <v>353.06796351725097</v>
      </c>
    </row>
    <row r="794" spans="1:5" ht="15">
      <c r="A794" s="13">
        <v>65684</v>
      </c>
      <c r="B794" s="4">
        <f>49.1893 * CHOOSE(CONTROL!$C$9, $C$13, 100%, $E$13) + CHOOSE(CONTROL!$C$28, 0.0003, 0)</f>
        <v>49.189600000000006</v>
      </c>
      <c r="C794" s="4">
        <f>48.826 * CHOOSE(CONTROL!$C$9, $C$13, 100%, $E$13) + CHOOSE(CONTROL!$C$28, 0.0003, 0)</f>
        <v>48.826300000000003</v>
      </c>
      <c r="D794" s="4">
        <f>72.3921 * CHOOSE(CONTROL!$C$9, $C$13, 100%, $E$13) + CHOOSE(CONTROL!$C$28, 0, 0)</f>
        <v>72.392099999999999</v>
      </c>
      <c r="E794" s="4">
        <f>341.337118558965 * CHOOSE(CONTROL!$C$9, $C$13, 100%, $E$13) + CHOOSE(CONTROL!$C$28, 0, 0)</f>
        <v>341.33711855896502</v>
      </c>
    </row>
    <row r="795" spans="1:5" ht="15">
      <c r="A795" s="13">
        <v>65714</v>
      </c>
      <c r="B795" s="4">
        <f>48.1176 * CHOOSE(CONTROL!$C$9, $C$13, 100%, $E$13) + CHOOSE(CONTROL!$C$28, 0.0003, 0)</f>
        <v>48.117900000000006</v>
      </c>
      <c r="C795" s="4">
        <f>47.7543 * CHOOSE(CONTROL!$C$9, $C$13, 100%, $E$13) + CHOOSE(CONTROL!$C$28, 0.0003, 0)</f>
        <v>47.754600000000003</v>
      </c>
      <c r="D795" s="4">
        <f>72.0533 * CHOOSE(CONTROL!$C$9, $C$13, 100%, $E$13) + CHOOSE(CONTROL!$C$28, 0, 0)</f>
        <v>72.053299999999993</v>
      </c>
      <c r="E795" s="4">
        <f>333.781578401172 * CHOOSE(CONTROL!$C$9, $C$13, 100%, $E$13) + CHOOSE(CONTROL!$C$28, 0, 0)</f>
        <v>333.781578401172</v>
      </c>
    </row>
    <row r="796" spans="1:5" ht="15">
      <c r="A796" s="13">
        <v>65745</v>
      </c>
      <c r="B796" s="4">
        <f>47.3761 * CHOOSE(CONTROL!$C$9, $C$13, 100%, $E$13) + CHOOSE(CONTROL!$C$28, 0.0003, 0)</f>
        <v>47.376400000000004</v>
      </c>
      <c r="C796" s="4">
        <f>47.0128 * CHOOSE(CONTROL!$C$9, $C$13, 100%, $E$13) + CHOOSE(CONTROL!$C$28, 0.0003, 0)</f>
        <v>47.013100000000001</v>
      </c>
      <c r="D796" s="4">
        <f>69.5588 * CHOOSE(CONTROL!$C$9, $C$13, 100%, $E$13) + CHOOSE(CONTROL!$C$28, 0, 0)</f>
        <v>69.558800000000005</v>
      </c>
      <c r="E796" s="4">
        <f>328.554115834533 * CHOOSE(CONTROL!$C$9, $C$13, 100%, $E$13) + CHOOSE(CONTROL!$C$28, 0, 0)</f>
        <v>328.55411583453298</v>
      </c>
    </row>
    <row r="797" spans="1:5" ht="15">
      <c r="A797" s="13">
        <v>65776</v>
      </c>
      <c r="B797" s="4">
        <f>45.3474 * CHOOSE(CONTROL!$C$9, $C$13, 100%, $E$13) + CHOOSE(CONTROL!$C$28, 0.0003, 0)</f>
        <v>45.347700000000003</v>
      </c>
      <c r="C797" s="4">
        <f>44.9842 * CHOOSE(CONTROL!$C$9, $C$13, 100%, $E$13) + CHOOSE(CONTROL!$C$28, 0.0003, 0)</f>
        <v>44.984500000000004</v>
      </c>
      <c r="D797" s="4">
        <f>66.8109 * CHOOSE(CONTROL!$C$9, $C$13, 100%, $E$13) + CHOOSE(CONTROL!$C$28, 0, 0)</f>
        <v>66.810900000000004</v>
      </c>
      <c r="E797" s="4">
        <f>314.868501859906 * CHOOSE(CONTROL!$C$9, $C$13, 100%, $E$13) + CHOOSE(CONTROL!$C$28, 0, 0)</f>
        <v>314.86850185990602</v>
      </c>
    </row>
    <row r="798" spans="1:5" ht="15">
      <c r="A798" s="13">
        <v>65805</v>
      </c>
      <c r="B798" s="4">
        <f>46.4058 * CHOOSE(CONTROL!$C$9, $C$13, 100%, $E$13) + CHOOSE(CONTROL!$C$28, 0.0003, 0)</f>
        <v>46.406100000000002</v>
      </c>
      <c r="C798" s="4">
        <f>46.0425 * CHOOSE(CONTROL!$C$9, $C$13, 100%, $E$13) + CHOOSE(CONTROL!$C$28, 0.0003, 0)</f>
        <v>46.0428</v>
      </c>
      <c r="D798" s="4">
        <f>69.1036 * CHOOSE(CONTROL!$C$9, $C$13, 100%, $E$13) + CHOOSE(CONTROL!$C$28, 0, 0)</f>
        <v>69.1036</v>
      </c>
      <c r="E798" s="4">
        <f>322.344720962311 * CHOOSE(CONTROL!$C$9, $C$13, 100%, $E$13) + CHOOSE(CONTROL!$C$28, 0, 0)</f>
        <v>322.34472096231099</v>
      </c>
    </row>
    <row r="799" spans="1:5" ht="15">
      <c r="A799" s="13">
        <v>65836</v>
      </c>
      <c r="B799" s="4">
        <f>49.1851 * CHOOSE(CONTROL!$C$9, $C$13, 100%, $E$13) + CHOOSE(CONTROL!$C$28, 0.0003, 0)</f>
        <v>49.185400000000001</v>
      </c>
      <c r="C799" s="4">
        <f>48.8218 * CHOOSE(CONTROL!$C$9, $C$13, 100%, $E$13) + CHOOSE(CONTROL!$C$28, 0.0003, 0)</f>
        <v>48.822100000000006</v>
      </c>
      <c r="D799" s="4">
        <f>72.6925 * CHOOSE(CONTROL!$C$9, $C$13, 100%, $E$13) + CHOOSE(CONTROL!$C$28, 0, 0)</f>
        <v>72.692499999999995</v>
      </c>
      <c r="E799" s="4">
        <f>341.977669635641 * CHOOSE(CONTROL!$C$9, $C$13, 100%, $E$13) + CHOOSE(CONTROL!$C$28, 0, 0)</f>
        <v>341.97766963564101</v>
      </c>
    </row>
    <row r="800" spans="1:5" ht="15">
      <c r="A800" s="13">
        <v>65866</v>
      </c>
      <c r="B800" s="4">
        <f>51.1599 * CHOOSE(CONTROL!$C$9, $C$13, 100%, $E$13) + CHOOSE(CONTROL!$C$28, 0.0003, 0)</f>
        <v>51.160200000000003</v>
      </c>
      <c r="C800" s="4">
        <f>50.7966 * CHOOSE(CONTROL!$C$9, $C$13, 100%, $E$13) + CHOOSE(CONTROL!$C$28, 0.0003, 0)</f>
        <v>50.796900000000001</v>
      </c>
      <c r="D800" s="4">
        <f>74.7599 * CHOOSE(CONTROL!$C$9, $C$13, 100%, $E$13) + CHOOSE(CONTROL!$C$28, 0, 0)</f>
        <v>74.759900000000002</v>
      </c>
      <c r="E800" s="4">
        <f>355.927141311484 * CHOOSE(CONTROL!$C$9, $C$13, 100%, $E$13) + CHOOSE(CONTROL!$C$28, 0, 0)</f>
        <v>355.92714131148398</v>
      </c>
    </row>
    <row r="801" spans="1:5" ht="15">
      <c r="A801" s="13">
        <v>65897</v>
      </c>
      <c r="B801" s="4">
        <f>52.3664 * CHOOSE(CONTROL!$C$9, $C$13, 100%, $E$13) + CHOOSE(CONTROL!$C$28, 0.0136, 0)</f>
        <v>52.379999999999995</v>
      </c>
      <c r="C801" s="4">
        <f>52.0031 * CHOOSE(CONTROL!$C$9, $C$13, 100%, $E$13) + CHOOSE(CONTROL!$C$28, 0.0136, 0)</f>
        <v>52.0167</v>
      </c>
      <c r="D801" s="4">
        <f>73.943 * CHOOSE(CONTROL!$C$9, $C$13, 100%, $E$13) + CHOOSE(CONTROL!$C$28, 0, 0)</f>
        <v>73.942999999999998</v>
      </c>
      <c r="E801" s="4">
        <f>364.449934183248 * CHOOSE(CONTROL!$C$9, $C$13, 100%, $E$13) + CHOOSE(CONTROL!$C$28, 0, 0)</f>
        <v>364.44993418324799</v>
      </c>
    </row>
    <row r="802" spans="1:5" ht="15">
      <c r="A802" s="13">
        <v>65927</v>
      </c>
      <c r="B802" s="4">
        <f>52.5296 * CHOOSE(CONTROL!$C$9, $C$13, 100%, $E$13) + CHOOSE(CONTROL!$C$28, 0.0136, 0)</f>
        <v>52.543199999999999</v>
      </c>
      <c r="C802" s="4">
        <f>52.1664 * CHOOSE(CONTROL!$C$9, $C$13, 100%, $E$13) + CHOOSE(CONTROL!$C$28, 0.0136, 0)</f>
        <v>52.18</v>
      </c>
      <c r="D802" s="4">
        <f>74.6083 * CHOOSE(CONTROL!$C$9, $C$13, 100%, $E$13) + CHOOSE(CONTROL!$C$28, 0, 0)</f>
        <v>74.6083</v>
      </c>
      <c r="E802" s="4">
        <f>365.603103429115 * CHOOSE(CONTROL!$C$9, $C$13, 100%, $E$13) + CHOOSE(CONTROL!$C$28, 0, 0)</f>
        <v>365.60310342911498</v>
      </c>
    </row>
    <row r="803" spans="1:5" ht="15">
      <c r="A803" s="13">
        <v>65958</v>
      </c>
      <c r="B803" s="4">
        <f>52.5132 * CHOOSE(CONTROL!$C$9, $C$13, 100%, $E$13) + CHOOSE(CONTROL!$C$28, 0.0136, 0)</f>
        <v>52.526799999999994</v>
      </c>
      <c r="C803" s="4">
        <f>52.1499 * CHOOSE(CONTROL!$C$9, $C$13, 100%, $E$13) + CHOOSE(CONTROL!$C$28, 0.0136, 0)</f>
        <v>52.163499999999999</v>
      </c>
      <c r="D803" s="4">
        <f>75.8088 * CHOOSE(CONTROL!$C$9, $C$13, 100%, $E$13) + CHOOSE(CONTROL!$C$28, 0, 0)</f>
        <v>75.808800000000005</v>
      </c>
      <c r="E803" s="4">
        <f>365.486817454742 * CHOOSE(CONTROL!$C$9, $C$13, 100%, $E$13) + CHOOSE(CONTROL!$C$28, 0, 0)</f>
        <v>365.48681745474198</v>
      </c>
    </row>
    <row r="804" spans="1:5" ht="15">
      <c r="A804" s="13">
        <v>65989</v>
      </c>
      <c r="B804" s="4">
        <f>53.7519 * CHOOSE(CONTROL!$C$9, $C$13, 100%, $E$13) + CHOOSE(CONTROL!$C$28, 0.0136, 0)</f>
        <v>53.765499999999996</v>
      </c>
      <c r="C804" s="4">
        <f>53.3886 * CHOOSE(CONTROL!$C$9, $C$13, 100%, $E$13) + CHOOSE(CONTROL!$C$28, 0.0136, 0)</f>
        <v>53.402199999999993</v>
      </c>
      <c r="D804" s="4">
        <f>75.016 * CHOOSE(CONTROL!$C$9, $C$13, 100%, $E$13) + CHOOSE(CONTROL!$C$28, 0, 0)</f>
        <v>75.016000000000005</v>
      </c>
      <c r="E804" s="4">
        <f>374.23733702632 * CHOOSE(CONTROL!$C$9, $C$13, 100%, $E$13) + CHOOSE(CONTROL!$C$28, 0, 0)</f>
        <v>374.23733702632001</v>
      </c>
    </row>
    <row r="805" spans="1:5" ht="15">
      <c r="A805" s="13">
        <v>66019</v>
      </c>
      <c r="B805" s="4">
        <f>51.6407 * CHOOSE(CONTROL!$C$9, $C$13, 100%, $E$13) + CHOOSE(CONTROL!$C$28, 0.0136, 0)</f>
        <v>51.654299999999999</v>
      </c>
      <c r="C805" s="4">
        <f>51.2774 * CHOOSE(CONTROL!$C$9, $C$13, 100%, $E$13) + CHOOSE(CONTROL!$C$28, 0.0136, 0)</f>
        <v>51.290999999999997</v>
      </c>
      <c r="D805" s="4">
        <f>74.6414 * CHOOSE(CONTROL!$C$9, $C$13, 100%, $E$13) + CHOOSE(CONTROL!$C$28, 0, 0)</f>
        <v>74.641400000000004</v>
      </c>
      <c r="E805" s="4">
        <f>359.323660812966 * CHOOSE(CONTROL!$C$9, $C$13, 100%, $E$13) + CHOOSE(CONTROL!$C$28, 0, 0)</f>
        <v>359.32366081296601</v>
      </c>
    </row>
    <row r="806" spans="1:5" ht="15">
      <c r="A806" s="13">
        <v>66050</v>
      </c>
      <c r="B806" s="4">
        <f>49.9506 * CHOOSE(CONTROL!$C$9, $C$13, 100%, $E$13) + CHOOSE(CONTROL!$C$28, 0.0003, 0)</f>
        <v>49.950900000000004</v>
      </c>
      <c r="C806" s="4">
        <f>49.5873 * CHOOSE(CONTROL!$C$9, $C$13, 100%, $E$13) + CHOOSE(CONTROL!$C$28, 0.0003, 0)</f>
        <v>49.587600000000002</v>
      </c>
      <c r="D806" s="4">
        <f>73.6384 * CHOOSE(CONTROL!$C$9, $C$13, 100%, $E$13) + CHOOSE(CONTROL!$C$28, 0, 0)</f>
        <v>73.638400000000004</v>
      </c>
      <c r="E806" s="4">
        <f>347.384967443992 * CHOOSE(CONTROL!$C$9, $C$13, 100%, $E$13) + CHOOSE(CONTROL!$C$28, 0, 0)</f>
        <v>347.38496744399202</v>
      </c>
    </row>
    <row r="807" spans="1:5" ht="15">
      <c r="A807" s="13">
        <v>66080</v>
      </c>
      <c r="B807" s="4">
        <f>48.8621 * CHOOSE(CONTROL!$C$9, $C$13, 100%, $E$13) + CHOOSE(CONTROL!$C$28, 0.0003, 0)</f>
        <v>48.862400000000001</v>
      </c>
      <c r="C807" s="4">
        <f>48.4988 * CHOOSE(CONTROL!$C$9, $C$13, 100%, $E$13) + CHOOSE(CONTROL!$C$28, 0.0003, 0)</f>
        <v>48.499100000000006</v>
      </c>
      <c r="D807" s="4">
        <f>73.2936 * CHOOSE(CONTROL!$C$9, $C$13, 100%, $E$13) + CHOOSE(CONTROL!$C$28, 0, 0)</f>
        <v>73.293599999999998</v>
      </c>
      <c r="E807" s="4">
        <f>339.695557388568 * CHOOSE(CONTROL!$C$9, $C$13, 100%, $E$13) + CHOOSE(CONTROL!$C$28, 0, 0)</f>
        <v>339.69555738856798</v>
      </c>
    </row>
    <row r="808" spans="1:5" ht="15">
      <c r="A808" s="13">
        <v>66111</v>
      </c>
      <c r="B808" s="4">
        <f>48.1089 * CHOOSE(CONTROL!$C$9, $C$13, 100%, $E$13) + CHOOSE(CONTROL!$C$28, 0.0003, 0)</f>
        <v>48.109200000000001</v>
      </c>
      <c r="C808" s="4">
        <f>47.7456 * CHOOSE(CONTROL!$C$9, $C$13, 100%, $E$13) + CHOOSE(CONTROL!$C$28, 0.0003, 0)</f>
        <v>47.745900000000006</v>
      </c>
      <c r="D808" s="4">
        <f>70.7551 * CHOOSE(CONTROL!$C$9, $C$13, 100%, $E$13) + CHOOSE(CONTROL!$C$28, 0, 0)</f>
        <v>70.755099999999999</v>
      </c>
      <c r="E808" s="4">
        <f>334.375474060998 * CHOOSE(CONTROL!$C$9, $C$13, 100%, $E$13) + CHOOSE(CONTROL!$C$28, 0, 0)</f>
        <v>334.37547406099799</v>
      </c>
    </row>
    <row r="809" spans="1:5" ht="15">
      <c r="A809" s="13">
        <v>66142</v>
      </c>
      <c r="B809" s="4">
        <f>46.0484 * CHOOSE(CONTROL!$C$9, $C$13, 100%, $E$13) + CHOOSE(CONTROL!$C$28, 0.0003, 0)</f>
        <v>46.048700000000004</v>
      </c>
      <c r="C809" s="4">
        <f>45.6851 * CHOOSE(CONTROL!$C$9, $C$13, 100%, $E$13) + CHOOSE(CONTROL!$C$28, 0.0003, 0)</f>
        <v>45.685400000000001</v>
      </c>
      <c r="D809" s="4">
        <f>67.9586 * CHOOSE(CONTROL!$C$9, $C$13, 100%, $E$13) + CHOOSE(CONTROL!$C$28, 0, 0)</f>
        <v>67.958600000000004</v>
      </c>
      <c r="E809" s="4">
        <f>320.447376861672 * CHOOSE(CONTROL!$C$9, $C$13, 100%, $E$13) + CHOOSE(CONTROL!$C$28, 0, 0)</f>
        <v>320.44737686167201</v>
      </c>
    </row>
    <row r="810" spans="1:5" ht="15">
      <c r="A810" s="13">
        <v>66170</v>
      </c>
      <c r="B810" s="4">
        <f>47.1234 * CHOOSE(CONTROL!$C$9, $C$13, 100%, $E$13) + CHOOSE(CONTROL!$C$28, 0.0003, 0)</f>
        <v>47.123699999999999</v>
      </c>
      <c r="C810" s="4">
        <f>46.7601 * CHOOSE(CONTROL!$C$9, $C$13, 100%, $E$13) + CHOOSE(CONTROL!$C$28, 0.0003, 0)</f>
        <v>46.760400000000004</v>
      </c>
      <c r="D810" s="4">
        <f>70.2918 * CHOOSE(CONTROL!$C$9, $C$13, 100%, $E$13) + CHOOSE(CONTROL!$C$28, 0, 0)</f>
        <v>70.291799999999995</v>
      </c>
      <c r="E810" s="4">
        <f>328.056060442461 * CHOOSE(CONTROL!$C$9, $C$13, 100%, $E$13) + CHOOSE(CONTROL!$C$28, 0, 0)</f>
        <v>328.05606044246099</v>
      </c>
    </row>
    <row r="811" spans="1:5" ht="15">
      <c r="A811" s="13">
        <v>66201</v>
      </c>
      <c r="B811" s="4">
        <f>49.9464 * CHOOSE(CONTROL!$C$9, $C$13, 100%, $E$13) + CHOOSE(CONTROL!$C$28, 0.0003, 0)</f>
        <v>49.9467</v>
      </c>
      <c r="C811" s="4">
        <f>49.5831 * CHOOSE(CONTROL!$C$9, $C$13, 100%, $E$13) + CHOOSE(CONTROL!$C$28, 0.0003, 0)</f>
        <v>49.583400000000005</v>
      </c>
      <c r="D811" s="4">
        <f>73.9442 * CHOOSE(CONTROL!$C$9, $C$13, 100%, $E$13) + CHOOSE(CONTROL!$C$28, 0, 0)</f>
        <v>73.944199999999995</v>
      </c>
      <c r="E811" s="4">
        <f>348.036867875614 * CHOOSE(CONTROL!$C$9, $C$13, 100%, $E$13) + CHOOSE(CONTROL!$C$28, 0, 0)</f>
        <v>348.03686787561401</v>
      </c>
    </row>
    <row r="812" spans="1:5" ht="15">
      <c r="A812" s="13">
        <v>66231</v>
      </c>
      <c r="B812" s="4">
        <f>51.9522 * CHOOSE(CONTROL!$C$9, $C$13, 100%, $E$13) + CHOOSE(CONTROL!$C$28, 0.0003, 0)</f>
        <v>51.952500000000001</v>
      </c>
      <c r="C812" s="4">
        <f>51.5889 * CHOOSE(CONTROL!$C$9, $C$13, 100%, $E$13) + CHOOSE(CONTROL!$C$28, 0.0003, 0)</f>
        <v>51.589200000000005</v>
      </c>
      <c r="D812" s="4">
        <f>76.0481 * CHOOSE(CONTROL!$C$9, $C$13, 100%, $E$13) + CHOOSE(CONTROL!$C$28, 0, 0)</f>
        <v>76.048100000000005</v>
      </c>
      <c r="E812" s="4">
        <f>362.23349783614 * CHOOSE(CONTROL!$C$9, $C$13, 100%, $E$13) + CHOOSE(CONTROL!$C$28, 0, 0)</f>
        <v>362.23349783613997</v>
      </c>
    </row>
    <row r="813" spans="1:5" ht="15">
      <c r="A813" s="13">
        <v>66262</v>
      </c>
      <c r="B813" s="4">
        <f>53.1777 * CHOOSE(CONTROL!$C$9, $C$13, 100%, $E$13) + CHOOSE(CONTROL!$C$28, 0.0136, 0)</f>
        <v>53.191299999999998</v>
      </c>
      <c r="C813" s="4">
        <f>52.8144 * CHOOSE(CONTROL!$C$9, $C$13, 100%, $E$13) + CHOOSE(CONTROL!$C$28, 0.0136, 0)</f>
        <v>52.827999999999996</v>
      </c>
      <c r="D813" s="4">
        <f>75.2167 * CHOOSE(CONTROL!$C$9, $C$13, 100%, $E$13) + CHOOSE(CONTROL!$C$28, 0, 0)</f>
        <v>75.216700000000003</v>
      </c>
      <c r="E813" s="4">
        <f>370.907298496287 * CHOOSE(CONTROL!$C$9, $C$13, 100%, $E$13) + CHOOSE(CONTROL!$C$28, 0, 0)</f>
        <v>370.90729849628701</v>
      </c>
    </row>
    <row r="814" spans="1:5" ht="15">
      <c r="A814" s="13">
        <v>66292</v>
      </c>
      <c r="B814" s="4">
        <f>53.3435 * CHOOSE(CONTROL!$C$9, $C$13, 100%, $E$13) + CHOOSE(CONTROL!$C$28, 0.0136, 0)</f>
        <v>53.357099999999996</v>
      </c>
      <c r="C814" s="4">
        <f>52.9802 * CHOOSE(CONTROL!$C$9, $C$13, 100%, $E$13) + CHOOSE(CONTROL!$C$28, 0.0136, 0)</f>
        <v>52.9938</v>
      </c>
      <c r="D814" s="4">
        <f>75.8938 * CHOOSE(CONTROL!$C$9, $C$13, 100%, $E$13) + CHOOSE(CONTROL!$C$28, 0, 0)</f>
        <v>75.893799999999999</v>
      </c>
      <c r="E814" s="4">
        <f>372.080899722618 * CHOOSE(CONTROL!$C$9, $C$13, 100%, $E$13) + CHOOSE(CONTROL!$C$28, 0, 0)</f>
        <v>372.08089972261803</v>
      </c>
    </row>
    <row r="815" spans="1:5" ht="15">
      <c r="A815" s="13">
        <v>66323</v>
      </c>
      <c r="B815" s="4">
        <f>53.3268 * CHOOSE(CONTROL!$C$9, $C$13, 100%, $E$13) + CHOOSE(CONTROL!$C$28, 0.0136, 0)</f>
        <v>53.340399999999995</v>
      </c>
      <c r="C815" s="4">
        <f>52.9635 * CHOOSE(CONTROL!$C$9, $C$13, 100%, $E$13) + CHOOSE(CONTROL!$C$28, 0.0136, 0)</f>
        <v>52.9771</v>
      </c>
      <c r="D815" s="4">
        <f>77.1155 * CHOOSE(CONTROL!$C$9, $C$13, 100%, $E$13) + CHOOSE(CONTROL!$C$28, 0, 0)</f>
        <v>77.115499999999997</v>
      </c>
      <c r="E815" s="4">
        <f>371.962553380467 * CHOOSE(CONTROL!$C$9, $C$13, 100%, $E$13) + CHOOSE(CONTROL!$C$28, 0, 0)</f>
        <v>371.962553380467</v>
      </c>
    </row>
    <row r="816" spans="1:5" ht="15">
      <c r="A816" s="13">
        <v>66354</v>
      </c>
      <c r="B816" s="4">
        <f>54.585 * CHOOSE(CONTROL!$C$9, $C$13, 100%, $E$13) + CHOOSE(CONTROL!$C$28, 0.0136, 0)</f>
        <v>54.598599999999998</v>
      </c>
      <c r="C816" s="4">
        <f>54.2217 * CHOOSE(CONTROL!$C$9, $C$13, 100%, $E$13) + CHOOSE(CONTROL!$C$28, 0.0136, 0)</f>
        <v>54.235299999999995</v>
      </c>
      <c r="D816" s="4">
        <f>76.3087 * CHOOSE(CONTROL!$C$9, $C$13, 100%, $E$13) + CHOOSE(CONTROL!$C$28, 0, 0)</f>
        <v>76.308700000000002</v>
      </c>
      <c r="E816" s="4">
        <f>380.868115627327 * CHOOSE(CONTROL!$C$9, $C$13, 100%, $E$13) + CHOOSE(CONTROL!$C$28, 0, 0)</f>
        <v>380.86811562732697</v>
      </c>
    </row>
    <row r="817" spans="1:5" ht="15">
      <c r="A817" s="13">
        <v>66384</v>
      </c>
      <c r="B817" s="4">
        <f>52.4406 * CHOOSE(CONTROL!$C$9, $C$13, 100%, $E$13) + CHOOSE(CONTROL!$C$28, 0.0136, 0)</f>
        <v>52.4542</v>
      </c>
      <c r="C817" s="4">
        <f>52.0773 * CHOOSE(CONTROL!$C$9, $C$13, 100%, $E$13) + CHOOSE(CONTROL!$C$28, 0.0136, 0)</f>
        <v>52.090899999999998</v>
      </c>
      <c r="D817" s="4">
        <f>75.9275 * CHOOSE(CONTROL!$C$9, $C$13, 100%, $E$13) + CHOOSE(CONTROL!$C$28, 0, 0)</f>
        <v>75.927499999999995</v>
      </c>
      <c r="E817" s="4">
        <f>365.690197246466 * CHOOSE(CONTROL!$C$9, $C$13, 100%, $E$13) + CHOOSE(CONTROL!$C$28, 0, 0)</f>
        <v>365.69019724646603</v>
      </c>
    </row>
    <row r="818" spans="1:5" ht="15">
      <c r="A818" s="13">
        <v>66415</v>
      </c>
      <c r="B818" s="4">
        <f>50.7239 * CHOOSE(CONTROL!$C$9, $C$13, 100%, $E$13) + CHOOSE(CONTROL!$C$28, 0.0003, 0)</f>
        <v>50.724200000000003</v>
      </c>
      <c r="C818" s="4">
        <f>50.3606 * CHOOSE(CONTROL!$C$9, $C$13, 100%, $E$13) + CHOOSE(CONTROL!$C$28, 0.0003, 0)</f>
        <v>50.360900000000001</v>
      </c>
      <c r="D818" s="4">
        <f>74.9068 * CHOOSE(CONTROL!$C$9, $C$13, 100%, $E$13) + CHOOSE(CONTROL!$C$28, 0, 0)</f>
        <v>74.906800000000004</v>
      </c>
      <c r="E818" s="4">
        <f>353.539972785634 * CHOOSE(CONTROL!$C$9, $C$13, 100%, $E$13) + CHOOSE(CONTROL!$C$28, 0, 0)</f>
        <v>353.53997278563401</v>
      </c>
    </row>
    <row r="819" spans="1:5" ht="15">
      <c r="A819" s="13">
        <v>66445</v>
      </c>
      <c r="B819" s="4">
        <f>49.6182 * CHOOSE(CONTROL!$C$9, $C$13, 100%, $E$13) + CHOOSE(CONTROL!$C$28, 0.0003, 0)</f>
        <v>49.618500000000004</v>
      </c>
      <c r="C819" s="4">
        <f>49.255 * CHOOSE(CONTROL!$C$9, $C$13, 100%, $E$13) + CHOOSE(CONTROL!$C$28, 0.0003, 0)</f>
        <v>49.255300000000005</v>
      </c>
      <c r="D819" s="4">
        <f>74.5559 * CHOOSE(CONTROL!$C$9, $C$13, 100%, $E$13) + CHOOSE(CONTROL!$C$28, 0, 0)</f>
        <v>74.555899999999994</v>
      </c>
      <c r="E819" s="4">
        <f>345.714320910902 * CHOOSE(CONTROL!$C$9, $C$13, 100%, $E$13) + CHOOSE(CONTROL!$C$28, 0, 0)</f>
        <v>345.71432091090202</v>
      </c>
    </row>
    <row r="820" spans="1:5" ht="15">
      <c r="A820" s="13">
        <v>66476</v>
      </c>
      <c r="B820" s="4">
        <f>48.8533 * CHOOSE(CONTROL!$C$9, $C$13, 100%, $E$13) + CHOOSE(CONTROL!$C$28, 0.0003, 0)</f>
        <v>48.8536</v>
      </c>
      <c r="C820" s="4">
        <f>48.49 * CHOOSE(CONTROL!$C$9, $C$13, 100%, $E$13) + CHOOSE(CONTROL!$C$28, 0.0003, 0)</f>
        <v>48.490300000000005</v>
      </c>
      <c r="D820" s="4">
        <f>71.9725 * CHOOSE(CONTROL!$C$9, $C$13, 100%, $E$13) + CHOOSE(CONTROL!$C$28, 0, 0)</f>
        <v>71.972499999999997</v>
      </c>
      <c r="E820" s="4">
        <f>340.299975757495 * CHOOSE(CONTROL!$C$9, $C$13, 100%, $E$13) + CHOOSE(CONTROL!$C$28, 0, 0)</f>
        <v>340.29997575749502</v>
      </c>
    </row>
    <row r="821" spans="1:5" ht="15">
      <c r="A821" s="13">
        <v>66507</v>
      </c>
      <c r="B821" s="4">
        <f>46.7603 * CHOOSE(CONTROL!$C$9, $C$13, 100%, $E$13) + CHOOSE(CONTROL!$C$28, 0.0003, 0)</f>
        <v>46.760600000000004</v>
      </c>
      <c r="C821" s="4">
        <f>46.397 * CHOOSE(CONTROL!$C$9, $C$13, 100%, $E$13) + CHOOSE(CONTROL!$C$28, 0.0003, 0)</f>
        <v>46.397300000000001</v>
      </c>
      <c r="D821" s="4">
        <f>69.1266 * CHOOSE(CONTROL!$C$9, $C$13, 100%, $E$13) + CHOOSE(CONTROL!$C$28, 0, 0)</f>
        <v>69.126599999999996</v>
      </c>
      <c r="E821" s="4">
        <f>326.12509898883 * CHOOSE(CONTROL!$C$9, $C$13, 100%, $E$13) + CHOOSE(CONTROL!$C$28, 0, 0)</f>
        <v>326.12509898883002</v>
      </c>
    </row>
    <row r="822" spans="1:5" ht="15">
      <c r="A822" s="13">
        <v>66535</v>
      </c>
      <c r="B822" s="4">
        <f>47.8522 * CHOOSE(CONTROL!$C$9, $C$13, 100%, $E$13) + CHOOSE(CONTROL!$C$28, 0.0003, 0)</f>
        <v>47.852500000000006</v>
      </c>
      <c r="C822" s="4">
        <f>47.4889 * CHOOSE(CONTROL!$C$9, $C$13, 100%, $E$13) + CHOOSE(CONTROL!$C$28, 0.0003, 0)</f>
        <v>47.489200000000004</v>
      </c>
      <c r="D822" s="4">
        <f>71.501 * CHOOSE(CONTROL!$C$9, $C$13, 100%, $E$13) + CHOOSE(CONTROL!$C$28, 0, 0)</f>
        <v>71.501000000000005</v>
      </c>
      <c r="E822" s="4">
        <f>333.868594068307 * CHOOSE(CONTROL!$C$9, $C$13, 100%, $E$13) + CHOOSE(CONTROL!$C$28, 0, 0)</f>
        <v>333.868594068307</v>
      </c>
    </row>
    <row r="823" spans="1:5" ht="15">
      <c r="A823" s="13">
        <v>66566</v>
      </c>
      <c r="B823" s="4">
        <f>50.7196 * CHOOSE(CONTROL!$C$9, $C$13, 100%, $E$13) + CHOOSE(CONTROL!$C$28, 0.0003, 0)</f>
        <v>50.719900000000003</v>
      </c>
      <c r="C823" s="4">
        <f>50.3564 * CHOOSE(CONTROL!$C$9, $C$13, 100%, $E$13) + CHOOSE(CONTROL!$C$28, 0.0003, 0)</f>
        <v>50.356700000000004</v>
      </c>
      <c r="D823" s="4">
        <f>75.2179 * CHOOSE(CONTROL!$C$9, $C$13, 100%, $E$13) + CHOOSE(CONTROL!$C$28, 0, 0)</f>
        <v>75.2179</v>
      </c>
      <c r="E823" s="4">
        <f>354.203423661332 * CHOOSE(CONTROL!$C$9, $C$13, 100%, $E$13) + CHOOSE(CONTROL!$C$28, 0, 0)</f>
        <v>354.20342366133201</v>
      </c>
    </row>
    <row r="824" spans="1:5" ht="15">
      <c r="A824" s="13">
        <v>66596</v>
      </c>
      <c r="B824" s="4">
        <f>52.757 * CHOOSE(CONTROL!$C$9, $C$13, 100%, $E$13) + CHOOSE(CONTROL!$C$28, 0.0003, 0)</f>
        <v>52.757300000000001</v>
      </c>
      <c r="C824" s="4">
        <f>52.3937 * CHOOSE(CONTROL!$C$9, $C$13, 100%, $E$13) + CHOOSE(CONTROL!$C$28, 0.0003, 0)</f>
        <v>52.394000000000005</v>
      </c>
      <c r="D824" s="4">
        <f>77.359 * CHOOSE(CONTROL!$C$9, $C$13, 100%, $E$13) + CHOOSE(CONTROL!$C$28, 0, 0)</f>
        <v>77.358999999999995</v>
      </c>
      <c r="E824" s="4">
        <f>368.651591084412 * CHOOSE(CONTROL!$C$9, $C$13, 100%, $E$13) + CHOOSE(CONTROL!$C$28, 0, 0)</f>
        <v>368.65159108441202</v>
      </c>
    </row>
    <row r="825" spans="1:5" ht="15">
      <c r="A825" s="13">
        <v>66627</v>
      </c>
      <c r="B825" s="4">
        <f>54.0017 * CHOOSE(CONTROL!$C$9, $C$13, 100%, $E$13) + CHOOSE(CONTROL!$C$28, 0.0136, 0)</f>
        <v>54.015299999999996</v>
      </c>
      <c r="C825" s="4">
        <f>53.6385 * CHOOSE(CONTROL!$C$9, $C$13, 100%, $E$13) + CHOOSE(CONTROL!$C$28, 0.0136, 0)</f>
        <v>53.652099999999997</v>
      </c>
      <c r="D825" s="4">
        <f>76.513 * CHOOSE(CONTROL!$C$9, $C$13, 100%, $E$13) + CHOOSE(CONTROL!$C$28, 0, 0)</f>
        <v>76.513000000000005</v>
      </c>
      <c r="E825" s="4">
        <f>377.479075105668 * CHOOSE(CONTROL!$C$9, $C$13, 100%, $E$13) + CHOOSE(CONTROL!$C$28, 0, 0)</f>
        <v>377.47907510566802</v>
      </c>
    </row>
    <row r="826" spans="1:5" ht="15">
      <c r="A826" s="13">
        <v>66657</v>
      </c>
      <c r="B826" s="4">
        <f>54.1702 * CHOOSE(CONTROL!$C$9, $C$13, 100%, $E$13) + CHOOSE(CONTROL!$C$28, 0.0136, 0)</f>
        <v>54.183799999999998</v>
      </c>
      <c r="C826" s="4">
        <f>53.8069 * CHOOSE(CONTROL!$C$9, $C$13, 100%, $E$13) + CHOOSE(CONTROL!$C$28, 0.0136, 0)</f>
        <v>53.820499999999996</v>
      </c>
      <c r="D826" s="4">
        <f>77.202 * CHOOSE(CONTROL!$C$9, $C$13, 100%, $E$13) + CHOOSE(CONTROL!$C$28, 0, 0)</f>
        <v>77.201999999999998</v>
      </c>
      <c r="E826" s="4">
        <f>378.673470328555 * CHOOSE(CONTROL!$C$9, $C$13, 100%, $E$13) + CHOOSE(CONTROL!$C$28, 0, 0)</f>
        <v>378.67347032855503</v>
      </c>
    </row>
    <row r="827" spans="1:5" ht="15">
      <c r="A827" s="13">
        <v>66688</v>
      </c>
      <c r="B827" s="4">
        <f>54.1532 * CHOOSE(CONTROL!$C$9, $C$13, 100%, $E$13) + CHOOSE(CONTROL!$C$28, 0.0136, 0)</f>
        <v>54.166799999999995</v>
      </c>
      <c r="C827" s="4">
        <f>53.7899 * CHOOSE(CONTROL!$C$9, $C$13, 100%, $E$13) + CHOOSE(CONTROL!$C$28, 0.0136, 0)</f>
        <v>53.8035</v>
      </c>
      <c r="D827" s="4">
        <f>78.4453 * CHOOSE(CONTROL!$C$9, $C$13, 100%, $E$13) + CHOOSE(CONTROL!$C$28, 0, 0)</f>
        <v>78.445300000000003</v>
      </c>
      <c r="E827" s="4">
        <f>378.553027112802 * CHOOSE(CONTROL!$C$9, $C$13, 100%, $E$13) + CHOOSE(CONTROL!$C$28, 0, 0)</f>
        <v>378.553027112802</v>
      </c>
    </row>
    <row r="828" spans="1:5" ht="15">
      <c r="A828" s="13">
        <v>66719</v>
      </c>
      <c r="B828" s="4">
        <f>55.4312 * CHOOSE(CONTROL!$C$9, $C$13, 100%, $E$13) + CHOOSE(CONTROL!$C$28, 0.0136, 0)</f>
        <v>55.444799999999994</v>
      </c>
      <c r="C828" s="4">
        <f>55.0679 * CHOOSE(CONTROL!$C$9, $C$13, 100%, $E$13) + CHOOSE(CONTROL!$C$28, 0.0136, 0)</f>
        <v>55.081499999999998</v>
      </c>
      <c r="D828" s="4">
        <f>77.6242 * CHOOSE(CONTROL!$C$9, $C$13, 100%, $E$13) + CHOOSE(CONTROL!$C$28, 0, 0)</f>
        <v>77.624200000000002</v>
      </c>
      <c r="E828" s="4">
        <f>387.616379098242 * CHOOSE(CONTROL!$C$9, $C$13, 100%, $E$13) + CHOOSE(CONTROL!$C$28, 0, 0)</f>
        <v>387.61637909824202</v>
      </c>
    </row>
    <row r="829" spans="1:5" ht="15">
      <c r="A829" s="13">
        <v>66749</v>
      </c>
      <c r="B829" s="4">
        <f>53.253 * CHOOSE(CONTROL!$C$9, $C$13, 100%, $E$13) + CHOOSE(CONTROL!$C$28, 0.0136, 0)</f>
        <v>53.266599999999997</v>
      </c>
      <c r="C829" s="4">
        <f>52.8898 * CHOOSE(CONTROL!$C$9, $C$13, 100%, $E$13) + CHOOSE(CONTROL!$C$28, 0.0136, 0)</f>
        <v>52.903399999999998</v>
      </c>
      <c r="D829" s="4">
        <f>77.2363 * CHOOSE(CONTROL!$C$9, $C$13, 100%, $E$13) + CHOOSE(CONTROL!$C$28, 0, 0)</f>
        <v>77.2363</v>
      </c>
      <c r="E829" s="4">
        <f>372.169536677874 * CHOOSE(CONTROL!$C$9, $C$13, 100%, $E$13) + CHOOSE(CONTROL!$C$28, 0, 0)</f>
        <v>372.16953667787402</v>
      </c>
    </row>
    <row r="830" spans="1:5" ht="15">
      <c r="A830" s="13">
        <v>66780</v>
      </c>
      <c r="B830" s="4">
        <f>51.5094 * CHOOSE(CONTROL!$C$9, $C$13, 100%, $E$13) + CHOOSE(CONTROL!$C$28, 0.0003, 0)</f>
        <v>51.509700000000002</v>
      </c>
      <c r="C830" s="4">
        <f>51.1461 * CHOOSE(CONTROL!$C$9, $C$13, 100%, $E$13) + CHOOSE(CONTROL!$C$28, 0.0003, 0)</f>
        <v>51.1464</v>
      </c>
      <c r="D830" s="4">
        <f>76.1976 * CHOOSE(CONTROL!$C$9, $C$13, 100%, $E$13) + CHOOSE(CONTROL!$C$28, 0, 0)</f>
        <v>76.197599999999994</v>
      </c>
      <c r="E830" s="4">
        <f>359.804033193863 * CHOOSE(CONTROL!$C$9, $C$13, 100%, $E$13) + CHOOSE(CONTROL!$C$28, 0, 0)</f>
        <v>359.80403319386301</v>
      </c>
    </row>
    <row r="831" spans="1:5" ht="15">
      <c r="A831" s="13">
        <v>66810</v>
      </c>
      <c r="B831" s="4">
        <f>50.3863 * CHOOSE(CONTROL!$C$9, $C$13, 100%, $E$13) + CHOOSE(CONTROL!$C$28, 0.0003, 0)</f>
        <v>50.386600000000001</v>
      </c>
      <c r="C831" s="4">
        <f>50.023 * CHOOSE(CONTROL!$C$9, $C$13, 100%, $E$13) + CHOOSE(CONTROL!$C$28, 0.0003, 0)</f>
        <v>50.023300000000006</v>
      </c>
      <c r="D831" s="4">
        <f>75.8404 * CHOOSE(CONTROL!$C$9, $C$13, 100%, $E$13) + CHOOSE(CONTROL!$C$28, 0, 0)</f>
        <v>75.840400000000002</v>
      </c>
      <c r="E831" s="4">
        <f>351.839725552172 * CHOOSE(CONTROL!$C$9, $C$13, 100%, $E$13) + CHOOSE(CONTROL!$C$28, 0, 0)</f>
        <v>351.83972555217201</v>
      </c>
    </row>
    <row r="832" spans="1:5" ht="15">
      <c r="A832" s="13">
        <v>66841</v>
      </c>
      <c r="B832" s="4">
        <f>49.6093 * CHOOSE(CONTROL!$C$9, $C$13, 100%, $E$13) + CHOOSE(CONTROL!$C$28, 0.0003, 0)</f>
        <v>49.6096</v>
      </c>
      <c r="C832" s="4">
        <f>49.246 * CHOOSE(CONTROL!$C$9, $C$13, 100%, $E$13) + CHOOSE(CONTROL!$C$28, 0.0003, 0)</f>
        <v>49.246300000000005</v>
      </c>
      <c r="D832" s="4">
        <f>73.2114 * CHOOSE(CONTROL!$C$9, $C$13, 100%, $E$13) + CHOOSE(CONTROL!$C$28, 0, 0)</f>
        <v>73.211399999999998</v>
      </c>
      <c r="E832" s="4">
        <f>346.329448431456 * CHOOSE(CONTROL!$C$9, $C$13, 100%, $E$13) + CHOOSE(CONTROL!$C$28, 0, 0)</f>
        <v>346.329448431456</v>
      </c>
    </row>
    <row r="833" spans="1:5" ht="15">
      <c r="A833" s="13">
        <v>66872</v>
      </c>
      <c r="B833" s="4">
        <f>47.4835 * CHOOSE(CONTROL!$C$9, $C$13, 100%, $E$13) + CHOOSE(CONTROL!$C$28, 0.0003, 0)</f>
        <v>47.483800000000002</v>
      </c>
      <c r="C833" s="4">
        <f>47.1202 * CHOOSE(CONTROL!$C$9, $C$13, 100%, $E$13) + CHOOSE(CONTROL!$C$28, 0.0003, 0)</f>
        <v>47.1205</v>
      </c>
      <c r="D833" s="4">
        <f>70.3152 * CHOOSE(CONTROL!$C$9, $C$13, 100%, $E$13) + CHOOSE(CONTROL!$C$28, 0, 0)</f>
        <v>70.315200000000004</v>
      </c>
      <c r="E833" s="4">
        <f>331.9034196257 * CHOOSE(CONTROL!$C$9, $C$13, 100%, $E$13) + CHOOSE(CONTROL!$C$28, 0, 0)</f>
        <v>331.9034196257</v>
      </c>
    </row>
    <row r="834" spans="1:5" ht="15">
      <c r="A834" s="13">
        <v>66900</v>
      </c>
      <c r="B834" s="4">
        <f>48.5925 * CHOOSE(CONTROL!$C$9, $C$13, 100%, $E$13) + CHOOSE(CONTROL!$C$28, 0.0003, 0)</f>
        <v>48.592800000000004</v>
      </c>
      <c r="C834" s="4">
        <f>48.2293 * CHOOSE(CONTROL!$C$9, $C$13, 100%, $E$13) + CHOOSE(CONTROL!$C$28, 0.0003, 0)</f>
        <v>48.229600000000005</v>
      </c>
      <c r="D834" s="4">
        <f>72.7316 * CHOOSE(CONTROL!$C$9, $C$13, 100%, $E$13) + CHOOSE(CONTROL!$C$28, 0, 0)</f>
        <v>72.7316</v>
      </c>
      <c r="E834" s="4">
        <f>339.784114808934 * CHOOSE(CONTROL!$C$9, $C$13, 100%, $E$13) + CHOOSE(CONTROL!$C$28, 0, 0)</f>
        <v>339.78411480893402</v>
      </c>
    </row>
    <row r="835" spans="1:5" ht="15">
      <c r="A835" s="13">
        <v>66931</v>
      </c>
      <c r="B835" s="4">
        <f>51.505 * CHOOSE(CONTROL!$C$9, $C$13, 100%, $E$13) + CHOOSE(CONTROL!$C$28, 0.0003, 0)</f>
        <v>51.505300000000005</v>
      </c>
      <c r="C835" s="4">
        <f>51.1418 * CHOOSE(CONTROL!$C$9, $C$13, 100%, $E$13) + CHOOSE(CONTROL!$C$28, 0.0003, 0)</f>
        <v>51.142100000000006</v>
      </c>
      <c r="D835" s="4">
        <f>76.5142 * CHOOSE(CONTROL!$C$9, $C$13, 100%, $E$13) + CHOOSE(CONTROL!$C$28, 0, 0)</f>
        <v>76.514200000000002</v>
      </c>
      <c r="E835" s="4">
        <f>360.479239165683 * CHOOSE(CONTROL!$C$9, $C$13, 100%, $E$13) + CHOOSE(CONTROL!$C$28, 0, 0)</f>
        <v>360.479239165683</v>
      </c>
    </row>
    <row r="836" spans="1:5" ht="15">
      <c r="A836" s="13">
        <v>66961</v>
      </c>
      <c r="B836" s="4">
        <f>53.5744 * CHOOSE(CONTROL!$C$9, $C$13, 100%, $E$13) + CHOOSE(CONTROL!$C$28, 0.0003, 0)</f>
        <v>53.5747</v>
      </c>
      <c r="C836" s="4">
        <f>53.2111 * CHOOSE(CONTROL!$C$9, $C$13, 100%, $E$13) + CHOOSE(CONTROL!$C$28, 0.0003, 0)</f>
        <v>53.211400000000005</v>
      </c>
      <c r="D836" s="4">
        <f>78.6931 * CHOOSE(CONTROL!$C$9, $C$13, 100%, $E$13) + CHOOSE(CONTROL!$C$28, 0, 0)</f>
        <v>78.693100000000001</v>
      </c>
      <c r="E836" s="4">
        <f>375.183400819948 * CHOOSE(CONTROL!$C$9, $C$13, 100%, $E$13) + CHOOSE(CONTROL!$C$28, 0, 0)</f>
        <v>375.18340081994802</v>
      </c>
    </row>
    <row r="837" spans="1:5" ht="15">
      <c r="A837" s="13">
        <v>66992</v>
      </c>
      <c r="B837" s="4">
        <f>54.8387 * CHOOSE(CONTROL!$C$9, $C$13, 100%, $E$13) + CHOOSE(CONTROL!$C$28, 0.0136, 0)</f>
        <v>54.8523</v>
      </c>
      <c r="C837" s="4">
        <f>54.4755 * CHOOSE(CONTROL!$C$9, $C$13, 100%, $E$13) + CHOOSE(CONTROL!$C$28, 0.0136, 0)</f>
        <v>54.489099999999993</v>
      </c>
      <c r="D837" s="4">
        <f>77.8321 * CHOOSE(CONTROL!$C$9, $C$13, 100%, $E$13) + CHOOSE(CONTROL!$C$28, 0, 0)</f>
        <v>77.832099999999997</v>
      </c>
      <c r="E837" s="4">
        <f>384.167291181133 * CHOOSE(CONTROL!$C$9, $C$13, 100%, $E$13) + CHOOSE(CONTROL!$C$28, 0, 0)</f>
        <v>384.16729118113301</v>
      </c>
    </row>
    <row r="838" spans="1:5" ht="15">
      <c r="A838" s="13">
        <v>67022</v>
      </c>
      <c r="B838" s="4">
        <f>55.0098 * CHOOSE(CONTROL!$C$9, $C$13, 100%, $E$13) + CHOOSE(CONTROL!$C$28, 0.0136, 0)</f>
        <v>55.023399999999995</v>
      </c>
      <c r="C838" s="4">
        <f>54.6465 * CHOOSE(CONTROL!$C$9, $C$13, 100%, $E$13) + CHOOSE(CONTROL!$C$28, 0.0136, 0)</f>
        <v>54.6601</v>
      </c>
      <c r="D838" s="4">
        <f>78.5333 * CHOOSE(CONTROL!$C$9, $C$13, 100%, $E$13) + CHOOSE(CONTROL!$C$28, 0, 0)</f>
        <v>78.533299999999997</v>
      </c>
      <c r="E838" s="4">
        <f>385.382848830912 * CHOOSE(CONTROL!$C$9, $C$13, 100%, $E$13) + CHOOSE(CONTROL!$C$28, 0, 0)</f>
        <v>385.382848830912</v>
      </c>
    </row>
    <row r="839" spans="1:5" ht="15">
      <c r="A839" s="13">
        <v>67053</v>
      </c>
      <c r="B839" s="4">
        <f>54.9926 * CHOOSE(CONTROL!$C$9, $C$13, 100%, $E$13) + CHOOSE(CONTROL!$C$28, 0.0136, 0)</f>
        <v>55.0062</v>
      </c>
      <c r="C839" s="4">
        <f>54.6293 * CHOOSE(CONTROL!$C$9, $C$13, 100%, $E$13) + CHOOSE(CONTROL!$C$28, 0.0136, 0)</f>
        <v>54.642899999999997</v>
      </c>
      <c r="D839" s="4">
        <f>79.7985 * CHOOSE(CONTROL!$C$9, $C$13, 100%, $E$13) + CHOOSE(CONTROL!$C$28, 0, 0)</f>
        <v>79.798500000000004</v>
      </c>
      <c r="E839" s="4">
        <f>385.260271588917 * CHOOSE(CONTROL!$C$9, $C$13, 100%, $E$13) + CHOOSE(CONTROL!$C$28, 0, 0)</f>
        <v>385.26027158891702</v>
      </c>
    </row>
    <row r="840" spans="1:5" ht="15">
      <c r="A840" s="13">
        <v>67084</v>
      </c>
      <c r="B840" s="4">
        <f>56.2907 * CHOOSE(CONTROL!$C$9, $C$13, 100%, $E$13) + CHOOSE(CONTROL!$C$28, 0.0136, 0)</f>
        <v>56.304299999999998</v>
      </c>
      <c r="C840" s="4">
        <f>55.9274 * CHOOSE(CONTROL!$C$9, $C$13, 100%, $E$13) + CHOOSE(CONTROL!$C$28, 0.0136, 0)</f>
        <v>55.940999999999995</v>
      </c>
      <c r="D840" s="4">
        <f>78.963 * CHOOSE(CONTROL!$C$9, $C$13, 100%, $E$13) + CHOOSE(CONTROL!$C$28, 0, 0)</f>
        <v>78.962999999999994</v>
      </c>
      <c r="E840" s="4">
        <f>394.484209049008 * CHOOSE(CONTROL!$C$9, $C$13, 100%, $E$13) + CHOOSE(CONTROL!$C$28, 0, 0)</f>
        <v>394.48420904900797</v>
      </c>
    </row>
    <row r="841" spans="1:5" ht="15">
      <c r="A841" s="13">
        <v>67114</v>
      </c>
      <c r="B841" s="4">
        <f>54.0783 * CHOOSE(CONTROL!$C$9, $C$13, 100%, $E$13) + CHOOSE(CONTROL!$C$28, 0.0136, 0)</f>
        <v>54.091899999999995</v>
      </c>
      <c r="C841" s="4">
        <f>53.715 * CHOOSE(CONTROL!$C$9, $C$13, 100%, $E$13) + CHOOSE(CONTROL!$C$28, 0.0136, 0)</f>
        <v>53.7286</v>
      </c>
      <c r="D841" s="4">
        <f>78.5682 * CHOOSE(CONTROL!$C$9, $C$13, 100%, $E$13) + CHOOSE(CONTROL!$C$28, 0, 0)</f>
        <v>78.568200000000004</v>
      </c>
      <c r="E841" s="4">
        <f>378.763677763206 * CHOOSE(CONTROL!$C$9, $C$13, 100%, $E$13) + CHOOSE(CONTROL!$C$28, 0, 0)</f>
        <v>378.76367776320598</v>
      </c>
    </row>
    <row r="842" spans="1:5" ht="15">
      <c r="A842" s="13">
        <v>67145</v>
      </c>
      <c r="B842" s="4">
        <f>52.3072 * CHOOSE(CONTROL!$C$9, $C$13, 100%, $E$13) + CHOOSE(CONTROL!$C$28, 0.0003, 0)</f>
        <v>52.307500000000005</v>
      </c>
      <c r="C842" s="4">
        <f>51.9439 * CHOOSE(CONTROL!$C$9, $C$13, 100%, $E$13) + CHOOSE(CONTROL!$C$28, 0.0003, 0)</f>
        <v>51.944200000000002</v>
      </c>
      <c r="D842" s="4">
        <f>77.5111 * CHOOSE(CONTROL!$C$9, $C$13, 100%, $E$13) + CHOOSE(CONTROL!$C$28, 0, 0)</f>
        <v>77.511099999999999</v>
      </c>
      <c r="E842" s="4">
        <f>366.17908091843 * CHOOSE(CONTROL!$C$9, $C$13, 100%, $E$13) + CHOOSE(CONTROL!$C$28, 0, 0)</f>
        <v>366.17908091842997</v>
      </c>
    </row>
    <row r="843" spans="1:5" ht="15">
      <c r="A843" s="13">
        <v>67175</v>
      </c>
      <c r="B843" s="4">
        <f>51.1665 * CHOOSE(CONTROL!$C$9, $C$13, 100%, $E$13) + CHOOSE(CONTROL!$C$28, 0.0003, 0)</f>
        <v>51.166800000000002</v>
      </c>
      <c r="C843" s="4">
        <f>50.8032 * CHOOSE(CONTROL!$C$9, $C$13, 100%, $E$13) + CHOOSE(CONTROL!$C$28, 0.0003, 0)</f>
        <v>50.8035</v>
      </c>
      <c r="D843" s="4">
        <f>77.1477 * CHOOSE(CONTROL!$C$9, $C$13, 100%, $E$13) + CHOOSE(CONTROL!$C$28, 0, 0)</f>
        <v>77.1477</v>
      </c>
      <c r="E843" s="4">
        <f>358.07366079154 * CHOOSE(CONTROL!$C$9, $C$13, 100%, $E$13) + CHOOSE(CONTROL!$C$28, 0, 0)</f>
        <v>358.07366079154002</v>
      </c>
    </row>
    <row r="844" spans="1:5" ht="15">
      <c r="A844" s="13">
        <v>67206</v>
      </c>
      <c r="B844" s="4">
        <f>50.3773 * CHOOSE(CONTROL!$C$9, $C$13, 100%, $E$13) + CHOOSE(CONTROL!$C$28, 0.0003, 0)</f>
        <v>50.377600000000001</v>
      </c>
      <c r="C844" s="4">
        <f>50.014 * CHOOSE(CONTROL!$C$9, $C$13, 100%, $E$13) + CHOOSE(CONTROL!$C$28, 0.0003, 0)</f>
        <v>50.014300000000006</v>
      </c>
      <c r="D844" s="4">
        <f>74.4722 * CHOOSE(CONTROL!$C$9, $C$13, 100%, $E$13) + CHOOSE(CONTROL!$C$28, 0, 0)</f>
        <v>74.472200000000001</v>
      </c>
      <c r="E844" s="4">
        <f>352.465751970288 * CHOOSE(CONTROL!$C$9, $C$13, 100%, $E$13) + CHOOSE(CONTROL!$C$28, 0, 0)</f>
        <v>352.46575197028801</v>
      </c>
    </row>
    <row r="845" spans="1:5" ht="15">
      <c r="A845" s="13">
        <v>67237</v>
      </c>
      <c r="B845" s="4">
        <f>48.218 * CHOOSE(CONTROL!$C$9, $C$13, 100%, $E$13) + CHOOSE(CONTROL!$C$28, 0.0003, 0)</f>
        <v>48.218300000000006</v>
      </c>
      <c r="C845" s="4">
        <f>47.8547 * CHOOSE(CONTROL!$C$9, $C$13, 100%, $E$13) + CHOOSE(CONTROL!$C$28, 0.0003, 0)</f>
        <v>47.855000000000004</v>
      </c>
      <c r="D845" s="4">
        <f>71.5249 * CHOOSE(CONTROL!$C$9, $C$13, 100%, $E$13) + CHOOSE(CONTROL!$C$28, 0, 0)</f>
        <v>71.524900000000002</v>
      </c>
      <c r="E845" s="4">
        <f>337.784121187822 * CHOOSE(CONTROL!$C$9, $C$13, 100%, $E$13) + CHOOSE(CONTROL!$C$28, 0, 0)</f>
        <v>337.784121187822</v>
      </c>
    </row>
    <row r="846" spans="1:5" ht="15">
      <c r="A846" s="13">
        <v>67266</v>
      </c>
      <c r="B846" s="4">
        <f>49.3445 * CHOOSE(CONTROL!$C$9, $C$13, 100%, $E$13) + CHOOSE(CONTROL!$C$28, 0.0003, 0)</f>
        <v>49.344799999999999</v>
      </c>
      <c r="C846" s="4">
        <f>48.9812 * CHOOSE(CONTROL!$C$9, $C$13, 100%, $E$13) + CHOOSE(CONTROL!$C$28, 0.0003, 0)</f>
        <v>48.981500000000004</v>
      </c>
      <c r="D846" s="4">
        <f>73.9839 * CHOOSE(CONTROL!$C$9, $C$13, 100%, $E$13) + CHOOSE(CONTROL!$C$28, 0, 0)</f>
        <v>73.983900000000006</v>
      </c>
      <c r="E846" s="4">
        <f>345.804447401453 * CHOOSE(CONTROL!$C$9, $C$13, 100%, $E$13) + CHOOSE(CONTROL!$C$28, 0, 0)</f>
        <v>345.80444740145299</v>
      </c>
    </row>
    <row r="847" spans="1:5" ht="15">
      <c r="A847" s="13">
        <v>67297</v>
      </c>
      <c r="B847" s="4">
        <f>52.3028 * CHOOSE(CONTROL!$C$9, $C$13, 100%, $E$13) + CHOOSE(CONTROL!$C$28, 0.0003, 0)</f>
        <v>52.303100000000001</v>
      </c>
      <c r="C847" s="4">
        <f>51.9395 * CHOOSE(CONTROL!$C$9, $C$13, 100%, $E$13) + CHOOSE(CONTROL!$C$28, 0.0003, 0)</f>
        <v>51.939800000000005</v>
      </c>
      <c r="D847" s="4">
        <f>77.8333 * CHOOSE(CONTROL!$C$9, $C$13, 100%, $E$13) + CHOOSE(CONTROL!$C$28, 0, 0)</f>
        <v>77.833299999999994</v>
      </c>
      <c r="E847" s="4">
        <f>366.866250264468 * CHOOSE(CONTROL!$C$9, $C$13, 100%, $E$13) + CHOOSE(CONTROL!$C$28, 0, 0)</f>
        <v>366.86625026446802</v>
      </c>
    </row>
    <row r="848" spans="1:5" ht="15">
      <c r="A848" s="13">
        <v>67327</v>
      </c>
      <c r="B848" s="4">
        <f>54.4047 * CHOOSE(CONTROL!$C$9, $C$13, 100%, $E$13) + CHOOSE(CONTROL!$C$28, 0.0003, 0)</f>
        <v>54.405000000000001</v>
      </c>
      <c r="C848" s="4">
        <f>54.0414 * CHOOSE(CONTROL!$C$9, $C$13, 100%, $E$13) + CHOOSE(CONTROL!$C$28, 0.0003, 0)</f>
        <v>54.041700000000006</v>
      </c>
      <c r="D848" s="4">
        <f>80.0507 * CHOOSE(CONTROL!$C$9, $C$13, 100%, $E$13) + CHOOSE(CONTROL!$C$28, 0, 0)</f>
        <v>80.050700000000006</v>
      </c>
      <c r="E848" s="4">
        <f>381.830941884069 * CHOOSE(CONTROL!$C$9, $C$13, 100%, $E$13) + CHOOSE(CONTROL!$C$28, 0, 0)</f>
        <v>381.83094188406898</v>
      </c>
    </row>
    <row r="849" spans="1:5" ht="15">
      <c r="A849" s="13">
        <v>67358</v>
      </c>
      <c r="B849" s="4">
        <f>55.6889 * CHOOSE(CONTROL!$C$9, $C$13, 100%, $E$13) + CHOOSE(CONTROL!$C$28, 0.0136, 0)</f>
        <v>55.702499999999993</v>
      </c>
      <c r="C849" s="4">
        <f>55.3256 * CHOOSE(CONTROL!$C$9, $C$13, 100%, $E$13) + CHOOSE(CONTROL!$C$28, 0.0136, 0)</f>
        <v>55.339199999999998</v>
      </c>
      <c r="D849" s="4">
        <f>79.1745 * CHOOSE(CONTROL!$C$9, $C$13, 100%, $E$13) + CHOOSE(CONTROL!$C$28, 0, 0)</f>
        <v>79.174499999999995</v>
      </c>
      <c r="E849" s="4">
        <f>390.974009810042 * CHOOSE(CONTROL!$C$9, $C$13, 100%, $E$13) + CHOOSE(CONTROL!$C$28, 0, 0)</f>
        <v>390.97400981004199</v>
      </c>
    </row>
    <row r="850" spans="1:5" ht="15">
      <c r="A850" s="13">
        <v>67388</v>
      </c>
      <c r="B850" s="4">
        <f>55.8627 * CHOOSE(CONTROL!$C$9, $C$13, 100%, $E$13) + CHOOSE(CONTROL!$C$28, 0.0136, 0)</f>
        <v>55.876299999999993</v>
      </c>
      <c r="C850" s="4">
        <f>55.4994 * CHOOSE(CONTROL!$C$9, $C$13, 100%, $E$13) + CHOOSE(CONTROL!$C$28, 0.0136, 0)</f>
        <v>55.512999999999998</v>
      </c>
      <c r="D850" s="4">
        <f>79.8881 * CHOOSE(CONTROL!$C$9, $C$13, 100%, $E$13) + CHOOSE(CONTROL!$C$28, 0, 0)</f>
        <v>79.888099999999994</v>
      </c>
      <c r="E850" s="4">
        <f>392.211104844938 * CHOOSE(CONTROL!$C$9, $C$13, 100%, $E$13) + CHOOSE(CONTROL!$C$28, 0, 0)</f>
        <v>392.21110484493801</v>
      </c>
    </row>
    <row r="851" spans="1:5" ht="15">
      <c r="A851" s="13">
        <v>67419</v>
      </c>
      <c r="B851" s="4">
        <f>55.8452 * CHOOSE(CONTROL!$C$9, $C$13, 100%, $E$13) + CHOOSE(CONTROL!$C$28, 0.0136, 0)</f>
        <v>55.858799999999995</v>
      </c>
      <c r="C851" s="4">
        <f>55.4819 * CHOOSE(CONTROL!$C$9, $C$13, 100%, $E$13) + CHOOSE(CONTROL!$C$28, 0.0136, 0)</f>
        <v>55.4955</v>
      </c>
      <c r="D851" s="4">
        <f>81.1757 * CHOOSE(CONTROL!$C$9, $C$13, 100%, $E$13) + CHOOSE(CONTROL!$C$28, 0, 0)</f>
        <v>81.175700000000006</v>
      </c>
      <c r="E851" s="4">
        <f>392.086355765789 * CHOOSE(CONTROL!$C$9, $C$13, 100%, $E$13) + CHOOSE(CONTROL!$C$28, 0, 0)</f>
        <v>392.08635576578899</v>
      </c>
    </row>
    <row r="852" spans="1:5" ht="15">
      <c r="A852" s="13">
        <v>67450</v>
      </c>
      <c r="B852" s="4">
        <f>57.1637 * CHOOSE(CONTROL!$C$9, $C$13, 100%, $E$13) + CHOOSE(CONTROL!$C$28, 0.0136, 0)</f>
        <v>57.177299999999995</v>
      </c>
      <c r="C852" s="4">
        <f>56.8004 * CHOOSE(CONTROL!$C$9, $C$13, 100%, $E$13) + CHOOSE(CONTROL!$C$28, 0.0136, 0)</f>
        <v>56.814</v>
      </c>
      <c r="D852" s="4">
        <f>80.3254 * CHOOSE(CONTROL!$C$9, $C$13, 100%, $E$13) + CHOOSE(CONTROL!$C$28, 0, 0)</f>
        <v>80.325400000000002</v>
      </c>
      <c r="E852" s="4">
        <f>401.473723971763 * CHOOSE(CONTROL!$C$9, $C$13, 100%, $E$13) + CHOOSE(CONTROL!$C$28, 0, 0)</f>
        <v>401.47372397176298</v>
      </c>
    </row>
    <row r="853" spans="1:5" ht="15">
      <c r="A853" s="13">
        <v>67480</v>
      </c>
      <c r="B853" s="4">
        <f>54.9165 * CHOOSE(CONTROL!$C$9, $C$13, 100%, $E$13) + CHOOSE(CONTROL!$C$28, 0.0136, 0)</f>
        <v>54.930099999999996</v>
      </c>
      <c r="C853" s="4">
        <f>54.5532 * CHOOSE(CONTROL!$C$9, $C$13, 100%, $E$13) + CHOOSE(CONTROL!$C$28, 0.0136, 0)</f>
        <v>54.566799999999994</v>
      </c>
      <c r="D853" s="4">
        <f>79.9236 * CHOOSE(CONTROL!$C$9, $C$13, 100%, $E$13) + CHOOSE(CONTROL!$C$28, 0, 0)</f>
        <v>79.923599999999993</v>
      </c>
      <c r="E853" s="4">
        <f>385.474654570884 * CHOOSE(CONTROL!$C$9, $C$13, 100%, $E$13) + CHOOSE(CONTROL!$C$28, 0, 0)</f>
        <v>385.47465457088401</v>
      </c>
    </row>
    <row r="854" spans="1:5" ht="15">
      <c r="A854" s="13">
        <v>67511</v>
      </c>
      <c r="B854" s="4">
        <f>53.1176 * CHOOSE(CONTROL!$C$9, $C$13, 100%, $E$13) + CHOOSE(CONTROL!$C$28, 0.0003, 0)</f>
        <v>53.117900000000006</v>
      </c>
      <c r="C854" s="4">
        <f>52.7543 * CHOOSE(CONTROL!$C$9, $C$13, 100%, $E$13) + CHOOSE(CONTROL!$C$28, 0.0003, 0)</f>
        <v>52.754600000000003</v>
      </c>
      <c r="D854" s="4">
        <f>78.8479 * CHOOSE(CONTROL!$C$9, $C$13, 100%, $E$13) + CHOOSE(CONTROL!$C$28, 0, 0)</f>
        <v>78.847899999999996</v>
      </c>
      <c r="E854" s="4">
        <f>372.667082444904 * CHOOSE(CONTROL!$C$9, $C$13, 100%, $E$13) + CHOOSE(CONTROL!$C$28, 0, 0)</f>
        <v>372.667082444904</v>
      </c>
    </row>
    <row r="855" spans="1:5" ht="15">
      <c r="A855" s="13">
        <v>67541</v>
      </c>
      <c r="B855" s="4">
        <f>51.9589 * CHOOSE(CONTROL!$C$9, $C$13, 100%, $E$13) + CHOOSE(CONTROL!$C$28, 0.0003, 0)</f>
        <v>51.959200000000003</v>
      </c>
      <c r="C855" s="4">
        <f>51.5956 * CHOOSE(CONTROL!$C$9, $C$13, 100%, $E$13) + CHOOSE(CONTROL!$C$28, 0.0003, 0)</f>
        <v>51.5959</v>
      </c>
      <c r="D855" s="4">
        <f>78.478 * CHOOSE(CONTROL!$C$9, $C$13, 100%, $E$13) + CHOOSE(CONTROL!$C$28, 0, 0)</f>
        <v>78.477999999999994</v>
      </c>
      <c r="E855" s="4">
        <f>364.418049586166 * CHOOSE(CONTROL!$C$9, $C$13, 100%, $E$13) + CHOOSE(CONTROL!$C$28, 0, 0)</f>
        <v>364.41804958616598</v>
      </c>
    </row>
    <row r="856" spans="1:5" ht="15">
      <c r="A856" s="13">
        <v>67572</v>
      </c>
      <c r="B856" s="4">
        <f>51.1573 * CHOOSE(CONTROL!$C$9, $C$13, 100%, $E$13) + CHOOSE(CONTROL!$C$28, 0.0003, 0)</f>
        <v>51.157600000000002</v>
      </c>
      <c r="C856" s="4">
        <f>50.794 * CHOOSE(CONTROL!$C$9, $C$13, 100%, $E$13) + CHOOSE(CONTROL!$C$28, 0.0003, 0)</f>
        <v>50.7943</v>
      </c>
      <c r="D856" s="4">
        <f>75.7552 * CHOOSE(CONTROL!$C$9, $C$13, 100%, $E$13) + CHOOSE(CONTROL!$C$28, 0, 0)</f>
        <v>75.755200000000002</v>
      </c>
      <c r="E856" s="4">
        <f>358.710779215092 * CHOOSE(CONTROL!$C$9, $C$13, 100%, $E$13) + CHOOSE(CONTROL!$C$28, 0, 0)</f>
        <v>358.71077921509197</v>
      </c>
    </row>
    <row r="857" spans="1:5" ht="15">
      <c r="A857" s="13">
        <v>67603</v>
      </c>
      <c r="B857" s="4">
        <f>48.964 * CHOOSE(CONTROL!$C$9, $C$13, 100%, $E$13) + CHOOSE(CONTROL!$C$28, 0.0003, 0)</f>
        <v>48.964300000000001</v>
      </c>
      <c r="C857" s="4">
        <f>48.6007 * CHOOSE(CONTROL!$C$9, $C$13, 100%, $E$13) + CHOOSE(CONTROL!$C$28, 0.0003, 0)</f>
        <v>48.601000000000006</v>
      </c>
      <c r="D857" s="4">
        <f>72.7559 * CHOOSE(CONTROL!$C$9, $C$13, 100%, $E$13) + CHOOSE(CONTROL!$C$28, 0, 0)</f>
        <v>72.755899999999997</v>
      </c>
      <c r="E857" s="4">
        <f>343.769017671773 * CHOOSE(CONTROL!$C$9, $C$13, 100%, $E$13) + CHOOSE(CONTROL!$C$28, 0, 0)</f>
        <v>343.76901767177299</v>
      </c>
    </row>
    <row r="858" spans="1:5" ht="15">
      <c r="A858" s="13">
        <v>67631</v>
      </c>
      <c r="B858" s="4">
        <f>50.1083 * CHOOSE(CONTROL!$C$9, $C$13, 100%, $E$13) + CHOOSE(CONTROL!$C$28, 0.0003, 0)</f>
        <v>50.108600000000003</v>
      </c>
      <c r="C858" s="4">
        <f>49.745 * CHOOSE(CONTROL!$C$9, $C$13, 100%, $E$13) + CHOOSE(CONTROL!$C$28, 0.0003, 0)</f>
        <v>49.7453</v>
      </c>
      <c r="D858" s="4">
        <f>75.2584 * CHOOSE(CONTROL!$C$9, $C$13, 100%, $E$13) + CHOOSE(CONTROL!$C$28, 0, 0)</f>
        <v>75.258399999999995</v>
      </c>
      <c r="E858" s="4">
        <f>351.931448913868 * CHOOSE(CONTROL!$C$9, $C$13, 100%, $E$13) + CHOOSE(CONTROL!$C$28, 0, 0)</f>
        <v>351.931448913868</v>
      </c>
    </row>
    <row r="859" spans="1:5" ht="15">
      <c r="A859" s="13">
        <v>67662</v>
      </c>
      <c r="B859" s="4">
        <f>53.1131 * CHOOSE(CONTROL!$C$9, $C$13, 100%, $E$13) + CHOOSE(CONTROL!$C$28, 0.0003, 0)</f>
        <v>53.113400000000006</v>
      </c>
      <c r="C859" s="4">
        <f>52.7498 * CHOOSE(CONTROL!$C$9, $C$13, 100%, $E$13) + CHOOSE(CONTROL!$C$28, 0.0003, 0)</f>
        <v>52.750100000000003</v>
      </c>
      <c r="D859" s="4">
        <f>79.1758 * CHOOSE(CONTROL!$C$9, $C$13, 100%, $E$13) + CHOOSE(CONTROL!$C$28, 0, 0)</f>
        <v>79.175799999999995</v>
      </c>
      <c r="E859" s="4">
        <f>373.36642713355 * CHOOSE(CONTROL!$C$9, $C$13, 100%, $E$13) + CHOOSE(CONTROL!$C$28, 0, 0)</f>
        <v>373.36642713355002</v>
      </c>
    </row>
    <row r="860" spans="1:5" ht="15">
      <c r="A860" s="13">
        <v>67692</v>
      </c>
      <c r="B860" s="4">
        <f>55.248 * CHOOSE(CONTROL!$C$9, $C$13, 100%, $E$13) + CHOOSE(CONTROL!$C$28, 0.0003, 0)</f>
        <v>55.2483</v>
      </c>
      <c r="C860" s="4">
        <f>54.8848 * CHOOSE(CONTROL!$C$9, $C$13, 100%, $E$13) + CHOOSE(CONTROL!$C$28, 0.0003, 0)</f>
        <v>54.885100000000001</v>
      </c>
      <c r="D860" s="4">
        <f>81.4324 * CHOOSE(CONTROL!$C$9, $C$13, 100%, $E$13) + CHOOSE(CONTROL!$C$28, 0, 0)</f>
        <v>81.432400000000001</v>
      </c>
      <c r="E860" s="4">
        <f>388.596264817278 * CHOOSE(CONTROL!$C$9, $C$13, 100%, $E$13) + CHOOSE(CONTROL!$C$28, 0, 0)</f>
        <v>388.59626481727798</v>
      </c>
    </row>
    <row r="861" spans="1:5" ht="15">
      <c r="A861" s="13">
        <v>67723</v>
      </c>
      <c r="B861" s="4">
        <f>56.5525 * CHOOSE(CONTROL!$C$9, $C$13, 100%, $E$13) + CHOOSE(CONTROL!$C$28, 0.0136, 0)</f>
        <v>56.566099999999999</v>
      </c>
      <c r="C861" s="4">
        <f>56.1892 * CHOOSE(CONTROL!$C$9, $C$13, 100%, $E$13) + CHOOSE(CONTROL!$C$28, 0.0136, 0)</f>
        <v>56.202799999999996</v>
      </c>
      <c r="D861" s="4">
        <f>80.5407 * CHOOSE(CONTROL!$C$9, $C$13, 100%, $E$13) + CHOOSE(CONTROL!$C$28, 0, 0)</f>
        <v>80.540700000000001</v>
      </c>
      <c r="E861" s="4">
        <f>397.901330633768 * CHOOSE(CONTROL!$C$9, $C$13, 100%, $E$13) + CHOOSE(CONTROL!$C$28, 0, 0)</f>
        <v>397.901330633768</v>
      </c>
    </row>
    <row r="862" spans="1:5" ht="15">
      <c r="A862" s="13">
        <v>67753</v>
      </c>
      <c r="B862" s="4">
        <f>56.729 * CHOOSE(CONTROL!$C$9, $C$13, 100%, $E$13) + CHOOSE(CONTROL!$C$28, 0.0136, 0)</f>
        <v>56.742599999999996</v>
      </c>
      <c r="C862" s="4">
        <f>56.3657 * CHOOSE(CONTROL!$C$9, $C$13, 100%, $E$13) + CHOOSE(CONTROL!$C$28, 0.0136, 0)</f>
        <v>56.379299999999994</v>
      </c>
      <c r="D862" s="4">
        <f>81.2669 * CHOOSE(CONTROL!$C$9, $C$13, 100%, $E$13) + CHOOSE(CONTROL!$C$28, 0, 0)</f>
        <v>81.266900000000007</v>
      </c>
      <c r="E862" s="4">
        <f>399.160344655556 * CHOOSE(CONTROL!$C$9, $C$13, 100%, $E$13) + CHOOSE(CONTROL!$C$28, 0, 0)</f>
        <v>399.160344655556</v>
      </c>
    </row>
    <row r="863" spans="1:5" ht="15">
      <c r="A863" s="13">
        <v>67784</v>
      </c>
      <c r="B863" s="4">
        <f>56.7112 * CHOOSE(CONTROL!$C$9, $C$13, 100%, $E$13) + CHOOSE(CONTROL!$C$28, 0.0136, 0)</f>
        <v>56.724799999999995</v>
      </c>
      <c r="C863" s="4">
        <f>56.3479 * CHOOSE(CONTROL!$C$9, $C$13, 100%, $E$13) + CHOOSE(CONTROL!$C$28, 0.0136, 0)</f>
        <v>56.361499999999999</v>
      </c>
      <c r="D863" s="4">
        <f>82.5773 * CHOOSE(CONTROL!$C$9, $C$13, 100%, $E$13) + CHOOSE(CONTROL!$C$28, 0, 0)</f>
        <v>82.577299999999994</v>
      </c>
      <c r="E863" s="4">
        <f>399.033385258401 * CHOOSE(CONTROL!$C$9, $C$13, 100%, $E$13) + CHOOSE(CONTROL!$C$28, 0, 0)</f>
        <v>399.03338525840098</v>
      </c>
    </row>
    <row r="864" spans="1:5" ht="15">
      <c r="A864" s="13">
        <v>67815</v>
      </c>
      <c r="B864" s="4">
        <f>58.0504 * CHOOSE(CONTROL!$C$9, $C$13, 100%, $E$13) + CHOOSE(CONTROL!$C$28, 0.0136, 0)</f>
        <v>58.064</v>
      </c>
      <c r="C864" s="4">
        <f>57.6871 * CHOOSE(CONTROL!$C$9, $C$13, 100%, $E$13) + CHOOSE(CONTROL!$C$28, 0.0136, 0)</f>
        <v>57.700699999999998</v>
      </c>
      <c r="D864" s="4">
        <f>81.7119 * CHOOSE(CONTROL!$C$9, $C$13, 100%, $E$13) + CHOOSE(CONTROL!$C$28, 0, 0)</f>
        <v>81.7119</v>
      </c>
      <c r="E864" s="4">
        <f>408.587079894321 * CHOOSE(CONTROL!$C$9, $C$13, 100%, $E$13) + CHOOSE(CONTROL!$C$28, 0, 0)</f>
        <v>408.58707989432099</v>
      </c>
    </row>
    <row r="865" spans="1:5" ht="15">
      <c r="A865" s="13">
        <v>67845</v>
      </c>
      <c r="B865" s="4">
        <f>55.7679 * CHOOSE(CONTROL!$C$9, $C$13, 100%, $E$13) + CHOOSE(CONTROL!$C$28, 0.0136, 0)</f>
        <v>55.781499999999994</v>
      </c>
      <c r="C865" s="4">
        <f>55.4046 * CHOOSE(CONTROL!$C$9, $C$13, 100%, $E$13) + CHOOSE(CONTROL!$C$28, 0.0136, 0)</f>
        <v>55.418199999999999</v>
      </c>
      <c r="D865" s="4">
        <f>81.303 * CHOOSE(CONTROL!$C$9, $C$13, 100%, $E$13) + CHOOSE(CONTROL!$C$28, 0, 0)</f>
        <v>81.302999999999997</v>
      </c>
      <c r="E865" s="4">
        <f>392.304537209182 * CHOOSE(CONTROL!$C$9, $C$13, 100%, $E$13) + CHOOSE(CONTROL!$C$28, 0, 0)</f>
        <v>392.304537209182</v>
      </c>
    </row>
    <row r="866" spans="1:5" ht="15">
      <c r="A866" s="13">
        <v>67876</v>
      </c>
      <c r="B866" s="4">
        <f>53.9407 * CHOOSE(CONTROL!$C$9, $C$13, 100%, $E$13) + CHOOSE(CONTROL!$C$28, 0.0003, 0)</f>
        <v>53.941000000000003</v>
      </c>
      <c r="C866" s="4">
        <f>53.5774 * CHOOSE(CONTROL!$C$9, $C$13, 100%, $E$13) + CHOOSE(CONTROL!$C$28, 0.0003, 0)</f>
        <v>53.5777</v>
      </c>
      <c r="D866" s="4">
        <f>80.2083 * CHOOSE(CONTROL!$C$9, $C$13, 100%, $E$13) + CHOOSE(CONTROL!$C$28, 0, 0)</f>
        <v>80.208299999999994</v>
      </c>
      <c r="E866" s="4">
        <f>379.270039101261 * CHOOSE(CONTROL!$C$9, $C$13, 100%, $E$13) + CHOOSE(CONTROL!$C$28, 0, 0)</f>
        <v>379.27003910126098</v>
      </c>
    </row>
    <row r="867" spans="1:5" ht="15">
      <c r="A867" s="13">
        <v>67906</v>
      </c>
      <c r="B867" s="4">
        <f>52.7638 * CHOOSE(CONTROL!$C$9, $C$13, 100%, $E$13) + CHOOSE(CONTROL!$C$28, 0.0003, 0)</f>
        <v>52.764100000000006</v>
      </c>
      <c r="C867" s="4">
        <f>52.4005 * CHOOSE(CONTROL!$C$9, $C$13, 100%, $E$13) + CHOOSE(CONTROL!$C$28, 0.0003, 0)</f>
        <v>52.400800000000004</v>
      </c>
      <c r="D867" s="4">
        <f>79.8319 * CHOOSE(CONTROL!$C$9, $C$13, 100%, $E$13) + CHOOSE(CONTROL!$C$28, 0, 0)</f>
        <v>79.831900000000005</v>
      </c>
      <c r="E867" s="4">
        <f>370.874848964382 * CHOOSE(CONTROL!$C$9, $C$13, 100%, $E$13) + CHOOSE(CONTROL!$C$28, 0, 0)</f>
        <v>370.87484896438201</v>
      </c>
    </row>
    <row r="868" spans="1:5" ht="15">
      <c r="A868" s="13">
        <v>67937</v>
      </c>
      <c r="B868" s="4">
        <f>51.9496 * CHOOSE(CONTROL!$C$9, $C$13, 100%, $E$13) + CHOOSE(CONTROL!$C$28, 0.0003, 0)</f>
        <v>51.9499</v>
      </c>
      <c r="C868" s="4">
        <f>51.5863 * CHOOSE(CONTROL!$C$9, $C$13, 100%, $E$13) + CHOOSE(CONTROL!$C$28, 0.0003, 0)</f>
        <v>51.586600000000004</v>
      </c>
      <c r="D868" s="4">
        <f>77.061 * CHOOSE(CONTROL!$C$9, $C$13, 100%, $E$13) + CHOOSE(CONTROL!$C$28, 0, 0)</f>
        <v>77.061000000000007</v>
      </c>
      <c r="E868" s="4">
        <f>365.066456544537 * CHOOSE(CONTROL!$C$9, $C$13, 100%, $E$13) + CHOOSE(CONTROL!$C$28, 0, 0)</f>
        <v>365.066456544537</v>
      </c>
    </row>
    <row r="869" spans="1:5" ht="15">
      <c r="A869" s="13">
        <v>67968</v>
      </c>
      <c r="B869" s="4">
        <f>49.7218 * CHOOSE(CONTROL!$C$9, $C$13, 100%, $E$13) + CHOOSE(CONTROL!$C$28, 0.0003, 0)</f>
        <v>49.722100000000005</v>
      </c>
      <c r="C869" s="4">
        <f>49.3585 * CHOOSE(CONTROL!$C$9, $C$13, 100%, $E$13) + CHOOSE(CONTROL!$C$28, 0.0003, 0)</f>
        <v>49.358800000000002</v>
      </c>
      <c r="D869" s="4">
        <f>74.0086 * CHOOSE(CONTROL!$C$9, $C$13, 100%, $E$13) + CHOOSE(CONTROL!$C$28, 0, 0)</f>
        <v>74.008600000000001</v>
      </c>
      <c r="E869" s="4">
        <f>349.859955214723 * CHOOSE(CONTROL!$C$9, $C$13, 100%, $E$13) + CHOOSE(CONTROL!$C$28, 0, 0)</f>
        <v>349.85995521472302</v>
      </c>
    </row>
    <row r="870" spans="1:5" ht="15">
      <c r="A870" s="13">
        <v>67996</v>
      </c>
      <c r="B870" s="4">
        <f>50.884 * CHOOSE(CONTROL!$C$9, $C$13, 100%, $E$13) + CHOOSE(CONTROL!$C$28, 0.0003, 0)</f>
        <v>50.884300000000003</v>
      </c>
      <c r="C870" s="4">
        <f>50.5208 * CHOOSE(CONTROL!$C$9, $C$13, 100%, $E$13) + CHOOSE(CONTROL!$C$28, 0.0003, 0)</f>
        <v>50.521100000000004</v>
      </c>
      <c r="D870" s="4">
        <f>76.5553 * CHOOSE(CONTROL!$C$9, $C$13, 100%, $E$13) + CHOOSE(CONTROL!$C$28, 0, 0)</f>
        <v>76.555300000000003</v>
      </c>
      <c r="E870" s="4">
        <f>358.167009317921 * CHOOSE(CONTROL!$C$9, $C$13, 100%, $E$13) + CHOOSE(CONTROL!$C$28, 0, 0)</f>
        <v>358.16700931792099</v>
      </c>
    </row>
    <row r="871" spans="1:5" ht="15">
      <c r="A871" s="13">
        <v>68027</v>
      </c>
      <c r="B871" s="4">
        <f>53.9361 * CHOOSE(CONTROL!$C$9, $C$13, 100%, $E$13) + CHOOSE(CONTROL!$C$28, 0.0003, 0)</f>
        <v>53.936400000000006</v>
      </c>
      <c r="C871" s="4">
        <f>53.5728 * CHOOSE(CONTROL!$C$9, $C$13, 100%, $E$13) + CHOOSE(CONTROL!$C$28, 0.0003, 0)</f>
        <v>53.573100000000004</v>
      </c>
      <c r="D871" s="4">
        <f>80.542 * CHOOSE(CONTROL!$C$9, $C$13, 100%, $E$13) + CHOOSE(CONTROL!$C$28, 0, 0)</f>
        <v>80.542000000000002</v>
      </c>
      <c r="E871" s="4">
        <f>379.981774856584 * CHOOSE(CONTROL!$C$9, $C$13, 100%, $E$13) + CHOOSE(CONTROL!$C$28, 0, 0)</f>
        <v>379.98177485658402</v>
      </c>
    </row>
    <row r="872" spans="1:5" ht="15">
      <c r="A872" s="13">
        <v>68057</v>
      </c>
      <c r="B872" s="4">
        <f>56.1047 * CHOOSE(CONTROL!$C$9, $C$13, 100%, $E$13) + CHOOSE(CONTROL!$C$28, 0.0003, 0)</f>
        <v>56.105000000000004</v>
      </c>
      <c r="C872" s="4">
        <f>55.7414 * CHOOSE(CONTROL!$C$9, $C$13, 100%, $E$13) + CHOOSE(CONTROL!$C$28, 0.0003, 0)</f>
        <v>55.741700000000002</v>
      </c>
      <c r="D872" s="4">
        <f>82.8384 * CHOOSE(CONTROL!$C$9, $C$13, 100%, $E$13) + CHOOSE(CONTROL!$C$28, 0, 0)</f>
        <v>82.838399999999993</v>
      </c>
      <c r="E872" s="4">
        <f>395.48145649178 * CHOOSE(CONTROL!$C$9, $C$13, 100%, $E$13) + CHOOSE(CONTROL!$C$28, 0, 0)</f>
        <v>395.48145649178002</v>
      </c>
    </row>
    <row r="873" spans="1:5" ht="15">
      <c r="A873" s="13">
        <v>68088</v>
      </c>
      <c r="B873" s="4">
        <f>57.4296 * CHOOSE(CONTROL!$C$9, $C$13, 100%, $E$13) + CHOOSE(CONTROL!$C$28, 0.0136, 0)</f>
        <v>57.443199999999997</v>
      </c>
      <c r="C873" s="4">
        <f>57.0663 * CHOOSE(CONTROL!$C$9, $C$13, 100%, $E$13) + CHOOSE(CONTROL!$C$28, 0.0136, 0)</f>
        <v>57.079899999999995</v>
      </c>
      <c r="D873" s="4">
        <f>81.931 * CHOOSE(CONTROL!$C$9, $C$13, 100%, $E$13) + CHOOSE(CONTROL!$C$28, 0, 0)</f>
        <v>81.930999999999997</v>
      </c>
      <c r="E873" s="4">
        <f>404.951390495361 * CHOOSE(CONTROL!$C$9, $C$13, 100%, $E$13) + CHOOSE(CONTROL!$C$28, 0, 0)</f>
        <v>404.95139049536101</v>
      </c>
    </row>
    <row r="874" spans="1:5" ht="15">
      <c r="A874" s="13">
        <v>68118</v>
      </c>
      <c r="B874" s="4">
        <f>57.6088 * CHOOSE(CONTROL!$C$9, $C$13, 100%, $E$13) + CHOOSE(CONTROL!$C$28, 0.0136, 0)</f>
        <v>57.622399999999999</v>
      </c>
      <c r="C874" s="4">
        <f>57.2456 * CHOOSE(CONTROL!$C$9, $C$13, 100%, $E$13) + CHOOSE(CONTROL!$C$28, 0.0136, 0)</f>
        <v>57.2592</v>
      </c>
      <c r="D874" s="4">
        <f>82.67 * CHOOSE(CONTROL!$C$9, $C$13, 100%, $E$13) + CHOOSE(CONTROL!$C$28, 0, 0)</f>
        <v>82.67</v>
      </c>
      <c r="E874" s="4">
        <f>406.232711867079 * CHOOSE(CONTROL!$C$9, $C$13, 100%, $E$13) + CHOOSE(CONTROL!$C$28, 0, 0)</f>
        <v>406.23271186707899</v>
      </c>
    </row>
    <row r="875" spans="1:5" ht="15">
      <c r="A875" s="13">
        <v>68149</v>
      </c>
      <c r="B875" s="4">
        <f>57.5908 * CHOOSE(CONTROL!$C$9, $C$13, 100%, $E$13) + CHOOSE(CONTROL!$C$28, 0.0136, 0)</f>
        <v>57.604399999999998</v>
      </c>
      <c r="C875" s="4">
        <f>57.2275 * CHOOSE(CONTROL!$C$9, $C$13, 100%, $E$13) + CHOOSE(CONTROL!$C$28, 0.0136, 0)</f>
        <v>57.241099999999996</v>
      </c>
      <c r="D875" s="4">
        <f>84.0035 * CHOOSE(CONTROL!$C$9, $C$13, 100%, $E$13) + CHOOSE(CONTROL!$C$28, 0, 0)</f>
        <v>84.003500000000003</v>
      </c>
      <c r="E875" s="4">
        <f>406.103502989259 * CHOOSE(CONTROL!$C$9, $C$13, 100%, $E$13) + CHOOSE(CONTROL!$C$28, 0, 0)</f>
        <v>406.10350298925903</v>
      </c>
    </row>
    <row r="876" spans="1:5" ht="15">
      <c r="A876" s="13">
        <v>68180</v>
      </c>
      <c r="B876" s="4">
        <f>58.9511 * CHOOSE(CONTROL!$C$9, $C$13, 100%, $E$13) + CHOOSE(CONTROL!$C$28, 0.0136, 0)</f>
        <v>58.964699999999993</v>
      </c>
      <c r="C876" s="4">
        <f>58.5878 * CHOOSE(CONTROL!$C$9, $C$13, 100%, $E$13) + CHOOSE(CONTROL!$C$28, 0.0136, 0)</f>
        <v>58.601399999999998</v>
      </c>
      <c r="D876" s="4">
        <f>83.1229 * CHOOSE(CONTROL!$C$9, $C$13, 100%, $E$13) + CHOOSE(CONTROL!$C$28, 0, 0)</f>
        <v>83.122900000000001</v>
      </c>
      <c r="E876" s="4">
        <f>415.826471045238 * CHOOSE(CONTROL!$C$9, $C$13, 100%, $E$13) + CHOOSE(CONTROL!$C$28, 0, 0)</f>
        <v>415.82647104523801</v>
      </c>
    </row>
    <row r="877" spans="1:5" ht="15">
      <c r="A877" s="13">
        <v>68210</v>
      </c>
      <c r="B877" s="4">
        <f>56.6327 * CHOOSE(CONTROL!$C$9, $C$13, 100%, $E$13) + CHOOSE(CONTROL!$C$28, 0.0136, 0)</f>
        <v>56.646299999999997</v>
      </c>
      <c r="C877" s="4">
        <f>56.2694 * CHOOSE(CONTROL!$C$9, $C$13, 100%, $E$13) + CHOOSE(CONTROL!$C$28, 0.0136, 0)</f>
        <v>56.282999999999994</v>
      </c>
      <c r="D877" s="4">
        <f>82.7068 * CHOOSE(CONTROL!$C$9, $C$13, 100%, $E$13) + CHOOSE(CONTROL!$C$28, 0, 0)</f>
        <v>82.706800000000001</v>
      </c>
      <c r="E877" s="4">
        <f>399.255432464782 * CHOOSE(CONTROL!$C$9, $C$13, 100%, $E$13) + CHOOSE(CONTROL!$C$28, 0, 0)</f>
        <v>399.25543246478202</v>
      </c>
    </row>
    <row r="878" spans="1:5" ht="15">
      <c r="A878" s="13">
        <v>68241</v>
      </c>
      <c r="B878" s="4">
        <f>54.7767 * CHOOSE(CONTROL!$C$9, $C$13, 100%, $E$13) + CHOOSE(CONTROL!$C$28, 0.0003, 0)</f>
        <v>54.777000000000001</v>
      </c>
      <c r="C878" s="4">
        <f>54.4134 * CHOOSE(CONTROL!$C$9, $C$13, 100%, $E$13) + CHOOSE(CONTROL!$C$28, 0.0003, 0)</f>
        <v>54.413700000000006</v>
      </c>
      <c r="D878" s="4">
        <f>81.5927 * CHOOSE(CONTROL!$C$9, $C$13, 100%, $E$13) + CHOOSE(CONTROL!$C$28, 0, 0)</f>
        <v>81.592699999999994</v>
      </c>
      <c r="E878" s="4">
        <f>385.989987675229 * CHOOSE(CONTROL!$C$9, $C$13, 100%, $E$13) + CHOOSE(CONTROL!$C$28, 0, 0)</f>
        <v>385.98998767522897</v>
      </c>
    </row>
    <row r="879" spans="1:5" ht="15">
      <c r="A879" s="13">
        <v>68271</v>
      </c>
      <c r="B879" s="4">
        <f>53.5813 * CHOOSE(CONTROL!$C$9, $C$13, 100%, $E$13) + CHOOSE(CONTROL!$C$28, 0.0003, 0)</f>
        <v>53.581600000000002</v>
      </c>
      <c r="C879" s="4">
        <f>53.2181 * CHOOSE(CONTROL!$C$9, $C$13, 100%, $E$13) + CHOOSE(CONTROL!$C$28, 0.0003, 0)</f>
        <v>53.218400000000003</v>
      </c>
      <c r="D879" s="4">
        <f>81.2097 * CHOOSE(CONTROL!$C$9, $C$13, 100%, $E$13) + CHOOSE(CONTROL!$C$28, 0, 0)</f>
        <v>81.209699999999998</v>
      </c>
      <c r="E879" s="4">
        <f>377.446050629361 * CHOOSE(CONTROL!$C$9, $C$13, 100%, $E$13) + CHOOSE(CONTROL!$C$28, 0, 0)</f>
        <v>377.44605062936103</v>
      </c>
    </row>
    <row r="880" spans="1:5" ht="15">
      <c r="A880" s="13">
        <v>68302</v>
      </c>
      <c r="B880" s="4">
        <f>52.7543 * CHOOSE(CONTROL!$C$9, $C$13, 100%, $E$13) + CHOOSE(CONTROL!$C$28, 0.0003, 0)</f>
        <v>52.754600000000003</v>
      </c>
      <c r="C880" s="4">
        <f>52.391 * CHOOSE(CONTROL!$C$9, $C$13, 100%, $E$13) + CHOOSE(CONTROL!$C$28, 0.0003, 0)</f>
        <v>52.391300000000001</v>
      </c>
      <c r="D880" s="4">
        <f>78.3898 * CHOOSE(CONTROL!$C$9, $C$13, 100%, $E$13) + CHOOSE(CONTROL!$C$28, 0, 0)</f>
        <v>78.389799999999994</v>
      </c>
      <c r="E880" s="4">
        <f>371.534744469081 * CHOOSE(CONTROL!$C$9, $C$13, 100%, $E$13) + CHOOSE(CONTROL!$C$28, 0, 0)</f>
        <v>371.53474446908098</v>
      </c>
    </row>
    <row r="881" spans="1:5" ht="15">
      <c r="A881" s="13">
        <v>68333</v>
      </c>
      <c r="B881" s="4">
        <f>50.4915 * CHOOSE(CONTROL!$C$9, $C$13, 100%, $E$13) + CHOOSE(CONTROL!$C$28, 0.0003, 0)</f>
        <v>50.491800000000005</v>
      </c>
      <c r="C881" s="4">
        <f>50.1282 * CHOOSE(CONTROL!$C$9, $C$13, 100%, $E$13) + CHOOSE(CONTROL!$C$28, 0.0003, 0)</f>
        <v>50.128500000000003</v>
      </c>
      <c r="D881" s="4">
        <f>75.2835 * CHOOSE(CONTROL!$C$9, $C$13, 100%, $E$13) + CHOOSE(CONTROL!$C$28, 0, 0)</f>
        <v>75.283500000000004</v>
      </c>
      <c r="E881" s="4">
        <f>356.058812663903 * CHOOSE(CONTROL!$C$9, $C$13, 100%, $E$13) + CHOOSE(CONTROL!$C$28, 0, 0)</f>
        <v>356.05881266390298</v>
      </c>
    </row>
    <row r="882" spans="1:5" ht="15">
      <c r="A882" s="13">
        <v>68361</v>
      </c>
      <c r="B882" s="4">
        <f>51.672 * CHOOSE(CONTROL!$C$9, $C$13, 100%, $E$13) + CHOOSE(CONTROL!$C$28, 0.0003, 0)</f>
        <v>51.6723</v>
      </c>
      <c r="C882" s="4">
        <f>51.3088 * CHOOSE(CONTROL!$C$9, $C$13, 100%, $E$13) + CHOOSE(CONTROL!$C$28, 0.0003, 0)</f>
        <v>51.309100000000001</v>
      </c>
      <c r="D882" s="4">
        <f>77.8752 * CHOOSE(CONTROL!$C$9, $C$13, 100%, $E$13) + CHOOSE(CONTROL!$C$28, 0, 0)</f>
        <v>77.875200000000007</v>
      </c>
      <c r="E882" s="4">
        <f>364.513052072081 * CHOOSE(CONTROL!$C$9, $C$13, 100%, $E$13) + CHOOSE(CONTROL!$C$28, 0, 0)</f>
        <v>364.513052072081</v>
      </c>
    </row>
    <row r="883" spans="1:5" ht="15">
      <c r="A883" s="13">
        <v>68392</v>
      </c>
      <c r="B883" s="4">
        <f>54.7721 * CHOOSE(CONTROL!$C$9, $C$13, 100%, $E$13) + CHOOSE(CONTROL!$C$28, 0.0003, 0)</f>
        <v>54.772400000000005</v>
      </c>
      <c r="C883" s="4">
        <f>54.4088 * CHOOSE(CONTROL!$C$9, $C$13, 100%, $E$13) + CHOOSE(CONTROL!$C$28, 0.0003, 0)</f>
        <v>54.409100000000002</v>
      </c>
      <c r="D883" s="4">
        <f>81.9323 * CHOOSE(CONTROL!$C$9, $C$13, 100%, $E$13) + CHOOSE(CONTROL!$C$28, 0, 0)</f>
        <v>81.932299999999998</v>
      </c>
      <c r="E883" s="4">
        <f>386.714334043522 * CHOOSE(CONTROL!$C$9, $C$13, 100%, $E$13) + CHOOSE(CONTROL!$C$28, 0, 0)</f>
        <v>386.714334043522</v>
      </c>
    </row>
    <row r="884" spans="1:5" ht="15">
      <c r="A884" s="13">
        <v>68422</v>
      </c>
      <c r="B884" s="4">
        <f>56.9747 * CHOOSE(CONTROL!$C$9, $C$13, 100%, $E$13) + CHOOSE(CONTROL!$C$28, 0.0003, 0)</f>
        <v>56.975000000000001</v>
      </c>
      <c r="C884" s="4">
        <f>56.6115 * CHOOSE(CONTROL!$C$9, $C$13, 100%, $E$13) + CHOOSE(CONTROL!$C$28, 0.0003, 0)</f>
        <v>56.611800000000002</v>
      </c>
      <c r="D884" s="4">
        <f>84.2693 * CHOOSE(CONTROL!$C$9, $C$13, 100%, $E$13) + CHOOSE(CONTROL!$C$28, 0, 0)</f>
        <v>84.269300000000001</v>
      </c>
      <c r="E884" s="4">
        <f>402.488640755215 * CHOOSE(CONTROL!$C$9, $C$13, 100%, $E$13) + CHOOSE(CONTROL!$C$28, 0, 0)</f>
        <v>402.48864075521499</v>
      </c>
    </row>
    <row r="885" spans="1:5" ht="15">
      <c r="A885" s="13">
        <v>68453</v>
      </c>
      <c r="B885" s="4">
        <f>58.3205 * CHOOSE(CONTROL!$C$9, $C$13, 100%, $E$13) + CHOOSE(CONTROL!$C$28, 0.0136, 0)</f>
        <v>58.334099999999999</v>
      </c>
      <c r="C885" s="4">
        <f>57.9572 * CHOOSE(CONTROL!$C$9, $C$13, 100%, $E$13) + CHOOSE(CONTROL!$C$28, 0.0136, 0)</f>
        <v>57.970799999999997</v>
      </c>
      <c r="D885" s="4">
        <f>83.3458 * CHOOSE(CONTROL!$C$9, $C$13, 100%, $E$13) + CHOOSE(CONTROL!$C$28, 0, 0)</f>
        <v>83.345799999999997</v>
      </c>
      <c r="E885" s="4">
        <f>412.126364098692 * CHOOSE(CONTROL!$C$9, $C$13, 100%, $E$13) + CHOOSE(CONTROL!$C$28, 0, 0)</f>
        <v>412.12636409869202</v>
      </c>
    </row>
    <row r="886" spans="1:5" ht="15">
      <c r="A886" s="13">
        <v>68483</v>
      </c>
      <c r="B886" s="4">
        <f>58.5026 * CHOOSE(CONTROL!$C$9, $C$13, 100%, $E$13) + CHOOSE(CONTROL!$C$28, 0.0136, 0)</f>
        <v>58.516199999999998</v>
      </c>
      <c r="C886" s="4">
        <f>58.1393 * CHOOSE(CONTROL!$C$9, $C$13, 100%, $E$13) + CHOOSE(CONTROL!$C$28, 0.0136, 0)</f>
        <v>58.152899999999995</v>
      </c>
      <c r="D886" s="4">
        <f>84.0979 * CHOOSE(CONTROL!$C$9, $C$13, 100%, $E$13) + CHOOSE(CONTROL!$C$28, 0, 0)</f>
        <v>84.097899999999996</v>
      </c>
      <c r="E886" s="4">
        <f>413.430388064438 * CHOOSE(CONTROL!$C$9, $C$13, 100%, $E$13) + CHOOSE(CONTROL!$C$28, 0, 0)</f>
        <v>413.43038806443798</v>
      </c>
    </row>
    <row r="887" spans="1:5" ht="15">
      <c r="A887" s="13">
        <v>68514</v>
      </c>
      <c r="B887" s="4">
        <f>58.4842 * CHOOSE(CONTROL!$C$9, $C$13, 100%, $E$13) + CHOOSE(CONTROL!$C$28, 0.0136, 0)</f>
        <v>58.497799999999998</v>
      </c>
      <c r="C887" s="4">
        <f>58.1209 * CHOOSE(CONTROL!$C$9, $C$13, 100%, $E$13) + CHOOSE(CONTROL!$C$28, 0.0136, 0)</f>
        <v>58.134499999999996</v>
      </c>
      <c r="D887" s="4">
        <f>85.455 * CHOOSE(CONTROL!$C$9, $C$13, 100%, $E$13) + CHOOSE(CONTROL!$C$28, 0, 0)</f>
        <v>85.454999999999998</v>
      </c>
      <c r="E887" s="4">
        <f>413.298889849404 * CHOOSE(CONTROL!$C$9, $C$13, 100%, $E$13) + CHOOSE(CONTROL!$C$28, 0, 0)</f>
        <v>413.29888984940402</v>
      </c>
    </row>
    <row r="888" spans="1:5" ht="15">
      <c r="A888" s="13">
        <v>68545</v>
      </c>
      <c r="B888" s="4">
        <f>59.8659 * CHOOSE(CONTROL!$C$9, $C$13, 100%, $E$13) + CHOOSE(CONTROL!$C$28, 0.0136, 0)</f>
        <v>59.8795</v>
      </c>
      <c r="C888" s="4">
        <f>59.5027 * CHOOSE(CONTROL!$C$9, $C$13, 100%, $E$13) + CHOOSE(CONTROL!$C$28, 0.0136, 0)</f>
        <v>59.516299999999994</v>
      </c>
      <c r="D888" s="4">
        <f>84.5588 * CHOOSE(CONTROL!$C$9, $C$13, 100%, $E$13) + CHOOSE(CONTROL!$C$28, 0, 0)</f>
        <v>84.558800000000005</v>
      </c>
      <c r="E888" s="4">
        <f>423.194130530654 * CHOOSE(CONTROL!$C$9, $C$13, 100%, $E$13) + CHOOSE(CONTROL!$C$28, 0, 0)</f>
        <v>423.19413053065398</v>
      </c>
    </row>
    <row r="889" spans="1:5" ht="15">
      <c r="A889" s="13">
        <v>68575</v>
      </c>
      <c r="B889" s="4">
        <f>57.511 * CHOOSE(CONTROL!$C$9, $C$13, 100%, $E$13) + CHOOSE(CONTROL!$C$28, 0.0136, 0)</f>
        <v>57.5246</v>
      </c>
      <c r="C889" s="4">
        <f>57.1478 * CHOOSE(CONTROL!$C$9, $C$13, 100%, $E$13) + CHOOSE(CONTROL!$C$28, 0.0136, 0)</f>
        <v>57.161399999999993</v>
      </c>
      <c r="D889" s="4">
        <f>84.1354 * CHOOSE(CONTROL!$C$9, $C$13, 100%, $E$13) + CHOOSE(CONTROL!$C$28, 0, 0)</f>
        <v>84.135400000000004</v>
      </c>
      <c r="E889" s="4">
        <f>406.329484452644 * CHOOSE(CONTROL!$C$9, $C$13, 100%, $E$13) + CHOOSE(CONTROL!$C$28, 0, 0)</f>
        <v>406.32948445264401</v>
      </c>
    </row>
    <row r="890" spans="1:5" ht="15">
      <c r="A890" s="13">
        <v>68606</v>
      </c>
      <c r="B890" s="4">
        <f>55.6259 * CHOOSE(CONTROL!$C$9, $C$13, 100%, $E$13) + CHOOSE(CONTROL!$C$28, 0.0003, 0)</f>
        <v>55.626200000000004</v>
      </c>
      <c r="C890" s="4">
        <f>55.2626 * CHOOSE(CONTROL!$C$9, $C$13, 100%, $E$13) + CHOOSE(CONTROL!$C$28, 0.0003, 0)</f>
        <v>55.262900000000002</v>
      </c>
      <c r="D890" s="4">
        <f>83.0016 * CHOOSE(CONTROL!$C$9, $C$13, 100%, $E$13) + CHOOSE(CONTROL!$C$28, 0, 0)</f>
        <v>83.001599999999996</v>
      </c>
      <c r="E890" s="4">
        <f>392.829001042567 * CHOOSE(CONTROL!$C$9, $C$13, 100%, $E$13) + CHOOSE(CONTROL!$C$28, 0, 0)</f>
        <v>392.82900104256697</v>
      </c>
    </row>
    <row r="891" spans="1:5" ht="15">
      <c r="A891" s="13">
        <v>68636</v>
      </c>
      <c r="B891" s="4">
        <f>54.4117 * CHOOSE(CONTROL!$C$9, $C$13, 100%, $E$13) + CHOOSE(CONTROL!$C$28, 0.0003, 0)</f>
        <v>54.412000000000006</v>
      </c>
      <c r="C891" s="4">
        <f>54.0485 * CHOOSE(CONTROL!$C$9, $C$13, 100%, $E$13) + CHOOSE(CONTROL!$C$28, 0.0003, 0)</f>
        <v>54.0488</v>
      </c>
      <c r="D891" s="4">
        <f>82.6118 * CHOOSE(CONTROL!$C$9, $C$13, 100%, $E$13) + CHOOSE(CONTROL!$C$28, 0, 0)</f>
        <v>82.611800000000002</v>
      </c>
      <c r="E891" s="4">
        <f>384.133681573495 * CHOOSE(CONTROL!$C$9, $C$13, 100%, $E$13) + CHOOSE(CONTROL!$C$28, 0, 0)</f>
        <v>384.13368157349498</v>
      </c>
    </row>
    <row r="892" spans="1:5" ht="15">
      <c r="A892" s="13">
        <v>68667</v>
      </c>
      <c r="B892" s="4">
        <f>53.5717 * CHOOSE(CONTROL!$C$9, $C$13, 100%, $E$13) + CHOOSE(CONTROL!$C$28, 0.0003, 0)</f>
        <v>53.572000000000003</v>
      </c>
      <c r="C892" s="4">
        <f>53.2084 * CHOOSE(CONTROL!$C$9, $C$13, 100%, $E$13) + CHOOSE(CONTROL!$C$28, 0.0003, 0)</f>
        <v>53.2087</v>
      </c>
      <c r="D892" s="4">
        <f>79.7421 * CHOOSE(CONTROL!$C$9, $C$13, 100%, $E$13) + CHOOSE(CONTROL!$C$28, 0, 0)</f>
        <v>79.742099999999994</v>
      </c>
      <c r="E892" s="4">
        <f>378.117638235726 * CHOOSE(CONTROL!$C$9, $C$13, 100%, $E$13) + CHOOSE(CONTROL!$C$28, 0, 0)</f>
        <v>378.11763823572602</v>
      </c>
    </row>
    <row r="893" spans="1:5" ht="15">
      <c r="A893" s="13">
        <v>68698</v>
      </c>
      <c r="B893" s="4">
        <f>51.2733 * CHOOSE(CONTROL!$C$9, $C$13, 100%, $E$13) + CHOOSE(CONTROL!$C$28, 0.0003, 0)</f>
        <v>51.273600000000002</v>
      </c>
      <c r="C893" s="4">
        <f>50.9101 * CHOOSE(CONTROL!$C$9, $C$13, 100%, $E$13) + CHOOSE(CONTROL!$C$28, 0.0003, 0)</f>
        <v>50.910400000000003</v>
      </c>
      <c r="D893" s="4">
        <f>76.5809 * CHOOSE(CONTROL!$C$9, $C$13, 100%, $E$13) + CHOOSE(CONTROL!$C$28, 0, 0)</f>
        <v>76.5809</v>
      </c>
      <c r="E893" s="4">
        <f>362.36750215617 * CHOOSE(CONTROL!$C$9, $C$13, 100%, $E$13) + CHOOSE(CONTROL!$C$28, 0, 0)</f>
        <v>362.36750215617002</v>
      </c>
    </row>
    <row r="894" spans="1:5" ht="15">
      <c r="A894" s="13">
        <v>68727</v>
      </c>
      <c r="B894" s="4">
        <f>52.4724 * CHOOSE(CONTROL!$C$9, $C$13, 100%, $E$13) + CHOOSE(CONTROL!$C$28, 0.0003, 0)</f>
        <v>52.472700000000003</v>
      </c>
      <c r="C894" s="4">
        <f>52.1091 * CHOOSE(CONTROL!$C$9, $C$13, 100%, $E$13) + CHOOSE(CONTROL!$C$28, 0.0003, 0)</f>
        <v>52.109400000000001</v>
      </c>
      <c r="D894" s="4">
        <f>79.2184 * CHOOSE(CONTROL!$C$9, $C$13, 100%, $E$13) + CHOOSE(CONTROL!$C$28, 0, 0)</f>
        <v>79.218400000000003</v>
      </c>
      <c r="E894" s="4">
        <f>370.971534714867 * CHOOSE(CONTROL!$C$9, $C$13, 100%, $E$13) + CHOOSE(CONTROL!$C$28, 0, 0)</f>
        <v>370.971534714867</v>
      </c>
    </row>
    <row r="895" spans="1:5" ht="15">
      <c r="A895" s="13">
        <v>68758</v>
      </c>
      <c r="B895" s="4">
        <f>55.6212 * CHOOSE(CONTROL!$C$9, $C$13, 100%, $E$13) + CHOOSE(CONTROL!$C$28, 0.0003, 0)</f>
        <v>55.621500000000005</v>
      </c>
      <c r="C895" s="4">
        <f>55.2579 * CHOOSE(CONTROL!$C$9, $C$13, 100%, $E$13) + CHOOSE(CONTROL!$C$28, 0.0003, 0)</f>
        <v>55.258200000000002</v>
      </c>
      <c r="D895" s="4">
        <f>83.3472 * CHOOSE(CONTROL!$C$9, $C$13, 100%, $E$13) + CHOOSE(CONTROL!$C$28, 0, 0)</f>
        <v>83.347200000000001</v>
      </c>
      <c r="E895" s="4">
        <f>393.566181460067 * CHOOSE(CONTROL!$C$9, $C$13, 100%, $E$13) + CHOOSE(CONTROL!$C$28, 0, 0)</f>
        <v>393.56618146006701</v>
      </c>
    </row>
    <row r="896" spans="1:5" ht="15">
      <c r="A896" s="13">
        <v>68788</v>
      </c>
      <c r="B896" s="4">
        <f>57.8585 * CHOOSE(CONTROL!$C$9, $C$13, 100%, $E$13) + CHOOSE(CONTROL!$C$28, 0.0003, 0)</f>
        <v>57.858800000000002</v>
      </c>
      <c r="C896" s="4">
        <f>57.4952 * CHOOSE(CONTROL!$C$9, $C$13, 100%, $E$13) + CHOOSE(CONTROL!$C$28, 0.0003, 0)</f>
        <v>57.4955</v>
      </c>
      <c r="D896" s="4">
        <f>85.7255 * CHOOSE(CONTROL!$C$9, $C$13, 100%, $E$13) + CHOOSE(CONTROL!$C$28, 0, 0)</f>
        <v>85.725499999999997</v>
      </c>
      <c r="E896" s="4">
        <f>409.61997908579 * CHOOSE(CONTROL!$C$9, $C$13, 100%, $E$13) + CHOOSE(CONTROL!$C$28, 0, 0)</f>
        <v>409.61997908579002</v>
      </c>
    </row>
    <row r="897" spans="1:5" ht="15">
      <c r="A897" s="13">
        <v>68819</v>
      </c>
      <c r="B897" s="4">
        <f>59.2254 * CHOOSE(CONTROL!$C$9, $C$13, 100%, $E$13) + CHOOSE(CONTROL!$C$28, 0.0136, 0)</f>
        <v>59.238999999999997</v>
      </c>
      <c r="C897" s="4">
        <f>58.8621 * CHOOSE(CONTROL!$C$9, $C$13, 100%, $E$13) + CHOOSE(CONTROL!$C$28, 0.0136, 0)</f>
        <v>58.875699999999995</v>
      </c>
      <c r="D897" s="4">
        <f>84.7857 * CHOOSE(CONTROL!$C$9, $C$13, 100%, $E$13) + CHOOSE(CONTROL!$C$28, 0, 0)</f>
        <v>84.785700000000006</v>
      </c>
      <c r="E897" s="4">
        <f>419.428464679276 * CHOOSE(CONTROL!$C$9, $C$13, 100%, $E$13) + CHOOSE(CONTROL!$C$28, 0, 0)</f>
        <v>419.42846467927598</v>
      </c>
    </row>
    <row r="898" spans="1:5" ht="15">
      <c r="A898" s="13">
        <v>68849</v>
      </c>
      <c r="B898" s="4">
        <f>59.4104 * CHOOSE(CONTROL!$C$9, $C$13, 100%, $E$13) + CHOOSE(CONTROL!$C$28, 0.0136, 0)</f>
        <v>59.423999999999999</v>
      </c>
      <c r="C898" s="4">
        <f>59.0471 * CHOOSE(CONTROL!$C$9, $C$13, 100%, $E$13) + CHOOSE(CONTROL!$C$28, 0.0136, 0)</f>
        <v>59.060699999999997</v>
      </c>
      <c r="D898" s="4">
        <f>85.5511 * CHOOSE(CONTROL!$C$9, $C$13, 100%, $E$13) + CHOOSE(CONTROL!$C$28, 0, 0)</f>
        <v>85.551100000000005</v>
      </c>
      <c r="E898" s="4">
        <f>420.755593486126 * CHOOSE(CONTROL!$C$9, $C$13, 100%, $E$13) + CHOOSE(CONTROL!$C$28, 0, 0)</f>
        <v>420.75559348612597</v>
      </c>
    </row>
    <row r="899" spans="1:5" ht="15">
      <c r="A899" s="13">
        <v>68880</v>
      </c>
      <c r="B899" s="4">
        <f>59.3917 * CHOOSE(CONTROL!$C$9, $C$13, 100%, $E$13) + CHOOSE(CONTROL!$C$28, 0.0136, 0)</f>
        <v>59.405299999999997</v>
      </c>
      <c r="C899" s="4">
        <f>59.0284 * CHOOSE(CONTROL!$C$9, $C$13, 100%, $E$13) + CHOOSE(CONTROL!$C$28, 0.0136, 0)</f>
        <v>59.041999999999994</v>
      </c>
      <c r="D899" s="4">
        <f>86.9321 * CHOOSE(CONTROL!$C$9, $C$13, 100%, $E$13) + CHOOSE(CONTROL!$C$28, 0, 0)</f>
        <v>86.932100000000005</v>
      </c>
      <c r="E899" s="4">
        <f>420.62176537115 * CHOOSE(CONTROL!$C$9, $C$13, 100%, $E$13) + CHOOSE(CONTROL!$C$28, 0, 0)</f>
        <v>420.62176537114999</v>
      </c>
    </row>
    <row r="900" spans="1:5" ht="15">
      <c r="A900" s="13">
        <v>68911</v>
      </c>
      <c r="B900" s="4">
        <f>60.7952 * CHOOSE(CONTROL!$C$9, $C$13, 100%, $E$13) + CHOOSE(CONTROL!$C$28, 0.0136, 0)</f>
        <v>60.808799999999998</v>
      </c>
      <c r="C900" s="4">
        <f>60.4319 * CHOOSE(CONTROL!$C$9, $C$13, 100%, $E$13) + CHOOSE(CONTROL!$C$28, 0.0136, 0)</f>
        <v>60.445499999999996</v>
      </c>
      <c r="D900" s="4">
        <f>86.0201 * CHOOSE(CONTROL!$C$9, $C$13, 100%, $E$13) + CHOOSE(CONTROL!$C$28, 0, 0)</f>
        <v>86.020099999999999</v>
      </c>
      <c r="E900" s="4">
        <f>430.692331023132 * CHOOSE(CONTROL!$C$9, $C$13, 100%, $E$13) + CHOOSE(CONTROL!$C$28, 0, 0)</f>
        <v>430.692331023132</v>
      </c>
    </row>
    <row r="901" spans="1:5" ht="15">
      <c r="A901" s="13">
        <v>68941</v>
      </c>
      <c r="B901" s="4">
        <f>58.4032 * CHOOSE(CONTROL!$C$9, $C$13, 100%, $E$13) + CHOOSE(CONTROL!$C$28, 0.0136, 0)</f>
        <v>58.416799999999995</v>
      </c>
      <c r="C901" s="4">
        <f>58.04 * CHOOSE(CONTROL!$C$9, $C$13, 100%, $E$13) + CHOOSE(CONTROL!$C$28, 0.0136, 0)</f>
        <v>58.053599999999996</v>
      </c>
      <c r="D901" s="4">
        <f>85.5892 * CHOOSE(CONTROL!$C$9, $C$13, 100%, $E$13) + CHOOSE(CONTROL!$C$28, 0, 0)</f>
        <v>85.589200000000005</v>
      </c>
      <c r="E901" s="4">
        <f>413.528875277395 * CHOOSE(CONTROL!$C$9, $C$13, 100%, $E$13) + CHOOSE(CONTROL!$C$28, 0, 0)</f>
        <v>413.528875277395</v>
      </c>
    </row>
    <row r="902" spans="1:5" ht="15">
      <c r="A902" s="13">
        <v>68972</v>
      </c>
      <c r="B902" s="4">
        <f>56.4885 * CHOOSE(CONTROL!$C$9, $C$13, 100%, $E$13) + CHOOSE(CONTROL!$C$28, 0.0003, 0)</f>
        <v>56.488800000000005</v>
      </c>
      <c r="C902" s="4">
        <f>56.1252 * CHOOSE(CONTROL!$C$9, $C$13, 100%, $E$13) + CHOOSE(CONTROL!$C$28, 0.0003, 0)</f>
        <v>56.125500000000002</v>
      </c>
      <c r="D902" s="4">
        <f>84.4354 * CHOOSE(CONTROL!$C$9, $C$13, 100%, $E$13) + CHOOSE(CONTROL!$C$28, 0, 0)</f>
        <v>84.435400000000001</v>
      </c>
      <c r="E902" s="4">
        <f>399.789188806474 * CHOOSE(CONTROL!$C$9, $C$13, 100%, $E$13) + CHOOSE(CONTROL!$C$28, 0, 0)</f>
        <v>399.78918880647399</v>
      </c>
    </row>
    <row r="903" spans="1:5" ht="15">
      <c r="A903" s="13">
        <v>69002</v>
      </c>
      <c r="B903" s="4">
        <f>55.2552 * CHOOSE(CONTROL!$C$9, $C$13, 100%, $E$13) + CHOOSE(CONTROL!$C$28, 0.0003, 0)</f>
        <v>55.255500000000005</v>
      </c>
      <c r="C903" s="4">
        <f>54.8919 * CHOOSE(CONTROL!$C$9, $C$13, 100%, $E$13) + CHOOSE(CONTROL!$C$28, 0.0003, 0)</f>
        <v>54.892200000000003</v>
      </c>
      <c r="D903" s="4">
        <f>84.0387 * CHOOSE(CONTROL!$C$9, $C$13, 100%, $E$13) + CHOOSE(CONTROL!$C$28, 0, 0)</f>
        <v>84.038700000000006</v>
      </c>
      <c r="E903" s="4">
        <f>390.939804703653 * CHOOSE(CONTROL!$C$9, $C$13, 100%, $E$13) + CHOOSE(CONTROL!$C$28, 0, 0)</f>
        <v>390.93980470365301</v>
      </c>
    </row>
    <row r="904" spans="1:5" ht="15">
      <c r="A904" s="13">
        <v>69033</v>
      </c>
      <c r="B904" s="4">
        <f>54.402 * CHOOSE(CONTROL!$C$9, $C$13, 100%, $E$13) + CHOOSE(CONTROL!$C$28, 0.0003, 0)</f>
        <v>54.402300000000004</v>
      </c>
      <c r="C904" s="4">
        <f>54.0387 * CHOOSE(CONTROL!$C$9, $C$13, 100%, $E$13) + CHOOSE(CONTROL!$C$28, 0.0003, 0)</f>
        <v>54.039000000000001</v>
      </c>
      <c r="D904" s="4">
        <f>81.1183 * CHOOSE(CONTROL!$C$9, $C$13, 100%, $E$13) + CHOOSE(CONTROL!$C$28, 0, 0)</f>
        <v>81.118300000000005</v>
      </c>
      <c r="E904" s="4">
        <f>384.817168443478 * CHOOSE(CONTROL!$C$9, $C$13, 100%, $E$13) + CHOOSE(CONTROL!$C$28, 0, 0)</f>
        <v>384.81716844347801</v>
      </c>
    </row>
    <row r="905" spans="1:5" ht="15">
      <c r="A905" s="13">
        <v>69064</v>
      </c>
      <c r="B905" s="4">
        <f>52.0674 * CHOOSE(CONTROL!$C$9, $C$13, 100%, $E$13) + CHOOSE(CONTROL!$C$28, 0.0003, 0)</f>
        <v>52.067700000000002</v>
      </c>
      <c r="C905" s="4">
        <f>51.7042 * CHOOSE(CONTROL!$C$9, $C$13, 100%, $E$13) + CHOOSE(CONTROL!$C$28, 0.0003, 0)</f>
        <v>51.704500000000003</v>
      </c>
      <c r="D905" s="4">
        <f>77.9013 * CHOOSE(CONTROL!$C$9, $C$13, 100%, $E$13) + CHOOSE(CONTROL!$C$28, 0, 0)</f>
        <v>77.901300000000006</v>
      </c>
      <c r="E905" s="4">
        <f>368.78796970783 * CHOOSE(CONTROL!$C$9, $C$13, 100%, $E$13) + CHOOSE(CONTROL!$C$28, 0, 0)</f>
        <v>368.78796970782997</v>
      </c>
    </row>
    <row r="906" spans="1:5" ht="15">
      <c r="A906" s="13">
        <v>69092</v>
      </c>
      <c r="B906" s="4">
        <f>53.2854 * CHOOSE(CONTROL!$C$9, $C$13, 100%, $E$13) + CHOOSE(CONTROL!$C$28, 0.0003, 0)</f>
        <v>53.285700000000006</v>
      </c>
      <c r="C906" s="4">
        <f>52.9221 * CHOOSE(CONTROL!$C$9, $C$13, 100%, $E$13) + CHOOSE(CONTROL!$C$28, 0.0003, 0)</f>
        <v>52.922400000000003</v>
      </c>
      <c r="D906" s="4">
        <f>80.5853 * CHOOSE(CONTROL!$C$9, $C$13, 100%, $E$13) + CHOOSE(CONTROL!$C$28, 0, 0)</f>
        <v>80.585300000000004</v>
      </c>
      <c r="E906" s="4">
        <f>377.544449468686 * CHOOSE(CONTROL!$C$9, $C$13, 100%, $E$13) + CHOOSE(CONTROL!$C$28, 0, 0)</f>
        <v>377.54444946868603</v>
      </c>
    </row>
    <row r="907" spans="1:5" ht="15">
      <c r="A907" s="13">
        <v>69123</v>
      </c>
      <c r="B907" s="4">
        <f>56.4837 * CHOOSE(CONTROL!$C$9, $C$13, 100%, $E$13) + CHOOSE(CONTROL!$C$28, 0.0003, 0)</f>
        <v>56.484000000000002</v>
      </c>
      <c r="C907" s="4">
        <f>56.1204 * CHOOSE(CONTROL!$C$9, $C$13, 100%, $E$13) + CHOOSE(CONTROL!$C$28, 0.0003, 0)</f>
        <v>56.120699999999999</v>
      </c>
      <c r="D907" s="4">
        <f>84.7871 * CHOOSE(CONTROL!$C$9, $C$13, 100%, $E$13) + CHOOSE(CONTROL!$C$28, 0, 0)</f>
        <v>84.787099999999995</v>
      </c>
      <c r="E907" s="4">
        <f>400.539430668287 * CHOOSE(CONTROL!$C$9, $C$13, 100%, $E$13) + CHOOSE(CONTROL!$C$28, 0, 0)</f>
        <v>400.53943066828703</v>
      </c>
    </row>
    <row r="908" spans="1:5" ht="15">
      <c r="A908" s="13">
        <v>69153</v>
      </c>
      <c r="B908" s="4">
        <f>58.7562 * CHOOSE(CONTROL!$C$9, $C$13, 100%, $E$13) + CHOOSE(CONTROL!$C$28, 0.0003, 0)</f>
        <v>58.756500000000003</v>
      </c>
      <c r="C908" s="4">
        <f>58.3929 * CHOOSE(CONTROL!$C$9, $C$13, 100%, $E$13) + CHOOSE(CONTROL!$C$28, 0.0003, 0)</f>
        <v>58.3932</v>
      </c>
      <c r="D908" s="4">
        <f>87.2074 * CHOOSE(CONTROL!$C$9, $C$13, 100%, $E$13) + CHOOSE(CONTROL!$C$28, 0, 0)</f>
        <v>87.207400000000007</v>
      </c>
      <c r="E908" s="4">
        <f>416.877671259022 * CHOOSE(CONTROL!$C$9, $C$13, 100%, $E$13) + CHOOSE(CONTROL!$C$28, 0, 0)</f>
        <v>416.87767125902201</v>
      </c>
    </row>
    <row r="909" spans="1:5" ht="15">
      <c r="A909" s="13">
        <v>69184</v>
      </c>
      <c r="B909" s="4">
        <f>60.1446 * CHOOSE(CONTROL!$C$9, $C$13, 100%, $E$13) + CHOOSE(CONTROL!$C$28, 0.0136, 0)</f>
        <v>60.158199999999994</v>
      </c>
      <c r="C909" s="4">
        <f>59.7813 * CHOOSE(CONTROL!$C$9, $C$13, 100%, $E$13) + CHOOSE(CONTROL!$C$28, 0.0136, 0)</f>
        <v>59.794899999999998</v>
      </c>
      <c r="D909" s="4">
        <f>86.251 * CHOOSE(CONTROL!$C$9, $C$13, 100%, $E$13) + CHOOSE(CONTROL!$C$28, 0, 0)</f>
        <v>86.251000000000005</v>
      </c>
      <c r="E909" s="4">
        <f>426.859944686983 * CHOOSE(CONTROL!$C$9, $C$13, 100%, $E$13) + CHOOSE(CONTROL!$C$28, 0, 0)</f>
        <v>426.859944686983</v>
      </c>
    </row>
    <row r="910" spans="1:5" ht="15">
      <c r="A910" s="13">
        <v>69214</v>
      </c>
      <c r="B910" s="4">
        <f>60.3324 * CHOOSE(CONTROL!$C$9, $C$13, 100%, $E$13) + CHOOSE(CONTROL!$C$28, 0.0136, 0)</f>
        <v>60.345999999999997</v>
      </c>
      <c r="C910" s="4">
        <f>59.9691 * CHOOSE(CONTROL!$C$9, $C$13, 100%, $E$13) + CHOOSE(CONTROL!$C$28, 0.0136, 0)</f>
        <v>59.982699999999994</v>
      </c>
      <c r="D910" s="4">
        <f>87.0299 * CHOOSE(CONTROL!$C$9, $C$13, 100%, $E$13) + CHOOSE(CONTROL!$C$28, 0, 0)</f>
        <v>87.029899999999998</v>
      </c>
      <c r="E910" s="4">
        <f>428.210587709072 * CHOOSE(CONTROL!$C$9, $C$13, 100%, $E$13) + CHOOSE(CONTROL!$C$28, 0, 0)</f>
        <v>428.210587709072</v>
      </c>
    </row>
    <row r="911" spans="1:5" ht="15">
      <c r="A911" s="13">
        <v>69245</v>
      </c>
      <c r="B911" s="4">
        <f>60.3135 * CHOOSE(CONTROL!$C$9, $C$13, 100%, $E$13) + CHOOSE(CONTROL!$C$28, 0.0136, 0)</f>
        <v>60.327099999999994</v>
      </c>
      <c r="C911" s="4">
        <f>59.9502 * CHOOSE(CONTROL!$C$9, $C$13, 100%, $E$13) + CHOOSE(CONTROL!$C$28, 0.0136, 0)</f>
        <v>59.963799999999999</v>
      </c>
      <c r="D911" s="4">
        <f>88.4354 * CHOOSE(CONTROL!$C$9, $C$13, 100%, $E$13) + CHOOSE(CONTROL!$C$28, 0, 0)</f>
        <v>88.435400000000001</v>
      </c>
      <c r="E911" s="4">
        <f>428.074388412727 * CHOOSE(CONTROL!$C$9, $C$13, 100%, $E$13) + CHOOSE(CONTROL!$C$28, 0, 0)</f>
        <v>428.07438841272699</v>
      </c>
    </row>
    <row r="912" spans="1:5" ht="15">
      <c r="A912" s="13">
        <v>69276</v>
      </c>
      <c r="B912" s="4">
        <f>61.739 * CHOOSE(CONTROL!$C$9, $C$13, 100%, $E$13) + CHOOSE(CONTROL!$C$28, 0.0136, 0)</f>
        <v>61.752599999999994</v>
      </c>
      <c r="C912" s="4">
        <f>61.3757 * CHOOSE(CONTROL!$C$9, $C$13, 100%, $E$13) + CHOOSE(CONTROL!$C$28, 0.0136, 0)</f>
        <v>61.389299999999999</v>
      </c>
      <c r="D912" s="4">
        <f>87.5072 * CHOOSE(CONTROL!$C$9, $C$13, 100%, $E$13) + CHOOSE(CONTROL!$C$28, 0, 0)</f>
        <v>87.507199999999997</v>
      </c>
      <c r="E912" s="4">
        <f>438.323385462697 * CHOOSE(CONTROL!$C$9, $C$13, 100%, $E$13) + CHOOSE(CONTROL!$C$28, 0, 0)</f>
        <v>438.32338546269699</v>
      </c>
    </row>
    <row r="913" spans="1:5" ht="15">
      <c r="A913" s="13">
        <v>69306</v>
      </c>
      <c r="B913" s="4">
        <f>59.3095 * CHOOSE(CONTROL!$C$9, $C$13, 100%, $E$13) + CHOOSE(CONTROL!$C$28, 0.0136, 0)</f>
        <v>59.323099999999997</v>
      </c>
      <c r="C913" s="4">
        <f>58.9462 * CHOOSE(CONTROL!$C$9, $C$13, 100%, $E$13) + CHOOSE(CONTROL!$C$28, 0.0136, 0)</f>
        <v>58.959799999999994</v>
      </c>
      <c r="D913" s="4">
        <f>87.0687 * CHOOSE(CONTROL!$C$9, $C$13, 100%, $E$13) + CHOOSE(CONTROL!$C$28, 0, 0)</f>
        <v>87.068700000000007</v>
      </c>
      <c r="E913" s="4">
        <f>420.855825706435 * CHOOSE(CONTROL!$C$9, $C$13, 100%, $E$13) + CHOOSE(CONTROL!$C$28, 0, 0)</f>
        <v>420.85582570643498</v>
      </c>
    </row>
    <row r="914" spans="1:5" ht="15">
      <c r="A914" s="13">
        <v>69337</v>
      </c>
      <c r="B914" s="4">
        <f>57.3646 * CHOOSE(CONTROL!$C$9, $C$13, 100%, $E$13) + CHOOSE(CONTROL!$C$28, 0.0003, 0)</f>
        <v>57.364900000000006</v>
      </c>
      <c r="C914" s="4">
        <f>57.0013 * CHOOSE(CONTROL!$C$9, $C$13, 100%, $E$13) + CHOOSE(CONTROL!$C$28, 0.0003, 0)</f>
        <v>57.001600000000003</v>
      </c>
      <c r="D914" s="4">
        <f>85.8945 * CHOOSE(CONTROL!$C$9, $C$13, 100%, $E$13) + CHOOSE(CONTROL!$C$28, 0, 0)</f>
        <v>85.894499999999994</v>
      </c>
      <c r="E914" s="4">
        <f>406.872697948336 * CHOOSE(CONTROL!$C$9, $C$13, 100%, $E$13) + CHOOSE(CONTROL!$C$28, 0, 0)</f>
        <v>406.872697948336</v>
      </c>
    </row>
    <row r="915" spans="1:5" ht="15">
      <c r="A915" s="13">
        <v>69367</v>
      </c>
      <c r="B915" s="4">
        <f>56.1119 * CHOOSE(CONTROL!$C$9, $C$13, 100%, $E$13) + CHOOSE(CONTROL!$C$28, 0.0003, 0)</f>
        <v>56.112200000000001</v>
      </c>
      <c r="C915" s="4">
        <f>55.7486 * CHOOSE(CONTROL!$C$9, $C$13, 100%, $E$13) + CHOOSE(CONTROL!$C$28, 0.0003, 0)</f>
        <v>55.748900000000006</v>
      </c>
      <c r="D915" s="4">
        <f>85.4908 * CHOOSE(CONTROL!$C$9, $C$13, 100%, $E$13) + CHOOSE(CONTROL!$C$28, 0, 0)</f>
        <v>85.490799999999993</v>
      </c>
      <c r="E915" s="4">
        <f>397.866519477514 * CHOOSE(CONTROL!$C$9, $C$13, 100%, $E$13) + CHOOSE(CONTROL!$C$28, 0, 0)</f>
        <v>397.86651947751398</v>
      </c>
    </row>
    <row r="916" spans="1:5" ht="15">
      <c r="A916" s="13">
        <v>69398</v>
      </c>
      <c r="B916" s="4">
        <f>55.2453 * CHOOSE(CONTROL!$C$9, $C$13, 100%, $E$13) + CHOOSE(CONTROL!$C$28, 0.0003, 0)</f>
        <v>55.245600000000003</v>
      </c>
      <c r="C916" s="4">
        <f>54.882 * CHOOSE(CONTROL!$C$9, $C$13, 100%, $E$13) + CHOOSE(CONTROL!$C$28, 0.0003, 0)</f>
        <v>54.882300000000001</v>
      </c>
      <c r="D916" s="4">
        <f>82.5188 * CHOOSE(CONTROL!$C$9, $C$13, 100%, $E$13) + CHOOSE(CONTROL!$C$28, 0, 0)</f>
        <v>82.518799999999999</v>
      </c>
      <c r="E916" s="4">
        <f>391.635401669725 * CHOOSE(CONTROL!$C$9, $C$13, 100%, $E$13) + CHOOSE(CONTROL!$C$28, 0, 0)</f>
        <v>391.63540166972501</v>
      </c>
    </row>
    <row r="917" spans="1:5" ht="15">
      <c r="A917" s="13">
        <v>69429</v>
      </c>
      <c r="B917" s="4">
        <f>52.874 * CHOOSE(CONTROL!$C$9, $C$13, 100%, $E$13) + CHOOSE(CONTROL!$C$28, 0.0003, 0)</f>
        <v>52.874300000000005</v>
      </c>
      <c r="C917" s="4">
        <f>52.5108 * CHOOSE(CONTROL!$C$9, $C$13, 100%, $E$13) + CHOOSE(CONTROL!$C$28, 0.0003, 0)</f>
        <v>52.511100000000006</v>
      </c>
      <c r="D917" s="4">
        <f>79.2449 * CHOOSE(CONTROL!$C$9, $C$13, 100%, $E$13) + CHOOSE(CONTROL!$C$28, 0, 0)</f>
        <v>79.244900000000001</v>
      </c>
      <c r="E917" s="4">
        <f>375.322195814926 * CHOOSE(CONTROL!$C$9, $C$13, 100%, $E$13) + CHOOSE(CONTROL!$C$28, 0, 0)</f>
        <v>375.32219581492598</v>
      </c>
    </row>
    <row r="918" spans="1:5" ht="15">
      <c r="A918" s="13">
        <v>69457</v>
      </c>
      <c r="B918" s="4">
        <f>54.1111 * CHOOSE(CONTROL!$C$9, $C$13, 100%, $E$13) + CHOOSE(CONTROL!$C$28, 0.0003, 0)</f>
        <v>54.111400000000003</v>
      </c>
      <c r="C918" s="4">
        <f>53.7478 * CHOOSE(CONTROL!$C$9, $C$13, 100%, $E$13) + CHOOSE(CONTROL!$C$28, 0.0003, 0)</f>
        <v>53.748100000000001</v>
      </c>
      <c r="D918" s="4">
        <f>81.9764 * CHOOSE(CONTROL!$C$9, $C$13, 100%, $E$13) + CHOOSE(CONTROL!$C$28, 0, 0)</f>
        <v>81.976399999999998</v>
      </c>
      <c r="E918" s="4">
        <f>384.233823854357 * CHOOSE(CONTROL!$C$9, $C$13, 100%, $E$13) + CHOOSE(CONTROL!$C$28, 0, 0)</f>
        <v>384.23382385435701</v>
      </c>
    </row>
    <row r="919" spans="1:5" ht="15">
      <c r="A919" s="13">
        <v>69488</v>
      </c>
      <c r="B919" s="4">
        <f>57.3597 * CHOOSE(CONTROL!$C$9, $C$13, 100%, $E$13) + CHOOSE(CONTROL!$C$28, 0.0003, 0)</f>
        <v>57.36</v>
      </c>
      <c r="C919" s="4">
        <f>56.9965 * CHOOSE(CONTROL!$C$9, $C$13, 100%, $E$13) + CHOOSE(CONTROL!$C$28, 0.0003, 0)</f>
        <v>56.9968</v>
      </c>
      <c r="D919" s="4">
        <f>86.2524 * CHOOSE(CONTROL!$C$9, $C$13, 100%, $E$13) + CHOOSE(CONTROL!$C$28, 0, 0)</f>
        <v>86.252399999999994</v>
      </c>
      <c r="E919" s="4">
        <f>407.63623267858 * CHOOSE(CONTROL!$C$9, $C$13, 100%, $E$13) + CHOOSE(CONTROL!$C$28, 0, 0)</f>
        <v>407.63623267857997</v>
      </c>
    </row>
    <row r="920" spans="1:5" ht="15">
      <c r="A920" s="13">
        <v>69518</v>
      </c>
      <c r="B920" s="4">
        <f>59.6679 * CHOOSE(CONTROL!$C$9, $C$13, 100%, $E$13) + CHOOSE(CONTROL!$C$28, 0.0003, 0)</f>
        <v>59.668200000000006</v>
      </c>
      <c r="C920" s="4">
        <f>59.3046 * CHOOSE(CONTROL!$C$9, $C$13, 100%, $E$13) + CHOOSE(CONTROL!$C$28, 0.0003, 0)</f>
        <v>59.304900000000004</v>
      </c>
      <c r="D920" s="4">
        <f>88.7155 * CHOOSE(CONTROL!$C$9, $C$13, 100%, $E$13) + CHOOSE(CONTROL!$C$28, 0, 0)</f>
        <v>88.715500000000006</v>
      </c>
      <c r="E920" s="4">
        <f>424.263956026293 * CHOOSE(CONTROL!$C$9, $C$13, 100%, $E$13) + CHOOSE(CONTROL!$C$28, 0, 0)</f>
        <v>424.26395602629299</v>
      </c>
    </row>
    <row r="921" spans="1:5" ht="15">
      <c r="A921" s="13">
        <v>69549</v>
      </c>
      <c r="B921" s="4">
        <f>61.0782 * CHOOSE(CONTROL!$C$9, $C$13, 100%, $E$13) + CHOOSE(CONTROL!$C$28, 0.0136, 0)</f>
        <v>61.091799999999999</v>
      </c>
      <c r="C921" s="4">
        <f>60.7149 * CHOOSE(CONTROL!$C$9, $C$13, 100%, $E$13) + CHOOSE(CONTROL!$C$28, 0.0136, 0)</f>
        <v>60.728499999999997</v>
      </c>
      <c r="D921" s="4">
        <f>87.7422 * CHOOSE(CONTROL!$C$9, $C$13, 100%, $E$13) + CHOOSE(CONTROL!$C$28, 0, 0)</f>
        <v>87.742199999999997</v>
      </c>
      <c r="E921" s="4">
        <f>434.423096480836 * CHOOSE(CONTROL!$C$9, $C$13, 100%, $E$13) + CHOOSE(CONTROL!$C$28, 0, 0)</f>
        <v>434.42309648083602</v>
      </c>
    </row>
    <row r="922" spans="1:5" ht="15">
      <c r="A922" s="13">
        <v>69579</v>
      </c>
      <c r="B922" s="4">
        <f>61.269 * CHOOSE(CONTROL!$C$9, $C$13, 100%, $E$13) + CHOOSE(CONTROL!$C$28, 0.0136, 0)</f>
        <v>61.282599999999995</v>
      </c>
      <c r="C922" s="4">
        <f>60.9057 * CHOOSE(CONTROL!$C$9, $C$13, 100%, $E$13) + CHOOSE(CONTROL!$C$28, 0.0136, 0)</f>
        <v>60.9193</v>
      </c>
      <c r="D922" s="4">
        <f>88.5349 * CHOOSE(CONTROL!$C$9, $C$13, 100%, $E$13) + CHOOSE(CONTROL!$C$28, 0, 0)</f>
        <v>88.534899999999993</v>
      </c>
      <c r="E922" s="4">
        <f>435.797670345635 * CHOOSE(CONTROL!$C$9, $C$13, 100%, $E$13) + CHOOSE(CONTROL!$C$28, 0, 0)</f>
        <v>435.79767034563503</v>
      </c>
    </row>
    <row r="923" spans="1:5" ht="15">
      <c r="A923" s="13">
        <v>69610</v>
      </c>
      <c r="B923" s="4">
        <f>61.2497 * CHOOSE(CONTROL!$C$9, $C$13, 100%, $E$13) + CHOOSE(CONTROL!$C$28, 0.0136, 0)</f>
        <v>61.263299999999994</v>
      </c>
      <c r="C923" s="4">
        <f>60.8865 * CHOOSE(CONTROL!$C$9, $C$13, 100%, $E$13) + CHOOSE(CONTROL!$C$28, 0.0136, 0)</f>
        <v>60.900099999999995</v>
      </c>
      <c r="D923" s="4">
        <f>89.9651 * CHOOSE(CONTROL!$C$9, $C$13, 100%, $E$13) + CHOOSE(CONTROL!$C$28, 0, 0)</f>
        <v>89.965100000000007</v>
      </c>
      <c r="E923" s="4">
        <f>435.659057855067 * CHOOSE(CONTROL!$C$9, $C$13, 100%, $E$13) + CHOOSE(CONTROL!$C$28, 0, 0)</f>
        <v>435.65905785506698</v>
      </c>
    </row>
    <row r="924" spans="1:5" ht="15">
      <c r="A924" s="13">
        <v>69641</v>
      </c>
      <c r="B924" s="4">
        <f>62.6977 * CHOOSE(CONTROL!$C$9, $C$13, 100%, $E$13) + CHOOSE(CONTROL!$C$28, 0.0136, 0)</f>
        <v>62.711299999999994</v>
      </c>
      <c r="C924" s="4">
        <f>62.3344 * CHOOSE(CONTROL!$C$9, $C$13, 100%, $E$13) + CHOOSE(CONTROL!$C$28, 0.0136, 0)</f>
        <v>62.347999999999999</v>
      </c>
      <c r="D924" s="4">
        <f>89.0206 * CHOOSE(CONTROL!$C$9, $C$13, 100%, $E$13) + CHOOSE(CONTROL!$C$28, 0, 0)</f>
        <v>89.020600000000002</v>
      </c>
      <c r="E924" s="4">
        <f>446.089647770305 * CHOOSE(CONTROL!$C$9, $C$13, 100%, $E$13) + CHOOSE(CONTROL!$C$28, 0, 0)</f>
        <v>446.08964777030502</v>
      </c>
    </row>
    <row r="925" spans="1:5" ht="15">
      <c r="A925" s="13">
        <v>69671</v>
      </c>
      <c r="B925" s="4">
        <f>60.2299 * CHOOSE(CONTROL!$C$9, $C$13, 100%, $E$13) + CHOOSE(CONTROL!$C$28, 0.0136, 0)</f>
        <v>60.243499999999997</v>
      </c>
      <c r="C925" s="4">
        <f>59.8667 * CHOOSE(CONTROL!$C$9, $C$13, 100%, $E$13) + CHOOSE(CONTROL!$C$28, 0.0136, 0)</f>
        <v>59.880299999999998</v>
      </c>
      <c r="D925" s="4">
        <f>88.5743 * CHOOSE(CONTROL!$C$9, $C$13, 100%, $E$13) + CHOOSE(CONTROL!$C$28, 0, 0)</f>
        <v>88.574299999999994</v>
      </c>
      <c r="E925" s="4">
        <f>428.312595854966 * CHOOSE(CONTROL!$C$9, $C$13, 100%, $E$13) + CHOOSE(CONTROL!$C$28, 0, 0)</f>
        <v>428.31259585496599</v>
      </c>
    </row>
    <row r="926" spans="1:5" ht="15">
      <c r="A926" s="13">
        <v>69702</v>
      </c>
      <c r="B926" s="4">
        <f>58.2545 * CHOOSE(CONTROL!$C$9, $C$13, 100%, $E$13) + CHOOSE(CONTROL!$C$28, 0.0003, 0)</f>
        <v>58.254800000000003</v>
      </c>
      <c r="C926" s="4">
        <f>57.8912 * CHOOSE(CONTROL!$C$9, $C$13, 100%, $E$13) + CHOOSE(CONTROL!$C$28, 0.0003, 0)</f>
        <v>57.891500000000001</v>
      </c>
      <c r="D926" s="4">
        <f>87.3794 * CHOOSE(CONTROL!$C$9, $C$13, 100%, $E$13) + CHOOSE(CONTROL!$C$28, 0, 0)</f>
        <v>87.379400000000004</v>
      </c>
      <c r="E926" s="4">
        <f>414.081713489989 * CHOOSE(CONTROL!$C$9, $C$13, 100%, $E$13) + CHOOSE(CONTROL!$C$28, 0, 0)</f>
        <v>414.081713489989</v>
      </c>
    </row>
    <row r="927" spans="1:5" ht="15">
      <c r="A927" s="13">
        <v>69732</v>
      </c>
      <c r="B927" s="4">
        <f>56.9821 * CHOOSE(CONTROL!$C$9, $C$13, 100%, $E$13) + CHOOSE(CONTROL!$C$28, 0.0003, 0)</f>
        <v>56.982400000000005</v>
      </c>
      <c r="C927" s="4">
        <f>56.6188 * CHOOSE(CONTROL!$C$9, $C$13, 100%, $E$13) + CHOOSE(CONTROL!$C$28, 0.0003, 0)</f>
        <v>56.619100000000003</v>
      </c>
      <c r="D927" s="4">
        <f>86.9685 * CHOOSE(CONTROL!$C$9, $C$13, 100%, $E$13) + CHOOSE(CONTROL!$C$28, 0, 0)</f>
        <v>86.968500000000006</v>
      </c>
      <c r="E927" s="4">
        <f>404.915962551184 * CHOOSE(CONTROL!$C$9, $C$13, 100%, $E$13) + CHOOSE(CONTROL!$C$28, 0, 0)</f>
        <v>404.91596255118401</v>
      </c>
    </row>
    <row r="928" spans="1:5" ht="15">
      <c r="A928" s="13">
        <v>69763</v>
      </c>
      <c r="B928" s="4">
        <f>56.1018 * CHOOSE(CONTROL!$C$9, $C$13, 100%, $E$13) + CHOOSE(CONTROL!$C$28, 0.0003, 0)</f>
        <v>56.1021</v>
      </c>
      <c r="C928" s="4">
        <f>55.7385 * CHOOSE(CONTROL!$C$9, $C$13, 100%, $E$13) + CHOOSE(CONTROL!$C$28, 0.0003, 0)</f>
        <v>55.738800000000005</v>
      </c>
      <c r="D928" s="4">
        <f>83.944 * CHOOSE(CONTROL!$C$9, $C$13, 100%, $E$13) + CHOOSE(CONTROL!$C$28, 0, 0)</f>
        <v>83.944000000000003</v>
      </c>
      <c r="E928" s="4">
        <f>398.5744411077 * CHOOSE(CONTROL!$C$9, $C$13, 100%, $E$13) + CHOOSE(CONTROL!$C$28, 0, 0)</f>
        <v>398.57444110770001</v>
      </c>
    </row>
    <row r="929" spans="1:5" ht="15">
      <c r="A929" s="13">
        <v>69794</v>
      </c>
      <c r="B929" s="4">
        <f>53.6933 * CHOOSE(CONTROL!$C$9, $C$13, 100%, $E$13) + CHOOSE(CONTROL!$C$28, 0.0003, 0)</f>
        <v>53.693600000000004</v>
      </c>
      <c r="C929" s="4">
        <f>53.33 * CHOOSE(CONTROL!$C$9, $C$13, 100%, $E$13) + CHOOSE(CONTROL!$C$28, 0.0003, 0)</f>
        <v>53.330300000000001</v>
      </c>
      <c r="D929" s="4">
        <f>80.6123 * CHOOSE(CONTROL!$C$9, $C$13, 100%, $E$13) + CHOOSE(CONTROL!$C$28, 0, 0)</f>
        <v>80.612300000000005</v>
      </c>
      <c r="E929" s="4">
        <f>381.972196064146 * CHOOSE(CONTROL!$C$9, $C$13, 100%, $E$13) + CHOOSE(CONTROL!$C$28, 0, 0)</f>
        <v>381.97219606414598</v>
      </c>
    </row>
    <row r="930" spans="1:5" ht="15">
      <c r="A930" s="13">
        <v>69822</v>
      </c>
      <c r="B930" s="4">
        <f>54.9498 * CHOOSE(CONTROL!$C$9, $C$13, 100%, $E$13) + CHOOSE(CONTROL!$C$28, 0.0003, 0)</f>
        <v>54.950100000000006</v>
      </c>
      <c r="C930" s="4">
        <f>54.5866 * CHOOSE(CONTROL!$C$9, $C$13, 100%, $E$13) + CHOOSE(CONTROL!$C$28, 0.0003, 0)</f>
        <v>54.5869</v>
      </c>
      <c r="D930" s="4">
        <f>83.3921 * CHOOSE(CONTROL!$C$9, $C$13, 100%, $E$13) + CHOOSE(CONTROL!$C$28, 0, 0)</f>
        <v>83.392099999999999</v>
      </c>
      <c r="E930" s="4">
        <f>391.041721316543 * CHOOSE(CONTROL!$C$9, $C$13, 100%, $E$13) + CHOOSE(CONTROL!$C$28, 0, 0)</f>
        <v>391.04172131654298</v>
      </c>
    </row>
    <row r="931" spans="1:5" ht="15">
      <c r="A931" s="13">
        <v>69853</v>
      </c>
      <c r="B931" s="4">
        <f>58.2496 * CHOOSE(CONTROL!$C$9, $C$13, 100%, $E$13) + CHOOSE(CONTROL!$C$28, 0.0003, 0)</f>
        <v>58.249900000000004</v>
      </c>
      <c r="C931" s="4">
        <f>57.8863 * CHOOSE(CONTROL!$C$9, $C$13, 100%, $E$13) + CHOOSE(CONTROL!$C$28, 0.0003, 0)</f>
        <v>57.886600000000001</v>
      </c>
      <c r="D931" s="4">
        <f>87.7436 * CHOOSE(CONTROL!$C$9, $C$13, 100%, $E$13) + CHOOSE(CONTROL!$C$28, 0, 0)</f>
        <v>87.743600000000001</v>
      </c>
      <c r="E931" s="4">
        <f>414.858776613179 * CHOOSE(CONTROL!$C$9, $C$13, 100%, $E$13) + CHOOSE(CONTROL!$C$28, 0, 0)</f>
        <v>414.85877661317897</v>
      </c>
    </row>
    <row r="932" spans="1:5" ht="15">
      <c r="A932" s="13">
        <v>69883</v>
      </c>
      <c r="B932" s="4">
        <f>60.594 * CHOOSE(CONTROL!$C$9, $C$13, 100%, $E$13) + CHOOSE(CONTROL!$C$28, 0.0003, 0)</f>
        <v>60.594300000000004</v>
      </c>
      <c r="C932" s="4">
        <f>60.2308 * CHOOSE(CONTROL!$C$9, $C$13, 100%, $E$13) + CHOOSE(CONTROL!$C$28, 0.0003, 0)</f>
        <v>60.231100000000005</v>
      </c>
      <c r="D932" s="4">
        <f>90.2502 * CHOOSE(CONTROL!$C$9, $C$13, 100%, $E$13) + CHOOSE(CONTROL!$C$28, 0, 0)</f>
        <v>90.250200000000007</v>
      </c>
      <c r="E932" s="4">
        <f>431.781111805434 * CHOOSE(CONTROL!$C$9, $C$13, 100%, $E$13) + CHOOSE(CONTROL!$C$28, 0, 0)</f>
        <v>431.78111180543402</v>
      </c>
    </row>
    <row r="933" spans="1:5" ht="15">
      <c r="A933" s="13">
        <v>69914</v>
      </c>
      <c r="B933" s="4">
        <f>62.0265 * CHOOSE(CONTROL!$C$9, $C$13, 100%, $E$13) + CHOOSE(CONTROL!$C$28, 0.0136, 0)</f>
        <v>62.040099999999995</v>
      </c>
      <c r="C933" s="4">
        <f>61.6632 * CHOOSE(CONTROL!$C$9, $C$13, 100%, $E$13) + CHOOSE(CONTROL!$C$28, 0.0136, 0)</f>
        <v>61.6768</v>
      </c>
      <c r="D933" s="4">
        <f>89.2597 * CHOOSE(CONTROL!$C$9, $C$13, 100%, $E$13) + CHOOSE(CONTROL!$C$28, 0, 0)</f>
        <v>89.259699999999995</v>
      </c>
      <c r="E933" s="4">
        <f>442.120253036131 * CHOOSE(CONTROL!$C$9, $C$13, 100%, $E$13) + CHOOSE(CONTROL!$C$28, 0, 0)</f>
        <v>442.12025303613098</v>
      </c>
    </row>
    <row r="934" spans="1:5" ht="15">
      <c r="A934" s="13">
        <v>69944</v>
      </c>
      <c r="B934" s="4">
        <f>62.2203 * CHOOSE(CONTROL!$C$9, $C$13, 100%, $E$13) + CHOOSE(CONTROL!$C$28, 0.0136, 0)</f>
        <v>62.233899999999998</v>
      </c>
      <c r="C934" s="4">
        <f>61.857 * CHOOSE(CONTROL!$C$9, $C$13, 100%, $E$13) + CHOOSE(CONTROL!$C$28, 0.0136, 0)</f>
        <v>61.870599999999996</v>
      </c>
      <c r="D934" s="4">
        <f>90.0664 * CHOOSE(CONTROL!$C$9, $C$13, 100%, $E$13) + CHOOSE(CONTROL!$C$28, 0, 0)</f>
        <v>90.066400000000002</v>
      </c>
      <c r="E934" s="4">
        <f>443.519181752962 * CHOOSE(CONTROL!$C$9, $C$13, 100%, $E$13) + CHOOSE(CONTROL!$C$28, 0, 0)</f>
        <v>443.51918175296203</v>
      </c>
    </row>
    <row r="935" spans="1:5" ht="15">
      <c r="A935" s="13">
        <v>69975</v>
      </c>
      <c r="B935" s="4">
        <f>62.2007 * CHOOSE(CONTROL!$C$9, $C$13, 100%, $E$13) + CHOOSE(CONTROL!$C$28, 0.0136, 0)</f>
        <v>62.214299999999994</v>
      </c>
      <c r="C935" s="4">
        <f>61.8374 * CHOOSE(CONTROL!$C$9, $C$13, 100%, $E$13) + CHOOSE(CONTROL!$C$28, 0.0136, 0)</f>
        <v>61.850999999999999</v>
      </c>
      <c r="D935" s="4">
        <f>91.522 * CHOOSE(CONTROL!$C$9, $C$13, 100%, $E$13) + CHOOSE(CONTROL!$C$28, 0, 0)</f>
        <v>91.522000000000006</v>
      </c>
      <c r="E935" s="4">
        <f>443.378113310928 * CHOOSE(CONTROL!$C$9, $C$13, 100%, $E$13) + CHOOSE(CONTROL!$C$28, 0, 0)</f>
        <v>443.37811331092797</v>
      </c>
    </row>
    <row r="936" spans="1:5" ht="15">
      <c r="A936" s="13">
        <v>70006</v>
      </c>
      <c r="B936" s="4">
        <f>63.6714 * CHOOSE(CONTROL!$C$9, $C$13, 100%, $E$13) + CHOOSE(CONTROL!$C$28, 0.0136, 0)</f>
        <v>63.684999999999995</v>
      </c>
      <c r="C936" s="4">
        <f>63.3081 * CHOOSE(CONTROL!$C$9, $C$13, 100%, $E$13) + CHOOSE(CONTROL!$C$28, 0.0136, 0)</f>
        <v>63.3217</v>
      </c>
      <c r="D936" s="4">
        <f>90.5607 * CHOOSE(CONTROL!$C$9, $C$13, 100%, $E$13) + CHOOSE(CONTROL!$C$28, 0, 0)</f>
        <v>90.560699999999997</v>
      </c>
      <c r="E936" s="4">
        <f>453.993513573941 * CHOOSE(CONTROL!$C$9, $C$13, 100%, $E$13) + CHOOSE(CONTROL!$C$28, 0, 0)</f>
        <v>453.99351357394102</v>
      </c>
    </row>
    <row r="937" spans="1:5" ht="15">
      <c r="A937" s="13">
        <v>70036</v>
      </c>
      <c r="B937" s="4">
        <f>61.1649 * CHOOSE(CONTROL!$C$9, $C$13, 100%, $E$13) + CHOOSE(CONTROL!$C$28, 0.0136, 0)</f>
        <v>61.1785</v>
      </c>
      <c r="C937" s="4">
        <f>60.8016 * CHOOSE(CONTROL!$C$9, $C$13, 100%, $E$13) + CHOOSE(CONTROL!$C$28, 0.0136, 0)</f>
        <v>60.815199999999997</v>
      </c>
      <c r="D937" s="4">
        <f>90.1065 * CHOOSE(CONTROL!$C$9, $C$13, 100%, $E$13) + CHOOSE(CONTROL!$C$28, 0, 0)</f>
        <v>90.106499999999997</v>
      </c>
      <c r="E937" s="4">
        <f>435.901485883159 * CHOOSE(CONTROL!$C$9, $C$13, 100%, $E$13) + CHOOSE(CONTROL!$C$28, 0, 0)</f>
        <v>435.90148588315901</v>
      </c>
    </row>
    <row r="938" spans="1:5" ht="15">
      <c r="A938" s="13">
        <v>70067</v>
      </c>
      <c r="B938" s="4">
        <f>59.1584 * CHOOSE(CONTROL!$C$9, $C$13, 100%, $E$13) + CHOOSE(CONTROL!$C$28, 0.0003, 0)</f>
        <v>59.158700000000003</v>
      </c>
      <c r="C938" s="4">
        <f>58.7951 * CHOOSE(CONTROL!$C$9, $C$13, 100%, $E$13) + CHOOSE(CONTROL!$C$28, 0.0003, 0)</f>
        <v>58.795400000000001</v>
      </c>
      <c r="D938" s="4">
        <f>88.8905 * CHOOSE(CONTROL!$C$9, $C$13, 100%, $E$13) + CHOOSE(CONTROL!$C$28, 0, 0)</f>
        <v>88.890500000000003</v>
      </c>
      <c r="E938" s="4">
        <f>421.418459167732 * CHOOSE(CONTROL!$C$9, $C$13, 100%, $E$13) + CHOOSE(CONTROL!$C$28, 0, 0)</f>
        <v>421.41845916773201</v>
      </c>
    </row>
    <row r="939" spans="1:5" ht="15">
      <c r="A939" s="13">
        <v>70097</v>
      </c>
      <c r="B939" s="4">
        <f>57.866 * CHOOSE(CONTROL!$C$9, $C$13, 100%, $E$13) + CHOOSE(CONTROL!$C$28, 0.0003, 0)</f>
        <v>57.866300000000003</v>
      </c>
      <c r="C939" s="4">
        <f>57.5027 * CHOOSE(CONTROL!$C$9, $C$13, 100%, $E$13) + CHOOSE(CONTROL!$C$28, 0.0003, 0)</f>
        <v>57.503</v>
      </c>
      <c r="D939" s="4">
        <f>88.4724 * CHOOSE(CONTROL!$C$9, $C$13, 100%, $E$13) + CHOOSE(CONTROL!$C$28, 0, 0)</f>
        <v>88.472399999999993</v>
      </c>
      <c r="E939" s="4">
        <f>412.090308438274 * CHOOSE(CONTROL!$C$9, $C$13, 100%, $E$13) + CHOOSE(CONTROL!$C$28, 0, 0)</f>
        <v>412.09030843827401</v>
      </c>
    </row>
    <row r="940" spans="1:5" ht="15">
      <c r="A940" s="13">
        <v>70128</v>
      </c>
      <c r="B940" s="4">
        <f>56.9719 * CHOOSE(CONTROL!$C$9, $C$13, 100%, $E$13) + CHOOSE(CONTROL!$C$28, 0.0003, 0)</f>
        <v>56.972200000000001</v>
      </c>
      <c r="C940" s="4">
        <f>56.6086 * CHOOSE(CONTROL!$C$9, $C$13, 100%, $E$13) + CHOOSE(CONTROL!$C$28, 0.0003, 0)</f>
        <v>56.608900000000006</v>
      </c>
      <c r="D940" s="4">
        <f>85.3945 * CHOOSE(CONTROL!$C$9, $C$13, 100%, $E$13) + CHOOSE(CONTROL!$C$28, 0, 0)</f>
        <v>85.394499999999994</v>
      </c>
      <c r="E940" s="4">
        <f>405.636427215247 * CHOOSE(CONTROL!$C$9, $C$13, 100%, $E$13) + CHOOSE(CONTROL!$C$28, 0, 0)</f>
        <v>405.63642721524701</v>
      </c>
    </row>
    <row r="941" spans="1:5" ht="15">
      <c r="A941" s="13">
        <v>70159</v>
      </c>
      <c r="B941" s="4">
        <f>54.5255 * CHOOSE(CONTROL!$C$9, $C$13, 100%, $E$13) + CHOOSE(CONTROL!$C$28, 0.0003, 0)</f>
        <v>54.525800000000004</v>
      </c>
      <c r="C941" s="4">
        <f>54.1622 * CHOOSE(CONTROL!$C$9, $C$13, 100%, $E$13) + CHOOSE(CONTROL!$C$28, 0.0003, 0)</f>
        <v>54.162500000000001</v>
      </c>
      <c r="D941" s="4">
        <f>82.0039 * CHOOSE(CONTROL!$C$9, $C$13, 100%, $E$13) + CHOOSE(CONTROL!$C$28, 0, 0)</f>
        <v>82.003900000000002</v>
      </c>
      <c r="E941" s="4">
        <f>388.740021754568 * CHOOSE(CONTROL!$C$9, $C$13, 100%, $E$13) + CHOOSE(CONTROL!$C$28, 0, 0)</f>
        <v>388.74002175456798</v>
      </c>
    </row>
    <row r="942" spans="1:5" ht="15">
      <c r="A942" s="13">
        <v>70188</v>
      </c>
      <c r="B942" s="4">
        <f>55.8018 * CHOOSE(CONTROL!$C$9, $C$13, 100%, $E$13) + CHOOSE(CONTROL!$C$28, 0.0003, 0)</f>
        <v>55.802100000000003</v>
      </c>
      <c r="C942" s="4">
        <f>55.4385 * CHOOSE(CONTROL!$C$9, $C$13, 100%, $E$13) + CHOOSE(CONTROL!$C$28, 0.0003, 0)</f>
        <v>55.438800000000001</v>
      </c>
      <c r="D942" s="4">
        <f>84.8328 * CHOOSE(CONTROL!$C$9, $C$13, 100%, $E$13) + CHOOSE(CONTROL!$C$28, 0, 0)</f>
        <v>84.832800000000006</v>
      </c>
      <c r="E942" s="4">
        <f>397.970241860243 * CHOOSE(CONTROL!$C$9, $C$13, 100%, $E$13) + CHOOSE(CONTROL!$C$28, 0, 0)</f>
        <v>397.97024186024299</v>
      </c>
    </row>
    <row r="943" spans="1:5" ht="15">
      <c r="A943" s="13">
        <v>70219</v>
      </c>
      <c r="B943" s="4">
        <f>59.1534 * CHOOSE(CONTROL!$C$9, $C$13, 100%, $E$13) + CHOOSE(CONTROL!$C$28, 0.0003, 0)</f>
        <v>59.153700000000001</v>
      </c>
      <c r="C943" s="4">
        <f>58.7901 * CHOOSE(CONTROL!$C$9, $C$13, 100%, $E$13) + CHOOSE(CONTROL!$C$28, 0.0003, 0)</f>
        <v>58.790400000000005</v>
      </c>
      <c r="D943" s="4">
        <f>89.2612 * CHOOSE(CONTROL!$C$9, $C$13, 100%, $E$13) + CHOOSE(CONTROL!$C$28, 0, 0)</f>
        <v>89.261200000000002</v>
      </c>
      <c r="E943" s="4">
        <f>422.209290381433 * CHOOSE(CONTROL!$C$9, $C$13, 100%, $E$13) + CHOOSE(CONTROL!$C$28, 0, 0)</f>
        <v>422.20929038143299</v>
      </c>
    </row>
    <row r="944" spans="1:5" ht="15">
      <c r="A944" s="13">
        <v>70249</v>
      </c>
      <c r="B944" s="4">
        <f>61.5347 * CHOOSE(CONTROL!$C$9, $C$13, 100%, $E$13) + CHOOSE(CONTROL!$C$28, 0.0003, 0)</f>
        <v>61.535000000000004</v>
      </c>
      <c r="C944" s="4">
        <f>61.1714 * CHOOSE(CONTROL!$C$9, $C$13, 100%, $E$13) + CHOOSE(CONTROL!$C$28, 0.0003, 0)</f>
        <v>61.171700000000001</v>
      </c>
      <c r="D944" s="4">
        <f>91.8121 * CHOOSE(CONTROL!$C$9, $C$13, 100%, $E$13) + CHOOSE(CONTROL!$C$28, 0, 0)</f>
        <v>91.812100000000001</v>
      </c>
      <c r="E944" s="4">
        <f>439.431457383532 * CHOOSE(CONTROL!$C$9, $C$13, 100%, $E$13) + CHOOSE(CONTROL!$C$28, 0, 0)</f>
        <v>439.43145738353201</v>
      </c>
    </row>
    <row r="945" spans="1:5" ht="15">
      <c r="A945" s="13">
        <v>70280</v>
      </c>
      <c r="B945" s="4">
        <f>62.9897 * CHOOSE(CONTROL!$C$9, $C$13, 100%, $E$13) + CHOOSE(CONTROL!$C$28, 0.0136, 0)</f>
        <v>63.003299999999996</v>
      </c>
      <c r="C945" s="4">
        <f>62.6264 * CHOOSE(CONTROL!$C$9, $C$13, 100%, $E$13) + CHOOSE(CONTROL!$C$28, 0.0136, 0)</f>
        <v>62.639999999999993</v>
      </c>
      <c r="D945" s="4">
        <f>90.8041 * CHOOSE(CONTROL!$C$9, $C$13, 100%, $E$13) + CHOOSE(CONTROL!$C$28, 0, 0)</f>
        <v>90.804100000000005</v>
      </c>
      <c r="E945" s="4">
        <f>449.953788664078 * CHOOSE(CONTROL!$C$9, $C$13, 100%, $E$13) + CHOOSE(CONTROL!$C$28, 0, 0)</f>
        <v>449.95378866407799</v>
      </c>
    </row>
    <row r="946" spans="1:5" ht="15">
      <c r="A946" s="13">
        <v>70310</v>
      </c>
      <c r="B946" s="4">
        <f>63.1865 * CHOOSE(CONTROL!$C$9, $C$13, 100%, $E$13) + CHOOSE(CONTROL!$C$28, 0.0136, 0)</f>
        <v>63.200099999999999</v>
      </c>
      <c r="C946" s="4">
        <f>62.8232 * CHOOSE(CONTROL!$C$9, $C$13, 100%, $E$13) + CHOOSE(CONTROL!$C$28, 0.0136, 0)</f>
        <v>62.836799999999997</v>
      </c>
      <c r="D946" s="4">
        <f>91.625 * CHOOSE(CONTROL!$C$9, $C$13, 100%, $E$13) + CHOOSE(CONTROL!$C$28, 0, 0)</f>
        <v>91.625</v>
      </c>
      <c r="E946" s="4">
        <f>451.377503754908 * CHOOSE(CONTROL!$C$9, $C$13, 100%, $E$13) + CHOOSE(CONTROL!$C$28, 0, 0)</f>
        <v>451.37750375490799</v>
      </c>
    </row>
    <row r="947" spans="1:5" ht="15">
      <c r="A947" s="13">
        <v>70341</v>
      </c>
      <c r="B947" s="4">
        <f>63.1667 * CHOOSE(CONTROL!$C$9, $C$13, 100%, $E$13) + CHOOSE(CONTROL!$C$28, 0.0136, 0)</f>
        <v>63.180299999999995</v>
      </c>
      <c r="C947" s="4">
        <f>62.8034 * CHOOSE(CONTROL!$C$9, $C$13, 100%, $E$13) + CHOOSE(CONTROL!$C$28, 0.0136, 0)</f>
        <v>62.817</v>
      </c>
      <c r="D947" s="4">
        <f>93.1063 * CHOOSE(CONTROL!$C$9, $C$13, 100%, $E$13) + CHOOSE(CONTROL!$C$28, 0, 0)</f>
        <v>93.106300000000005</v>
      </c>
      <c r="E947" s="4">
        <f>451.233935846589 * CHOOSE(CONTROL!$C$9, $C$13, 100%, $E$13) + CHOOSE(CONTROL!$C$28, 0, 0)</f>
        <v>451.23393584658902</v>
      </c>
    </row>
    <row r="948" spans="1:5" ht="15">
      <c r="A948" s="13">
        <v>70372</v>
      </c>
      <c r="B948" s="4">
        <f>64.6605 * CHOOSE(CONTROL!$C$9, $C$13, 100%, $E$13) + CHOOSE(CONTROL!$C$28, 0.0136, 0)</f>
        <v>64.674099999999996</v>
      </c>
      <c r="C948" s="4">
        <f>64.2972 * CHOOSE(CONTROL!$C$9, $C$13, 100%, $E$13) + CHOOSE(CONTROL!$C$28, 0.0136, 0)</f>
        <v>64.3108</v>
      </c>
      <c r="D948" s="4">
        <f>92.128 * CHOOSE(CONTROL!$C$9, $C$13, 100%, $E$13) + CHOOSE(CONTROL!$C$28, 0, 0)</f>
        <v>92.128</v>
      </c>
      <c r="E948" s="4">
        <f>462.037420947593 * CHOOSE(CONTROL!$C$9, $C$13, 100%, $E$13) + CHOOSE(CONTROL!$C$28, 0, 0)</f>
        <v>462.03742094759298</v>
      </c>
    </row>
    <row r="949" spans="1:5" ht="15">
      <c r="A949" s="13">
        <v>70402</v>
      </c>
      <c r="B949" s="4">
        <f>62.1145 * CHOOSE(CONTROL!$C$9, $C$13, 100%, $E$13) + CHOOSE(CONTROL!$C$28, 0.0136, 0)</f>
        <v>62.128099999999996</v>
      </c>
      <c r="C949" s="4">
        <f>61.7513 * CHOOSE(CONTROL!$C$9, $C$13, 100%, $E$13) + CHOOSE(CONTROL!$C$28, 0.0136, 0)</f>
        <v>61.764899999999997</v>
      </c>
      <c r="D949" s="4">
        <f>91.6658 * CHOOSE(CONTROL!$C$9, $C$13, 100%, $E$13) + CHOOSE(CONTROL!$C$28, 0, 0)</f>
        <v>91.665800000000004</v>
      </c>
      <c r="E949" s="4">
        <f>443.624836705682 * CHOOSE(CONTROL!$C$9, $C$13, 100%, $E$13) + CHOOSE(CONTROL!$C$28, 0, 0)</f>
        <v>443.62483670568201</v>
      </c>
    </row>
    <row r="950" spans="1:5" ht="15">
      <c r="A950" s="13">
        <v>70433</v>
      </c>
      <c r="B950" s="4">
        <f>60.0765 * CHOOSE(CONTROL!$C$9, $C$13, 100%, $E$13) + CHOOSE(CONTROL!$C$28, 0.0003, 0)</f>
        <v>60.076800000000006</v>
      </c>
      <c r="C950" s="4">
        <f>59.7132 * CHOOSE(CONTROL!$C$9, $C$13, 100%, $E$13) + CHOOSE(CONTROL!$C$28, 0.0003, 0)</f>
        <v>59.713500000000003</v>
      </c>
      <c r="D950" s="4">
        <f>90.4283 * CHOOSE(CONTROL!$C$9, $C$13, 100%, $E$13) + CHOOSE(CONTROL!$C$28, 0, 0)</f>
        <v>90.428299999999993</v>
      </c>
      <c r="E950" s="4">
        <f>428.885198118266 * CHOOSE(CONTROL!$C$9, $C$13, 100%, $E$13) + CHOOSE(CONTROL!$C$28, 0, 0)</f>
        <v>428.88519811826598</v>
      </c>
    </row>
    <row r="951" spans="1:5" ht="15">
      <c r="A951" s="13">
        <v>70463</v>
      </c>
      <c r="B951" s="4">
        <f>58.7638 * CHOOSE(CONTROL!$C$9, $C$13, 100%, $E$13) + CHOOSE(CONTROL!$C$28, 0.0003, 0)</f>
        <v>58.764100000000006</v>
      </c>
      <c r="C951" s="4">
        <f>58.4005 * CHOOSE(CONTROL!$C$9, $C$13, 100%, $E$13) + CHOOSE(CONTROL!$C$28, 0.0003, 0)</f>
        <v>58.400800000000004</v>
      </c>
      <c r="D951" s="4">
        <f>90.0028 * CHOOSE(CONTROL!$C$9, $C$13, 100%, $E$13) + CHOOSE(CONTROL!$C$28, 0, 0)</f>
        <v>90.002799999999993</v>
      </c>
      <c r="E951" s="4">
        <f>419.391770180673 * CHOOSE(CONTROL!$C$9, $C$13, 100%, $E$13) + CHOOSE(CONTROL!$C$28, 0, 0)</f>
        <v>419.39177018067301</v>
      </c>
    </row>
    <row r="952" spans="1:5" ht="15">
      <c r="A952" s="13">
        <v>70494</v>
      </c>
      <c r="B952" s="4">
        <f>57.8556 * CHOOSE(CONTROL!$C$9, $C$13, 100%, $E$13) + CHOOSE(CONTROL!$C$28, 0.0003, 0)</f>
        <v>57.855900000000005</v>
      </c>
      <c r="C952" s="4">
        <f>57.4923 * CHOOSE(CONTROL!$C$9, $C$13, 100%, $E$13) + CHOOSE(CONTROL!$C$28, 0.0003, 0)</f>
        <v>57.492600000000003</v>
      </c>
      <c r="D952" s="4">
        <f>86.8705 * CHOOSE(CONTROL!$C$9, $C$13, 100%, $E$13) + CHOOSE(CONTROL!$C$28, 0, 0)</f>
        <v>86.870500000000007</v>
      </c>
      <c r="E952" s="4">
        <f>412.823538375079 * CHOOSE(CONTROL!$C$9, $C$13, 100%, $E$13) + CHOOSE(CONTROL!$C$28, 0, 0)</f>
        <v>412.82353837507901</v>
      </c>
    </row>
    <row r="953" spans="1:5" ht="15">
      <c r="A953" s="13">
        <v>70525</v>
      </c>
      <c r="B953" s="4">
        <f>55.3707 * CHOOSE(CONTROL!$C$9, $C$13, 100%, $E$13) + CHOOSE(CONTROL!$C$28, 0.0003, 0)</f>
        <v>55.371000000000002</v>
      </c>
      <c r="C953" s="4">
        <f>55.0074 * CHOOSE(CONTROL!$C$9, $C$13, 100%, $E$13) + CHOOSE(CONTROL!$C$28, 0.0003, 0)</f>
        <v>55.0077</v>
      </c>
      <c r="D953" s="4">
        <f>83.42 * CHOOSE(CONTROL!$C$9, $C$13, 100%, $E$13) + CHOOSE(CONTROL!$C$28, 0, 0)</f>
        <v>83.42</v>
      </c>
      <c r="E953" s="4">
        <f>395.627760530413 * CHOOSE(CONTROL!$C$9, $C$13, 100%, $E$13) + CHOOSE(CONTROL!$C$28, 0, 0)</f>
        <v>395.62776053041301</v>
      </c>
    </row>
    <row r="954" spans="1:5" ht="15">
      <c r="A954" s="13">
        <v>70553</v>
      </c>
      <c r="B954" s="4">
        <f>56.6671 * CHOOSE(CONTROL!$C$9, $C$13, 100%, $E$13) + CHOOSE(CONTROL!$C$28, 0.0003, 0)</f>
        <v>56.667400000000001</v>
      </c>
      <c r="C954" s="4">
        <f>56.3038 * CHOOSE(CONTROL!$C$9, $C$13, 100%, $E$13) + CHOOSE(CONTROL!$C$28, 0.0003, 0)</f>
        <v>56.304100000000005</v>
      </c>
      <c r="D954" s="4">
        <f>86.2989 * CHOOSE(CONTROL!$C$9, $C$13, 100%, $E$13) + CHOOSE(CONTROL!$C$28, 0, 0)</f>
        <v>86.298900000000003</v>
      </c>
      <c r="E954" s="4">
        <f>405.021522698581 * CHOOSE(CONTROL!$C$9, $C$13, 100%, $E$13) + CHOOSE(CONTROL!$C$28, 0, 0)</f>
        <v>405.02152269858101</v>
      </c>
    </row>
    <row r="955" spans="1:5" ht="15">
      <c r="A955" s="13">
        <v>70584</v>
      </c>
      <c r="B955" s="4">
        <f>60.0714 * CHOOSE(CONTROL!$C$9, $C$13, 100%, $E$13) + CHOOSE(CONTROL!$C$28, 0.0003, 0)</f>
        <v>60.0717</v>
      </c>
      <c r="C955" s="4">
        <f>59.7081 * CHOOSE(CONTROL!$C$9, $C$13, 100%, $E$13) + CHOOSE(CONTROL!$C$28, 0.0003, 0)</f>
        <v>59.708400000000005</v>
      </c>
      <c r="D955" s="4">
        <f>90.8055 * CHOOSE(CONTROL!$C$9, $C$13, 100%, $E$13) + CHOOSE(CONTROL!$C$28, 0, 0)</f>
        <v>90.805499999999995</v>
      </c>
      <c r="E955" s="4">
        <f>429.690041367031 * CHOOSE(CONTROL!$C$9, $C$13, 100%, $E$13) + CHOOSE(CONTROL!$C$28, 0, 0)</f>
        <v>429.69004136703097</v>
      </c>
    </row>
    <row r="956" spans="1:5" ht="15">
      <c r="A956" s="13">
        <v>70614</v>
      </c>
      <c r="B956" s="4">
        <f>62.4902 * CHOOSE(CONTROL!$C$9, $C$13, 100%, $E$13) + CHOOSE(CONTROL!$C$28, 0.0003, 0)</f>
        <v>62.490500000000004</v>
      </c>
      <c r="C956" s="4">
        <f>62.1269 * CHOOSE(CONTROL!$C$9, $C$13, 100%, $E$13) + CHOOSE(CONTROL!$C$28, 0.0003, 0)</f>
        <v>62.127200000000002</v>
      </c>
      <c r="D956" s="4">
        <f>93.4015 * CHOOSE(CONTROL!$C$9, $C$13, 100%, $E$13) + CHOOSE(CONTROL!$C$28, 0, 0)</f>
        <v>93.401499999999999</v>
      </c>
      <c r="E956" s="4">
        <f>447.217352632201 * CHOOSE(CONTROL!$C$9, $C$13, 100%, $E$13) + CHOOSE(CONTROL!$C$28, 0, 0)</f>
        <v>447.21735263220103</v>
      </c>
    </row>
    <row r="957" spans="1:5" ht="15">
      <c r="A957" s="13">
        <v>70645</v>
      </c>
      <c r="B957" s="4">
        <f>63.968 * CHOOSE(CONTROL!$C$9, $C$13, 100%, $E$13) + CHOOSE(CONTROL!$C$28, 0.0136, 0)</f>
        <v>63.9816</v>
      </c>
      <c r="C957" s="4">
        <f>63.6047 * CHOOSE(CONTROL!$C$9, $C$13, 100%, $E$13) + CHOOSE(CONTROL!$C$28, 0.0136, 0)</f>
        <v>63.618299999999998</v>
      </c>
      <c r="D957" s="4">
        <f>92.3757 * CHOOSE(CONTROL!$C$9, $C$13, 100%, $E$13) + CHOOSE(CONTROL!$C$28, 0, 0)</f>
        <v>92.375699999999995</v>
      </c>
      <c r="E957" s="4">
        <f>457.926119744196 * CHOOSE(CONTROL!$C$9, $C$13, 100%, $E$13) + CHOOSE(CONTROL!$C$28, 0, 0)</f>
        <v>457.926119744196</v>
      </c>
    </row>
    <row r="958" spans="1:5" ht="15">
      <c r="A958" s="13">
        <v>70675</v>
      </c>
      <c r="B958" s="4">
        <f>64.168 * CHOOSE(CONTROL!$C$9, $C$13, 100%, $E$13) + CHOOSE(CONTROL!$C$28, 0.0136, 0)</f>
        <v>64.181600000000003</v>
      </c>
      <c r="C958" s="4">
        <f>63.8047 * CHOOSE(CONTROL!$C$9, $C$13, 100%, $E$13) + CHOOSE(CONTROL!$C$28, 0.0136, 0)</f>
        <v>63.818299999999994</v>
      </c>
      <c r="D958" s="4">
        <f>93.2111 * CHOOSE(CONTROL!$C$9, $C$13, 100%, $E$13) + CHOOSE(CONTROL!$C$28, 0, 0)</f>
        <v>93.211100000000002</v>
      </c>
      <c r="E958" s="4">
        <f>459.375060376746 * CHOOSE(CONTROL!$C$9, $C$13, 100%, $E$13) + CHOOSE(CONTROL!$C$28, 0, 0)</f>
        <v>459.37506037674598</v>
      </c>
    </row>
    <row r="959" spans="1:5" ht="15">
      <c r="A959" s="13">
        <v>70706</v>
      </c>
      <c r="B959" s="4">
        <f>64.1478 * CHOOSE(CONTROL!$C$9, $C$13, 100%, $E$13) + CHOOSE(CONTROL!$C$28, 0.0136, 0)</f>
        <v>64.1614</v>
      </c>
      <c r="C959" s="4">
        <f>63.7845 * CHOOSE(CONTROL!$C$9, $C$13, 100%, $E$13) + CHOOSE(CONTROL!$C$28, 0.0136, 0)</f>
        <v>63.798099999999998</v>
      </c>
      <c r="D959" s="4">
        <f>94.7186 * CHOOSE(CONTROL!$C$9, $C$13, 100%, $E$13) + CHOOSE(CONTROL!$C$28, 0, 0)</f>
        <v>94.718599999999995</v>
      </c>
      <c r="E959" s="4">
        <f>459.228948716321 * CHOOSE(CONTROL!$C$9, $C$13, 100%, $E$13) + CHOOSE(CONTROL!$C$28, 0, 0)</f>
        <v>459.22894871632099</v>
      </c>
    </row>
    <row r="960" spans="1:5" ht="15">
      <c r="A960" s="13">
        <v>70737</v>
      </c>
      <c r="B960" s="4">
        <f>65.6651 * CHOOSE(CONTROL!$C$9, $C$13, 100%, $E$13) + CHOOSE(CONTROL!$C$28, 0.0136, 0)</f>
        <v>65.678699999999992</v>
      </c>
      <c r="C960" s="4">
        <f>65.3018 * CHOOSE(CONTROL!$C$9, $C$13, 100%, $E$13) + CHOOSE(CONTROL!$C$28, 0.0136, 0)</f>
        <v>65.315399999999997</v>
      </c>
      <c r="D960" s="4">
        <f>93.7231 * CHOOSE(CONTROL!$C$9, $C$13, 100%, $E$13) + CHOOSE(CONTROL!$C$28, 0, 0)</f>
        <v>93.723100000000002</v>
      </c>
      <c r="E960" s="4">
        <f>470.223851163315 * CHOOSE(CONTROL!$C$9, $C$13, 100%, $E$13) + CHOOSE(CONTROL!$C$28, 0, 0)</f>
        <v>470.22385116331498</v>
      </c>
    </row>
    <row r="961" spans="1:5" ht="15">
      <c r="A961" s="13">
        <v>70767</v>
      </c>
      <c r="B961" s="4">
        <f>63.0791 * CHOOSE(CONTROL!$C$9, $C$13, 100%, $E$13) + CHOOSE(CONTROL!$C$28, 0.0136, 0)</f>
        <v>63.092699999999994</v>
      </c>
      <c r="C961" s="4">
        <f>62.7158 * CHOOSE(CONTROL!$C$9, $C$13, 100%, $E$13) + CHOOSE(CONTROL!$C$28, 0.0136, 0)</f>
        <v>62.729399999999998</v>
      </c>
      <c r="D961" s="4">
        <f>93.2527 * CHOOSE(CONTROL!$C$9, $C$13, 100%, $E$13) + CHOOSE(CONTROL!$C$28, 0, 0)</f>
        <v>93.252700000000004</v>
      </c>
      <c r="E961" s="4">
        <f>451.485030713787 * CHOOSE(CONTROL!$C$9, $C$13, 100%, $E$13) + CHOOSE(CONTROL!$C$28, 0, 0)</f>
        <v>451.48503071378701</v>
      </c>
    </row>
    <row r="962" spans="1:5" ht="15">
      <c r="A962" s="13">
        <v>70798</v>
      </c>
      <c r="B962" s="4">
        <f>61.009 * CHOOSE(CONTROL!$C$9, $C$13, 100%, $E$13) + CHOOSE(CONTROL!$C$28, 0.0003, 0)</f>
        <v>61.009300000000003</v>
      </c>
      <c r="C962" s="4">
        <f>60.6457 * CHOOSE(CONTROL!$C$9, $C$13, 100%, $E$13) + CHOOSE(CONTROL!$C$28, 0.0003, 0)</f>
        <v>60.646000000000001</v>
      </c>
      <c r="D962" s="4">
        <f>91.9933 * CHOOSE(CONTROL!$C$9, $C$13, 100%, $E$13) + CHOOSE(CONTROL!$C$28, 0, 0)</f>
        <v>91.993300000000005</v>
      </c>
      <c r="E962" s="4">
        <f>436.484233576802 * CHOOSE(CONTROL!$C$9, $C$13, 100%, $E$13) + CHOOSE(CONTROL!$C$28, 0, 0)</f>
        <v>436.48423357680201</v>
      </c>
    </row>
    <row r="963" spans="1:5" ht="15">
      <c r="A963" s="13">
        <v>70828</v>
      </c>
      <c r="B963" s="4">
        <f>59.6757 * CHOOSE(CONTROL!$C$9, $C$13, 100%, $E$13) + CHOOSE(CONTROL!$C$28, 0.0003, 0)</f>
        <v>59.676000000000002</v>
      </c>
      <c r="C963" s="4">
        <f>59.3124 * CHOOSE(CONTROL!$C$9, $C$13, 100%, $E$13) + CHOOSE(CONTROL!$C$28, 0.0003, 0)</f>
        <v>59.3127</v>
      </c>
      <c r="D963" s="4">
        <f>91.5603 * CHOOSE(CONTROL!$C$9, $C$13, 100%, $E$13) + CHOOSE(CONTROL!$C$28, 0, 0)</f>
        <v>91.560299999999998</v>
      </c>
      <c r="E963" s="4">
        <f>426.822600031187 * CHOOSE(CONTROL!$C$9, $C$13, 100%, $E$13) + CHOOSE(CONTROL!$C$28, 0, 0)</f>
        <v>426.82260003118699</v>
      </c>
    </row>
    <row r="964" spans="1:5" ht="15">
      <c r="A964" s="13">
        <v>70859</v>
      </c>
      <c r="B964" s="4">
        <f>58.7532 * CHOOSE(CONTROL!$C$9, $C$13, 100%, $E$13) + CHOOSE(CONTROL!$C$28, 0.0003, 0)</f>
        <v>58.753500000000003</v>
      </c>
      <c r="C964" s="4">
        <f>58.3899 * CHOOSE(CONTROL!$C$9, $C$13, 100%, $E$13) + CHOOSE(CONTROL!$C$28, 0.0003, 0)</f>
        <v>58.3902</v>
      </c>
      <c r="D964" s="4">
        <f>88.3727 * CHOOSE(CONTROL!$C$9, $C$13, 100%, $E$13) + CHOOSE(CONTROL!$C$28, 0, 0)</f>
        <v>88.372699999999995</v>
      </c>
      <c r="E964" s="4">
        <f>420.137991566736 * CHOOSE(CONTROL!$C$9, $C$13, 100%, $E$13) + CHOOSE(CONTROL!$C$28, 0, 0)</f>
        <v>420.13799156673599</v>
      </c>
    </row>
    <row r="965" spans="1:5" ht="15">
      <c r="A965" s="13">
        <v>70890</v>
      </c>
      <c r="B965" s="4">
        <f>56.2293 * CHOOSE(CONTROL!$C$9, $C$13, 100%, $E$13) + CHOOSE(CONTROL!$C$28, 0.0003, 0)</f>
        <v>56.229600000000005</v>
      </c>
      <c r="C965" s="4">
        <f>55.866 * CHOOSE(CONTROL!$C$9, $C$13, 100%, $E$13) + CHOOSE(CONTROL!$C$28, 0.0003, 0)</f>
        <v>55.866300000000003</v>
      </c>
      <c r="D965" s="4">
        <f>84.8612 * CHOOSE(CONTROL!$C$9, $C$13, 100%, $E$13) + CHOOSE(CONTROL!$C$28, 0, 0)</f>
        <v>84.861199999999997</v>
      </c>
      <c r="E965" s="4">
        <f>402.637537025014 * CHOOSE(CONTROL!$C$9, $C$13, 100%, $E$13) + CHOOSE(CONTROL!$C$28, 0, 0)</f>
        <v>402.63753702501401</v>
      </c>
    </row>
    <row r="966" spans="1:5" ht="15">
      <c r="A966" s="13">
        <v>70918</v>
      </c>
      <c r="B966" s="4">
        <f>57.546 * CHOOSE(CONTROL!$C$9, $C$13, 100%, $E$13) + CHOOSE(CONTROL!$C$28, 0.0003, 0)</f>
        <v>57.546300000000002</v>
      </c>
      <c r="C966" s="4">
        <f>57.1827 * CHOOSE(CONTROL!$C$9, $C$13, 100%, $E$13) + CHOOSE(CONTROL!$C$28, 0.0003, 0)</f>
        <v>57.183</v>
      </c>
      <c r="D966" s="4">
        <f>87.7909 * CHOOSE(CONTROL!$C$9, $C$13, 100%, $E$13) + CHOOSE(CONTROL!$C$28, 0, 0)</f>
        <v>87.790899999999993</v>
      </c>
      <c r="E966" s="4">
        <f>412.197738912059 * CHOOSE(CONTROL!$C$9, $C$13, 100%, $E$13) + CHOOSE(CONTROL!$C$28, 0, 0)</f>
        <v>412.19773891205898</v>
      </c>
    </row>
    <row r="967" spans="1:5" ht="15">
      <c r="A967" s="13">
        <v>70949</v>
      </c>
      <c r="B967" s="4">
        <f>61.0038 * CHOOSE(CONTROL!$C$9, $C$13, 100%, $E$13) + CHOOSE(CONTROL!$C$28, 0.0003, 0)</f>
        <v>61.004100000000001</v>
      </c>
      <c r="C967" s="4">
        <f>60.6406 * CHOOSE(CONTROL!$C$9, $C$13, 100%, $E$13) + CHOOSE(CONTROL!$C$28, 0.0003, 0)</f>
        <v>60.640900000000002</v>
      </c>
      <c r="D967" s="4">
        <f>92.3772 * CHOOSE(CONTROL!$C$9, $C$13, 100%, $E$13) + CHOOSE(CONTROL!$C$28, 0, 0)</f>
        <v>92.377200000000002</v>
      </c>
      <c r="E967" s="4">
        <f>437.303337127422 * CHOOSE(CONTROL!$C$9, $C$13, 100%, $E$13) + CHOOSE(CONTROL!$C$28, 0, 0)</f>
        <v>437.30333712742203</v>
      </c>
    </row>
    <row r="968" spans="1:5" ht="15">
      <c r="A968" s="13">
        <v>70979</v>
      </c>
      <c r="B968" s="4">
        <f>63.4607 * CHOOSE(CONTROL!$C$9, $C$13, 100%, $E$13) + CHOOSE(CONTROL!$C$28, 0.0003, 0)</f>
        <v>63.461000000000006</v>
      </c>
      <c r="C968" s="4">
        <f>63.0974 * CHOOSE(CONTROL!$C$9, $C$13, 100%, $E$13) + CHOOSE(CONTROL!$C$28, 0.0003, 0)</f>
        <v>63.097700000000003</v>
      </c>
      <c r="D968" s="4">
        <f>95.019 * CHOOSE(CONTROL!$C$9, $C$13, 100%, $E$13) + CHOOSE(CONTROL!$C$28, 0, 0)</f>
        <v>95.019000000000005</v>
      </c>
      <c r="E968" s="4">
        <f>455.141199235524 * CHOOSE(CONTROL!$C$9, $C$13, 100%, $E$13) + CHOOSE(CONTROL!$C$28, 0, 0)</f>
        <v>455.14119923552403</v>
      </c>
    </row>
    <row r="969" spans="1:5" ht="15">
      <c r="A969" s="13">
        <v>71010</v>
      </c>
      <c r="B969" s="4">
        <f>64.9617 * CHOOSE(CONTROL!$C$9, $C$13, 100%, $E$13) + CHOOSE(CONTROL!$C$28, 0.0136, 0)</f>
        <v>64.97529999999999</v>
      </c>
      <c r="C969" s="4">
        <f>64.5985 * CHOOSE(CONTROL!$C$9, $C$13, 100%, $E$13) + CHOOSE(CONTROL!$C$28, 0.0136, 0)</f>
        <v>64.612099999999998</v>
      </c>
      <c r="D969" s="4">
        <f>93.9751 * CHOOSE(CONTROL!$C$9, $C$13, 100%, $E$13) + CHOOSE(CONTROL!$C$28, 0, 0)</f>
        <v>93.975099999999998</v>
      </c>
      <c r="E969" s="4">
        <f>466.039705469686 * CHOOSE(CONTROL!$C$9, $C$13, 100%, $E$13) + CHOOSE(CONTROL!$C$28, 0, 0)</f>
        <v>466.039705469686</v>
      </c>
    </row>
    <row r="970" spans="1:5" ht="15">
      <c r="A970" s="13">
        <v>71040</v>
      </c>
      <c r="B970" s="4">
        <f>65.1648 * CHOOSE(CONTROL!$C$9, $C$13, 100%, $E$13) + CHOOSE(CONTROL!$C$28, 0.0136, 0)</f>
        <v>65.178399999999996</v>
      </c>
      <c r="C970" s="4">
        <f>64.8016 * CHOOSE(CONTROL!$C$9, $C$13, 100%, $E$13) + CHOOSE(CONTROL!$C$28, 0.0136, 0)</f>
        <v>64.81519999999999</v>
      </c>
      <c r="D970" s="4">
        <f>94.8253 * CHOOSE(CONTROL!$C$9, $C$13, 100%, $E$13) + CHOOSE(CONTROL!$C$28, 0, 0)</f>
        <v>94.825299999999999</v>
      </c>
      <c r="E970" s="4">
        <f>467.514318592898 * CHOOSE(CONTROL!$C$9, $C$13, 100%, $E$13) + CHOOSE(CONTROL!$C$28, 0, 0)</f>
        <v>467.51431859289801</v>
      </c>
    </row>
    <row r="971" spans="1:5" ht="15">
      <c r="A971" s="13">
        <v>71071</v>
      </c>
      <c r="B971" s="4">
        <f>65.1444 * CHOOSE(CONTROL!$C$9, $C$13, 100%, $E$13) + CHOOSE(CONTROL!$C$28, 0.0136, 0)</f>
        <v>65.158000000000001</v>
      </c>
      <c r="C971" s="4">
        <f>64.7811 * CHOOSE(CONTROL!$C$9, $C$13, 100%, $E$13) + CHOOSE(CONTROL!$C$28, 0.0136, 0)</f>
        <v>64.794699999999992</v>
      </c>
      <c r="D971" s="4">
        <f>96.3594 * CHOOSE(CONTROL!$C$9, $C$13, 100%, $E$13) + CHOOSE(CONTROL!$C$28, 0, 0)</f>
        <v>96.359399999999994</v>
      </c>
      <c r="E971" s="4">
        <f>467.365618109885 * CHOOSE(CONTROL!$C$9, $C$13, 100%, $E$13) + CHOOSE(CONTROL!$C$28, 0, 0)</f>
        <v>467.36561810988502</v>
      </c>
    </row>
    <row r="972" spans="1:5" ht="15">
      <c r="A972" s="13">
        <v>71102</v>
      </c>
      <c r="B972" s="4">
        <f>66.6855 * CHOOSE(CONTROL!$C$9, $C$13, 100%, $E$13) + CHOOSE(CONTROL!$C$28, 0.0136, 0)</f>
        <v>66.699100000000001</v>
      </c>
      <c r="C972" s="4">
        <f>66.3222 * CHOOSE(CONTROL!$C$9, $C$13, 100%, $E$13) + CHOOSE(CONTROL!$C$28, 0.0136, 0)</f>
        <v>66.335799999999992</v>
      </c>
      <c r="D972" s="4">
        <f>95.3463 * CHOOSE(CONTROL!$C$9, $C$13, 100%, $E$13) + CHOOSE(CONTROL!$C$28, 0, 0)</f>
        <v>95.346299999999999</v>
      </c>
      <c r="E972" s="4">
        <f>478.555329456614 * CHOOSE(CONTROL!$C$9, $C$13, 100%, $E$13) + CHOOSE(CONTROL!$C$28, 0, 0)</f>
        <v>478.555329456614</v>
      </c>
    </row>
    <row r="973" spans="1:5" ht="15">
      <c r="A973" s="13">
        <v>71132</v>
      </c>
      <c r="B973" s="4">
        <f>64.0589 * CHOOSE(CONTROL!$C$9, $C$13, 100%, $E$13) + CHOOSE(CONTROL!$C$28, 0.0136, 0)</f>
        <v>64.072499999999991</v>
      </c>
      <c r="C973" s="4">
        <f>63.6956 * CHOOSE(CONTROL!$C$9, $C$13, 100%, $E$13) + CHOOSE(CONTROL!$C$28, 0.0136, 0)</f>
        <v>63.709199999999996</v>
      </c>
      <c r="D973" s="4">
        <f>94.8676 * CHOOSE(CONTROL!$C$9, $C$13, 100%, $E$13) + CHOOSE(CONTROL!$C$28, 0, 0)</f>
        <v>94.867599999999996</v>
      </c>
      <c r="E973" s="4">
        <f>459.484492510196 * CHOOSE(CONTROL!$C$9, $C$13, 100%, $E$13) + CHOOSE(CONTROL!$C$28, 0, 0)</f>
        <v>459.48449251019599</v>
      </c>
    </row>
    <row r="974" spans="1:5" ht="15">
      <c r="A974" s="13">
        <v>71163</v>
      </c>
      <c r="B974" s="4">
        <f>61.9562 * CHOOSE(CONTROL!$C$9, $C$13, 100%, $E$13) + CHOOSE(CONTROL!$C$28, 0.0003, 0)</f>
        <v>61.956500000000005</v>
      </c>
      <c r="C974" s="4">
        <f>61.5929 * CHOOSE(CONTROL!$C$9, $C$13, 100%, $E$13) + CHOOSE(CONTROL!$C$28, 0.0003, 0)</f>
        <v>61.593200000000003</v>
      </c>
      <c r="D974" s="4">
        <f>93.586 * CHOOSE(CONTROL!$C$9, $C$13, 100%, $E$13) + CHOOSE(CONTROL!$C$28, 0, 0)</f>
        <v>93.585999999999999</v>
      </c>
      <c r="E974" s="4">
        <f>444.217909587527 * CHOOSE(CONTROL!$C$9, $C$13, 100%, $E$13) + CHOOSE(CONTROL!$C$28, 0, 0)</f>
        <v>444.217909587527</v>
      </c>
    </row>
    <row r="975" spans="1:5" ht="15">
      <c r="A975" s="13">
        <v>71193</v>
      </c>
      <c r="B975" s="4">
        <f>60.6019 * CHOOSE(CONTROL!$C$9, $C$13, 100%, $E$13) + CHOOSE(CONTROL!$C$28, 0.0003, 0)</f>
        <v>60.602200000000003</v>
      </c>
      <c r="C975" s="4">
        <f>60.2386 * CHOOSE(CONTROL!$C$9, $C$13, 100%, $E$13) + CHOOSE(CONTROL!$C$28, 0.0003, 0)</f>
        <v>60.238900000000001</v>
      </c>
      <c r="D975" s="4">
        <f>93.1453 * CHOOSE(CONTROL!$C$9, $C$13, 100%, $E$13) + CHOOSE(CONTROL!$C$28, 0, 0)</f>
        <v>93.145300000000006</v>
      </c>
      <c r="E975" s="4">
        <f>434.385090148292 * CHOOSE(CONTROL!$C$9, $C$13, 100%, $E$13) + CHOOSE(CONTROL!$C$28, 0, 0)</f>
        <v>434.38509014829202</v>
      </c>
    </row>
    <row r="976" spans="1:5" ht="15">
      <c r="A976" s="13">
        <v>71224</v>
      </c>
      <c r="B976" s="4">
        <f>59.6649 * CHOOSE(CONTROL!$C$9, $C$13, 100%, $E$13) + CHOOSE(CONTROL!$C$28, 0.0003, 0)</f>
        <v>59.665200000000006</v>
      </c>
      <c r="C976" s="4">
        <f>59.3016 * CHOOSE(CONTROL!$C$9, $C$13, 100%, $E$13) + CHOOSE(CONTROL!$C$28, 0.0003, 0)</f>
        <v>59.301900000000003</v>
      </c>
      <c r="D976" s="4">
        <f>89.9013 * CHOOSE(CONTROL!$C$9, $C$13, 100%, $E$13) + CHOOSE(CONTROL!$C$28, 0, 0)</f>
        <v>89.901300000000006</v>
      </c>
      <c r="E976" s="4">
        <f>427.582043050446 * CHOOSE(CONTROL!$C$9, $C$13, 100%, $E$13) + CHOOSE(CONTROL!$C$28, 0, 0)</f>
        <v>427.58204305044598</v>
      </c>
    </row>
    <row r="977" spans="1:5" ht="15">
      <c r="A977" s="13">
        <v>71255</v>
      </c>
      <c r="B977" s="4">
        <f>57.1013 * CHOOSE(CONTROL!$C$9, $C$13, 100%, $E$13) + CHOOSE(CONTROL!$C$28, 0.0003, 0)</f>
        <v>57.101600000000005</v>
      </c>
      <c r="C977" s="4">
        <f>56.738 * CHOOSE(CONTROL!$C$9, $C$13, 100%, $E$13) + CHOOSE(CONTROL!$C$28, 0.0003, 0)</f>
        <v>56.738300000000002</v>
      </c>
      <c r="D977" s="4">
        <f>86.3278 * CHOOSE(CONTROL!$C$9, $C$13, 100%, $E$13) + CHOOSE(CONTROL!$C$28, 0, 0)</f>
        <v>86.327799999999996</v>
      </c>
      <c r="E977" s="4">
        <f>409.771513516194 * CHOOSE(CONTROL!$C$9, $C$13, 100%, $E$13) + CHOOSE(CONTROL!$C$28, 0, 0)</f>
        <v>409.77151351619398</v>
      </c>
    </row>
    <row r="978" spans="1:5" ht="15">
      <c r="A978" s="13">
        <v>71283</v>
      </c>
      <c r="B978" s="4">
        <f>58.4388 * CHOOSE(CONTROL!$C$9, $C$13, 100%, $E$13) + CHOOSE(CONTROL!$C$28, 0.0003, 0)</f>
        <v>58.439100000000003</v>
      </c>
      <c r="C978" s="4">
        <f>58.0755 * CHOOSE(CONTROL!$C$9, $C$13, 100%, $E$13) + CHOOSE(CONTROL!$C$28, 0.0003, 0)</f>
        <v>58.075800000000001</v>
      </c>
      <c r="D978" s="4">
        <f>89.3093 * CHOOSE(CONTROL!$C$9, $C$13, 100%, $E$13) + CHOOSE(CONTROL!$C$28, 0, 0)</f>
        <v>89.309299999999993</v>
      </c>
      <c r="E978" s="4">
        <f>419.501104119495 * CHOOSE(CONTROL!$C$9, $C$13, 100%, $E$13) + CHOOSE(CONTROL!$C$28, 0, 0)</f>
        <v>419.50110411949498</v>
      </c>
    </row>
    <row r="979" spans="1:5" ht="15">
      <c r="A979" s="13">
        <v>71314</v>
      </c>
      <c r="B979" s="4">
        <f>61.951 * CHOOSE(CONTROL!$C$9, $C$13, 100%, $E$13) + CHOOSE(CONTROL!$C$28, 0.0003, 0)</f>
        <v>61.951300000000003</v>
      </c>
      <c r="C979" s="4">
        <f>61.5877 * CHOOSE(CONTROL!$C$9, $C$13, 100%, $E$13) + CHOOSE(CONTROL!$C$28, 0.0003, 0)</f>
        <v>61.588000000000001</v>
      </c>
      <c r="D979" s="4">
        <f>93.9766 * CHOOSE(CONTROL!$C$9, $C$13, 100%, $E$13) + CHOOSE(CONTROL!$C$28, 0, 0)</f>
        <v>93.976600000000005</v>
      </c>
      <c r="E979" s="4">
        <f>445.051526105609 * CHOOSE(CONTROL!$C$9, $C$13, 100%, $E$13) + CHOOSE(CONTROL!$C$28, 0, 0)</f>
        <v>445.05152610560901</v>
      </c>
    </row>
    <row r="980" spans="1:5" ht="15">
      <c r="A980" s="13">
        <v>71344</v>
      </c>
      <c r="B980" s="4">
        <f>64.4464 * CHOOSE(CONTROL!$C$9, $C$13, 100%, $E$13) + CHOOSE(CONTROL!$C$28, 0.0003, 0)</f>
        <v>64.446699999999993</v>
      </c>
      <c r="C980" s="4">
        <f>64.0831 * CHOOSE(CONTROL!$C$9, $C$13, 100%, $E$13) + CHOOSE(CONTROL!$C$28, 0.0003, 0)</f>
        <v>64.083399999999997</v>
      </c>
      <c r="D980" s="4">
        <f>96.6651 * CHOOSE(CONTROL!$C$9, $C$13, 100%, $E$13) + CHOOSE(CONTROL!$C$28, 0, 0)</f>
        <v>96.665099999999995</v>
      </c>
      <c r="E980" s="4">
        <f>463.205441430886 * CHOOSE(CONTROL!$C$9, $C$13, 100%, $E$13) + CHOOSE(CONTROL!$C$28, 0, 0)</f>
        <v>463.20544143088603</v>
      </c>
    </row>
    <row r="981" spans="1:5" ht="15">
      <c r="A981" s="13">
        <v>71375</v>
      </c>
      <c r="B981" s="4">
        <f>65.9711 * CHOOSE(CONTROL!$C$9, $C$13, 100%, $E$13) + CHOOSE(CONTROL!$C$28, 0.0136, 0)</f>
        <v>65.984700000000004</v>
      </c>
      <c r="C981" s="4">
        <f>65.6078 * CHOOSE(CONTROL!$C$9, $C$13, 100%, $E$13) + CHOOSE(CONTROL!$C$28, 0.0136, 0)</f>
        <v>65.621399999999994</v>
      </c>
      <c r="D981" s="4">
        <f>95.6028 * CHOOSE(CONTROL!$C$9, $C$13, 100%, $E$13) + CHOOSE(CONTROL!$C$28, 0, 0)</f>
        <v>95.602800000000002</v>
      </c>
      <c r="E981" s="4">
        <f>474.297048606003 * CHOOSE(CONTROL!$C$9, $C$13, 100%, $E$13) + CHOOSE(CONTROL!$C$28, 0, 0)</f>
        <v>474.29704860600299</v>
      </c>
    </row>
    <row r="982" spans="1:5" ht="15">
      <c r="A982" s="13">
        <v>71405</v>
      </c>
      <c r="B982" s="4">
        <f>66.1774 * CHOOSE(CONTROL!$C$9, $C$13, 100%, $E$13) + CHOOSE(CONTROL!$C$28, 0.0136, 0)</f>
        <v>66.191000000000003</v>
      </c>
      <c r="C982" s="4">
        <f>65.8141 * CHOOSE(CONTROL!$C$9, $C$13, 100%, $E$13) + CHOOSE(CONTROL!$C$28, 0.0136, 0)</f>
        <v>65.827699999999993</v>
      </c>
      <c r="D982" s="4">
        <f>96.468 * CHOOSE(CONTROL!$C$9, $C$13, 100%, $E$13) + CHOOSE(CONTROL!$C$28, 0, 0)</f>
        <v>96.468000000000004</v>
      </c>
      <c r="E982" s="4">
        <f>475.797789087912 * CHOOSE(CONTROL!$C$9, $C$13, 100%, $E$13) + CHOOSE(CONTROL!$C$28, 0, 0)</f>
        <v>475.79778908791201</v>
      </c>
    </row>
    <row r="983" spans="1:5" ht="15">
      <c r="A983" s="13">
        <v>71436</v>
      </c>
      <c r="B983" s="4">
        <f>66.1566 * CHOOSE(CONTROL!$C$9, $C$13, 100%, $E$13) + CHOOSE(CONTROL!$C$28, 0.0136, 0)</f>
        <v>66.170199999999994</v>
      </c>
      <c r="C983" s="4">
        <f>65.7933 * CHOOSE(CONTROL!$C$9, $C$13, 100%, $E$13) + CHOOSE(CONTROL!$C$28, 0.0136, 0)</f>
        <v>65.806899999999999</v>
      </c>
      <c r="D983" s="4">
        <f>98.0292 * CHOOSE(CONTROL!$C$9, $C$13, 100%, $E$13) + CHOOSE(CONTROL!$C$28, 0, 0)</f>
        <v>98.029200000000003</v>
      </c>
      <c r="E983" s="4">
        <f>475.646453913266 * CHOOSE(CONTROL!$C$9, $C$13, 100%, $E$13) + CHOOSE(CONTROL!$C$28, 0, 0)</f>
        <v>475.64645391326599</v>
      </c>
    </row>
    <row r="984" spans="1:5" ht="15">
      <c r="A984" s="13">
        <v>71467</v>
      </c>
      <c r="B984" s="4">
        <f>67.722 * CHOOSE(CONTROL!$C$9, $C$13, 100%, $E$13) + CHOOSE(CONTROL!$C$28, 0.0136, 0)</f>
        <v>67.735599999999991</v>
      </c>
      <c r="C984" s="4">
        <f>67.3587 * CHOOSE(CONTROL!$C$9, $C$13, 100%, $E$13) + CHOOSE(CONTROL!$C$28, 0.0136, 0)</f>
        <v>67.372299999999996</v>
      </c>
      <c r="D984" s="4">
        <f>96.9982 * CHOOSE(CONTROL!$C$9, $C$13, 100%, $E$13) + CHOOSE(CONTROL!$C$28, 0, 0)</f>
        <v>96.998199999999997</v>
      </c>
      <c r="E984" s="4">
        <f>487.034425805398 * CHOOSE(CONTROL!$C$9, $C$13, 100%, $E$13) + CHOOSE(CONTROL!$C$28, 0, 0)</f>
        <v>487.03442580539797</v>
      </c>
    </row>
    <row r="985" spans="1:5" ht="15">
      <c r="A985" s="13">
        <v>71497</v>
      </c>
      <c r="B985" s="4">
        <f>65.054 * CHOOSE(CONTROL!$C$9, $C$13, 100%, $E$13) + CHOOSE(CONTROL!$C$28, 0.0136, 0)</f>
        <v>65.067599999999999</v>
      </c>
      <c r="C985" s="4">
        <f>64.6908 * CHOOSE(CONTROL!$C$9, $C$13, 100%, $E$13) + CHOOSE(CONTROL!$C$28, 0.0136, 0)</f>
        <v>64.704399999999993</v>
      </c>
      <c r="D985" s="4">
        <f>96.511 * CHOOSE(CONTROL!$C$9, $C$13, 100%, $E$13) + CHOOSE(CONTROL!$C$28, 0, 0)</f>
        <v>96.510999999999996</v>
      </c>
      <c r="E985" s="4">
        <f>467.625689657013 * CHOOSE(CONTROL!$C$9, $C$13, 100%, $E$13) + CHOOSE(CONTROL!$C$28, 0, 0)</f>
        <v>467.62568965701303</v>
      </c>
    </row>
    <row r="986" spans="1:5" ht="15">
      <c r="A986" s="13">
        <v>71528</v>
      </c>
      <c r="B986" s="4">
        <f>62.9183 * CHOOSE(CONTROL!$C$9, $C$13, 100%, $E$13) + CHOOSE(CONTROL!$C$28, 0.0003, 0)</f>
        <v>62.918600000000005</v>
      </c>
      <c r="C986" s="4">
        <f>62.555 * CHOOSE(CONTROL!$C$9, $C$13, 100%, $E$13) + CHOOSE(CONTROL!$C$28, 0.0003, 0)</f>
        <v>62.555300000000003</v>
      </c>
      <c r="D986" s="4">
        <f>95.2067 * CHOOSE(CONTROL!$C$9, $C$13, 100%, $E$13) + CHOOSE(CONTROL!$C$28, 0, 0)</f>
        <v>95.206699999999998</v>
      </c>
      <c r="E986" s="4">
        <f>452.088611726661 * CHOOSE(CONTROL!$C$9, $C$13, 100%, $E$13) + CHOOSE(CONTROL!$C$28, 0, 0)</f>
        <v>452.08861172666099</v>
      </c>
    </row>
    <row r="987" spans="1:5" ht="15">
      <c r="A987" s="13">
        <v>71558</v>
      </c>
      <c r="B987" s="4">
        <f>61.5427 * CHOOSE(CONTROL!$C$9, $C$13, 100%, $E$13) + CHOOSE(CONTROL!$C$28, 0.0003, 0)</f>
        <v>61.543000000000006</v>
      </c>
      <c r="C987" s="4">
        <f>61.1794 * CHOOSE(CONTROL!$C$9, $C$13, 100%, $E$13) + CHOOSE(CONTROL!$C$28, 0.0003, 0)</f>
        <v>61.179700000000004</v>
      </c>
      <c r="D987" s="4">
        <f>94.7583 * CHOOSE(CONTROL!$C$9, $C$13, 100%, $E$13) + CHOOSE(CONTROL!$C$28, 0, 0)</f>
        <v>94.758300000000006</v>
      </c>
      <c r="E987" s="4">
        <f>442.081573303175 * CHOOSE(CONTROL!$C$9, $C$13, 100%, $E$13) + CHOOSE(CONTROL!$C$28, 0, 0)</f>
        <v>442.08157330317499</v>
      </c>
    </row>
    <row r="988" spans="1:5" ht="15">
      <c r="A988" s="13">
        <v>71589</v>
      </c>
      <c r="B988" s="4">
        <f>60.591 * CHOOSE(CONTROL!$C$9, $C$13, 100%, $E$13) + CHOOSE(CONTROL!$C$28, 0.0003, 0)</f>
        <v>60.591300000000004</v>
      </c>
      <c r="C988" s="4">
        <f>60.2277 * CHOOSE(CONTROL!$C$9, $C$13, 100%, $E$13) + CHOOSE(CONTROL!$C$28, 0.0003, 0)</f>
        <v>60.228000000000002</v>
      </c>
      <c r="D988" s="4">
        <f>91.457 * CHOOSE(CONTROL!$C$9, $C$13, 100%, $E$13) + CHOOSE(CONTROL!$C$28, 0, 0)</f>
        <v>91.456999999999994</v>
      </c>
      <c r="E988" s="4">
        <f>435.157989063108 * CHOOSE(CONTROL!$C$9, $C$13, 100%, $E$13) + CHOOSE(CONTROL!$C$28, 0, 0)</f>
        <v>435.157989063108</v>
      </c>
    </row>
    <row r="989" spans="1:5" ht="15">
      <c r="A989" s="13">
        <v>71620</v>
      </c>
      <c r="B989" s="4">
        <f>57.9871 * CHOOSE(CONTROL!$C$9, $C$13, 100%, $E$13) + CHOOSE(CONTROL!$C$28, 0.0003, 0)</f>
        <v>57.987400000000001</v>
      </c>
      <c r="C989" s="4">
        <f>57.6238 * CHOOSE(CONTROL!$C$9, $C$13, 100%, $E$13) + CHOOSE(CONTROL!$C$28, 0.0003, 0)</f>
        <v>57.624100000000006</v>
      </c>
      <c r="D989" s="4">
        <f>87.8204 * CHOOSE(CONTROL!$C$9, $C$13, 100%, $E$13) + CHOOSE(CONTROL!$C$28, 0, 0)</f>
        <v>87.820400000000006</v>
      </c>
      <c r="E989" s="4">
        <f>417.031890593253 * CHOOSE(CONTROL!$C$9, $C$13, 100%, $E$13) + CHOOSE(CONTROL!$C$28, 0, 0)</f>
        <v>417.03189059325302</v>
      </c>
    </row>
    <row r="990" spans="1:5" ht="15">
      <c r="A990" s="13">
        <v>71649</v>
      </c>
      <c r="B990" s="4">
        <f>59.3455 * CHOOSE(CONTROL!$C$9, $C$13, 100%, $E$13) + CHOOSE(CONTROL!$C$28, 0.0003, 0)</f>
        <v>59.345800000000004</v>
      </c>
      <c r="C990" s="4">
        <f>58.9823 * CHOOSE(CONTROL!$C$9, $C$13, 100%, $E$13) + CHOOSE(CONTROL!$C$28, 0.0003, 0)</f>
        <v>58.982600000000005</v>
      </c>
      <c r="D990" s="4">
        <f>90.8546 * CHOOSE(CONTROL!$C$9, $C$13, 100%, $E$13) + CHOOSE(CONTROL!$C$28, 0, 0)</f>
        <v>90.854600000000005</v>
      </c>
      <c r="E990" s="4">
        <f>426.933871160851 * CHOOSE(CONTROL!$C$9, $C$13, 100%, $E$13) + CHOOSE(CONTROL!$C$28, 0, 0)</f>
        <v>426.93387116085103</v>
      </c>
    </row>
    <row r="991" spans="1:5" ht="15">
      <c r="A991" s="13">
        <v>71680</v>
      </c>
      <c r="B991" s="4">
        <f>62.913 * CHOOSE(CONTROL!$C$9, $C$13, 100%, $E$13) + CHOOSE(CONTROL!$C$28, 0.0003, 0)</f>
        <v>62.9133</v>
      </c>
      <c r="C991" s="4">
        <f>62.5497 * CHOOSE(CONTROL!$C$9, $C$13, 100%, $E$13) + CHOOSE(CONTROL!$C$28, 0.0003, 0)</f>
        <v>62.550000000000004</v>
      </c>
      <c r="D991" s="4">
        <f>95.6043 * CHOOSE(CONTROL!$C$9, $C$13, 100%, $E$13) + CHOOSE(CONTROL!$C$28, 0, 0)</f>
        <v>95.604299999999995</v>
      </c>
      <c r="E991" s="4">
        <f>452.936998354571 * CHOOSE(CONTROL!$C$9, $C$13, 100%, $E$13) + CHOOSE(CONTROL!$C$28, 0, 0)</f>
        <v>452.93699835457102</v>
      </c>
    </row>
    <row r="992" spans="1:5" ht="15">
      <c r="A992" s="13">
        <v>71710</v>
      </c>
      <c r="B992" s="4">
        <f>65.4477 * CHOOSE(CONTROL!$C$9, $C$13, 100%, $E$13) + CHOOSE(CONTROL!$C$28, 0.0003, 0)</f>
        <v>65.447999999999993</v>
      </c>
      <c r="C992" s="4">
        <f>65.0844 * CHOOSE(CONTROL!$C$9, $C$13, 100%, $E$13) + CHOOSE(CONTROL!$C$28, 0.0003, 0)</f>
        <v>65.084699999999998</v>
      </c>
      <c r="D992" s="4">
        <f>98.3403 * CHOOSE(CONTROL!$C$9, $C$13, 100%, $E$13) + CHOOSE(CONTROL!$C$28, 0, 0)</f>
        <v>98.340299999999999</v>
      </c>
      <c r="E992" s="4">
        <f>471.412566762942 * CHOOSE(CONTROL!$C$9, $C$13, 100%, $E$13) + CHOOSE(CONTROL!$C$28, 0, 0)</f>
        <v>471.41256676294199</v>
      </c>
    </row>
    <row r="993" spans="1:5" ht="15">
      <c r="A993" s="13">
        <v>71741</v>
      </c>
      <c r="B993" s="4">
        <f>66.9963 * CHOOSE(CONTROL!$C$9, $C$13, 100%, $E$13) + CHOOSE(CONTROL!$C$28, 0.0136, 0)</f>
        <v>67.009900000000002</v>
      </c>
      <c r="C993" s="4">
        <f>66.633 * CHOOSE(CONTROL!$C$9, $C$13, 100%, $E$13) + CHOOSE(CONTROL!$C$28, 0.0136, 0)</f>
        <v>66.646599999999992</v>
      </c>
      <c r="D993" s="4">
        <f>97.2592 * CHOOSE(CONTROL!$C$9, $C$13, 100%, $E$13) + CHOOSE(CONTROL!$C$28, 0, 0)</f>
        <v>97.259200000000007</v>
      </c>
      <c r="E993" s="4">
        <f>482.700696262881 * CHOOSE(CONTROL!$C$9, $C$13, 100%, $E$13) + CHOOSE(CONTROL!$C$28, 0, 0)</f>
        <v>482.70069626288102</v>
      </c>
    </row>
    <row r="994" spans="1:5" ht="15">
      <c r="A994" s="13">
        <v>71771</v>
      </c>
      <c r="B994" s="4">
        <f>67.2059 * CHOOSE(CONTROL!$C$9, $C$13, 100%, $E$13) + CHOOSE(CONTROL!$C$28, 0.0136, 0)</f>
        <v>67.219499999999996</v>
      </c>
      <c r="C994" s="4">
        <f>66.8426 * CHOOSE(CONTROL!$C$9, $C$13, 100%, $E$13) + CHOOSE(CONTROL!$C$28, 0.0136, 0)</f>
        <v>66.856200000000001</v>
      </c>
      <c r="D994" s="4">
        <f>98.1397 * CHOOSE(CONTROL!$C$9, $C$13, 100%, $E$13) + CHOOSE(CONTROL!$C$28, 0, 0)</f>
        <v>98.139700000000005</v>
      </c>
      <c r="E994" s="4">
        <f>484.228027030922 * CHOOSE(CONTROL!$C$9, $C$13, 100%, $E$13) + CHOOSE(CONTROL!$C$28, 0, 0)</f>
        <v>484.22802703092202</v>
      </c>
    </row>
    <row r="995" spans="1:5" ht="15">
      <c r="A995" s="13">
        <v>71802</v>
      </c>
      <c r="B995" s="4">
        <f>67.1847 * CHOOSE(CONTROL!$C$9, $C$13, 100%, $E$13) + CHOOSE(CONTROL!$C$28, 0.0136, 0)</f>
        <v>67.198300000000003</v>
      </c>
      <c r="C995" s="4">
        <f>66.8214 * CHOOSE(CONTROL!$C$9, $C$13, 100%, $E$13) + CHOOSE(CONTROL!$C$28, 0.0136, 0)</f>
        <v>66.834999999999994</v>
      </c>
      <c r="D995" s="4">
        <f>99.7285 * CHOOSE(CONTROL!$C$9, $C$13, 100%, $E$13) + CHOOSE(CONTROL!$C$28, 0, 0)</f>
        <v>99.728499999999997</v>
      </c>
      <c r="E995" s="4">
        <f>484.074010482884 * CHOOSE(CONTROL!$C$9, $C$13, 100%, $E$13) + CHOOSE(CONTROL!$C$28, 0, 0)</f>
        <v>484.07401048288398</v>
      </c>
    </row>
    <row r="996" spans="1:5" ht="15">
      <c r="A996" s="13">
        <v>71833</v>
      </c>
      <c r="B996" s="4">
        <f>68.7748 * CHOOSE(CONTROL!$C$9, $C$13, 100%, $E$13) + CHOOSE(CONTROL!$C$28, 0.0136, 0)</f>
        <v>68.788399999999996</v>
      </c>
      <c r="C996" s="4">
        <f>68.4115 * CHOOSE(CONTROL!$C$9, $C$13, 100%, $E$13) + CHOOSE(CONTROL!$C$28, 0.0136, 0)</f>
        <v>68.4251</v>
      </c>
      <c r="D996" s="4">
        <f>98.6792 * CHOOSE(CONTROL!$C$9, $C$13, 100%, $E$13) + CHOOSE(CONTROL!$C$28, 0, 0)</f>
        <v>98.679199999999994</v>
      </c>
      <c r="E996" s="4">
        <f>495.663755722731 * CHOOSE(CONTROL!$C$9, $C$13, 100%, $E$13) + CHOOSE(CONTROL!$C$28, 0, 0)</f>
        <v>495.66375572273103</v>
      </c>
    </row>
    <row r="997" spans="1:5" ht="15">
      <c r="A997" s="13">
        <v>71863</v>
      </c>
      <c r="B997" s="4">
        <f>66.0648 * CHOOSE(CONTROL!$C$9, $C$13, 100%, $E$13) + CHOOSE(CONTROL!$C$28, 0.0136, 0)</f>
        <v>66.078400000000002</v>
      </c>
      <c r="C997" s="4">
        <f>65.7016 * CHOOSE(CONTROL!$C$9, $C$13, 100%, $E$13) + CHOOSE(CONTROL!$C$28, 0.0136, 0)</f>
        <v>65.715199999999996</v>
      </c>
      <c r="D997" s="4">
        <f>98.1835 * CHOOSE(CONTROL!$C$9, $C$13, 100%, $E$13) + CHOOSE(CONTROL!$C$28, 0, 0)</f>
        <v>98.183499999999995</v>
      </c>
      <c r="E997" s="4">
        <f>475.91113343688 * CHOOSE(CONTROL!$C$9, $C$13, 100%, $E$13) + CHOOSE(CONTROL!$C$28, 0, 0)</f>
        <v>475.91113343687999</v>
      </c>
    </row>
    <row r="998" spans="1:5" ht="15">
      <c r="A998" s="13">
        <v>71894</v>
      </c>
      <c r="B998" s="4">
        <f>63.8955 * CHOOSE(CONTROL!$C$9, $C$13, 100%, $E$13) + CHOOSE(CONTROL!$C$28, 0.0003, 0)</f>
        <v>63.895800000000001</v>
      </c>
      <c r="C998" s="4">
        <f>63.5322 * CHOOSE(CONTROL!$C$9, $C$13, 100%, $E$13) + CHOOSE(CONTROL!$C$28, 0.0003, 0)</f>
        <v>63.532500000000006</v>
      </c>
      <c r="D998" s="4">
        <f>96.8562 * CHOOSE(CONTROL!$C$9, $C$13, 100%, $E$13) + CHOOSE(CONTROL!$C$28, 0, 0)</f>
        <v>96.856200000000001</v>
      </c>
      <c r="E998" s="4">
        <f>460.09876783833 * CHOOSE(CONTROL!$C$9, $C$13, 100%, $E$13) + CHOOSE(CONTROL!$C$28, 0, 0)</f>
        <v>460.09876783832999</v>
      </c>
    </row>
    <row r="999" spans="1:5" ht="15">
      <c r="A999" s="13">
        <v>71924</v>
      </c>
      <c r="B999" s="4">
        <f>62.4983 * CHOOSE(CONTROL!$C$9, $C$13, 100%, $E$13) + CHOOSE(CONTROL!$C$28, 0.0003, 0)</f>
        <v>62.498600000000003</v>
      </c>
      <c r="C999" s="4">
        <f>62.135 * CHOOSE(CONTROL!$C$9, $C$13, 100%, $E$13) + CHOOSE(CONTROL!$C$28, 0.0003, 0)</f>
        <v>62.135300000000001</v>
      </c>
      <c r="D999" s="4">
        <f>96.3998 * CHOOSE(CONTROL!$C$9, $C$13, 100%, $E$13) + CHOOSE(CONTROL!$C$28, 0, 0)</f>
        <v>96.399799999999999</v>
      </c>
      <c r="E999" s="4">
        <f>449.914423599328 * CHOOSE(CONTROL!$C$9, $C$13, 100%, $E$13) + CHOOSE(CONTROL!$C$28, 0, 0)</f>
        <v>449.91442359932802</v>
      </c>
    </row>
    <row r="1000" spans="1:5" ht="15">
      <c r="A1000" s="13">
        <v>71955</v>
      </c>
      <c r="B1000" s="4">
        <f>61.5316 * CHOOSE(CONTROL!$C$9, $C$13, 100%, $E$13) + CHOOSE(CONTROL!$C$28, 0.0003, 0)</f>
        <v>61.5319</v>
      </c>
      <c r="C1000" s="4">
        <f>61.1683 * CHOOSE(CONTROL!$C$9, $C$13, 100%, $E$13) + CHOOSE(CONTROL!$C$28, 0.0003, 0)</f>
        <v>61.168600000000005</v>
      </c>
      <c r="D1000" s="4">
        <f>93.0402 * CHOOSE(CONTROL!$C$9, $C$13, 100%, $E$13) + CHOOSE(CONTROL!$C$28, 0, 0)</f>
        <v>93.040199999999999</v>
      </c>
      <c r="E1000" s="4">
        <f>442.868166526598 * CHOOSE(CONTROL!$C$9, $C$13, 100%, $E$13) + CHOOSE(CONTROL!$C$28, 0, 0)</f>
        <v>442.86816652659797</v>
      </c>
    </row>
    <row r="1001" spans="1:5" ht="15">
      <c r="A1001" s="13">
        <v>71986</v>
      </c>
      <c r="B1001" s="4">
        <f>58.8867 * CHOOSE(CONTROL!$C$9, $C$13, 100%, $E$13) + CHOOSE(CONTROL!$C$28, 0.0003, 0)</f>
        <v>58.887</v>
      </c>
      <c r="C1001" s="4">
        <f>58.5235 * CHOOSE(CONTROL!$C$9, $C$13, 100%, $E$13) + CHOOSE(CONTROL!$C$28, 0.0003, 0)</f>
        <v>58.523800000000001</v>
      </c>
      <c r="D1001" s="4">
        <f>89.3393 * CHOOSE(CONTROL!$C$9, $C$13, 100%, $E$13) + CHOOSE(CONTROL!$C$28, 0, 0)</f>
        <v>89.339299999999994</v>
      </c>
      <c r="E1001" s="4">
        <f>424.420907835775 * CHOOSE(CONTROL!$C$9, $C$13, 100%, $E$13) + CHOOSE(CONTROL!$C$28, 0, 0)</f>
        <v>424.42090783577498</v>
      </c>
    </row>
    <row r="1002" spans="1:5" ht="15">
      <c r="A1002" s="13">
        <v>72014</v>
      </c>
      <c r="B1002" s="4">
        <f>60.2666 * CHOOSE(CONTROL!$C$9, $C$13, 100%, $E$13) + CHOOSE(CONTROL!$C$28, 0.0003, 0)</f>
        <v>60.2669</v>
      </c>
      <c r="C1002" s="4">
        <f>59.9033 * CHOOSE(CONTROL!$C$9, $C$13, 100%, $E$13) + CHOOSE(CONTROL!$C$28, 0.0003, 0)</f>
        <v>59.903600000000004</v>
      </c>
      <c r="D1002" s="4">
        <f>92.4271 * CHOOSE(CONTROL!$C$9, $C$13, 100%, $E$13) + CHOOSE(CONTROL!$C$28, 0, 0)</f>
        <v>92.427099999999996</v>
      </c>
      <c r="E1002" s="4">
        <f>434.498332792159 * CHOOSE(CONTROL!$C$9, $C$13, 100%, $E$13) + CHOOSE(CONTROL!$C$28, 0, 0)</f>
        <v>434.49833279215898</v>
      </c>
    </row>
    <row r="1003" spans="1:5" ht="15">
      <c r="A1003" s="13">
        <v>72045</v>
      </c>
      <c r="B1003" s="4">
        <f>63.8901 * CHOOSE(CONTROL!$C$9, $C$13, 100%, $E$13) + CHOOSE(CONTROL!$C$28, 0.0003, 0)</f>
        <v>63.8904</v>
      </c>
      <c r="C1003" s="4">
        <f>63.5268 * CHOOSE(CONTROL!$C$9, $C$13, 100%, $E$13) + CHOOSE(CONTROL!$C$28, 0.0003, 0)</f>
        <v>63.527100000000004</v>
      </c>
      <c r="D1003" s="4">
        <f>97.2608 * CHOOSE(CONTROL!$C$9, $C$13, 100%, $E$13) + CHOOSE(CONTROL!$C$28, 0, 0)</f>
        <v>97.260800000000003</v>
      </c>
      <c r="E1003" s="4">
        <f>460.96218627451 * CHOOSE(CONTROL!$C$9, $C$13, 100%, $E$13) + CHOOSE(CONTROL!$C$28, 0, 0)</f>
        <v>460.96218627450997</v>
      </c>
    </row>
    <row r="1004" spans="1:5" ht="15">
      <c r="A1004" s="13">
        <v>72075</v>
      </c>
      <c r="B1004" s="4">
        <f>66.4647 * CHOOSE(CONTROL!$C$9, $C$13, 100%, $E$13) + CHOOSE(CONTROL!$C$28, 0.0003, 0)</f>
        <v>66.464999999999989</v>
      </c>
      <c r="C1004" s="4">
        <f>66.1014 * CHOOSE(CONTROL!$C$9, $C$13, 100%, $E$13) + CHOOSE(CONTROL!$C$28, 0.0003, 0)</f>
        <v>66.101699999999994</v>
      </c>
      <c r="D1004" s="4">
        <f>100.0451 * CHOOSE(CONTROL!$C$9, $C$13, 100%, $E$13) + CHOOSE(CONTROL!$C$28, 0, 0)</f>
        <v>100.04510000000001</v>
      </c>
      <c r="E1004" s="4">
        <f>479.765106850938 * CHOOSE(CONTROL!$C$9, $C$13, 100%, $E$13) + CHOOSE(CONTROL!$C$28, 0, 0)</f>
        <v>479.76510685093803</v>
      </c>
    </row>
    <row r="1005" spans="1:5" ht="15">
      <c r="A1005" s="13">
        <v>72106</v>
      </c>
      <c r="B1005" s="4">
        <f>68.0377 * CHOOSE(CONTROL!$C$9, $C$13, 100%, $E$13) + CHOOSE(CONTROL!$C$28, 0.0136, 0)</f>
        <v>68.051299999999998</v>
      </c>
      <c r="C1005" s="4">
        <f>67.6744 * CHOOSE(CONTROL!$C$9, $C$13, 100%, $E$13) + CHOOSE(CONTROL!$C$28, 0.0136, 0)</f>
        <v>67.688000000000002</v>
      </c>
      <c r="D1005" s="4">
        <f>98.9449 * CHOOSE(CONTROL!$C$9, $C$13, 100%, $E$13) + CHOOSE(CONTROL!$C$28, 0, 0)</f>
        <v>98.944900000000004</v>
      </c>
      <c r="E1005" s="4">
        <f>491.253240680024 * CHOOSE(CONTROL!$C$9, $C$13, 100%, $E$13) + CHOOSE(CONTROL!$C$28, 0, 0)</f>
        <v>491.25324068002402</v>
      </c>
    </row>
    <row r="1006" spans="1:5" ht="15">
      <c r="A1006" s="13">
        <v>72136</v>
      </c>
      <c r="B1006" s="4">
        <f>68.2505 * CHOOSE(CONTROL!$C$9, $C$13, 100%, $E$13) + CHOOSE(CONTROL!$C$28, 0.0136, 0)</f>
        <v>68.264099999999999</v>
      </c>
      <c r="C1006" s="4">
        <f>67.8872 * CHOOSE(CONTROL!$C$9, $C$13, 100%, $E$13) + CHOOSE(CONTROL!$C$28, 0.0136, 0)</f>
        <v>67.900800000000004</v>
      </c>
      <c r="D1006" s="4">
        <f>99.8409 * CHOOSE(CONTROL!$C$9, $C$13, 100%, $E$13) + CHOOSE(CONTROL!$C$28, 0, 0)</f>
        <v>99.840900000000005</v>
      </c>
      <c r="E1006" s="4">
        <f>492.807632863834 * CHOOSE(CONTROL!$C$9, $C$13, 100%, $E$13) + CHOOSE(CONTROL!$C$28, 0, 0)</f>
        <v>492.80763286383399</v>
      </c>
    </row>
    <row r="1007" spans="1:5" ht="15">
      <c r="A1007" s="13">
        <v>72167</v>
      </c>
      <c r="B1007" s="4">
        <f>68.229 * CHOOSE(CONTROL!$C$9, $C$13, 100%, $E$13) + CHOOSE(CONTROL!$C$28, 0.0136, 0)</f>
        <v>68.242599999999996</v>
      </c>
      <c r="C1007" s="4">
        <f>67.8658 * CHOOSE(CONTROL!$C$9, $C$13, 100%, $E$13) + CHOOSE(CONTROL!$C$28, 0.0136, 0)</f>
        <v>67.87939999999999</v>
      </c>
      <c r="D1007" s="4">
        <f>101.4578 * CHOOSE(CONTROL!$C$9, $C$13, 100%, $E$13) + CHOOSE(CONTROL!$C$28, 0, 0)</f>
        <v>101.45780000000001</v>
      </c>
      <c r="E1007" s="4">
        <f>492.650887433534 * CHOOSE(CONTROL!$C$9, $C$13, 100%, $E$13) + CHOOSE(CONTROL!$C$28, 0, 0)</f>
        <v>492.65088743353402</v>
      </c>
    </row>
    <row r="1008" spans="1:5" ht="15">
      <c r="A1008" s="13">
        <v>72198</v>
      </c>
      <c r="B1008" s="4">
        <f>69.8441 * CHOOSE(CONTROL!$C$9, $C$13, 100%, $E$13) + CHOOSE(CONTROL!$C$28, 0.0136, 0)</f>
        <v>69.857699999999994</v>
      </c>
      <c r="C1008" s="4">
        <f>69.4808 * CHOOSE(CONTROL!$C$9, $C$13, 100%, $E$13) + CHOOSE(CONTROL!$C$28, 0.0136, 0)</f>
        <v>69.494399999999999</v>
      </c>
      <c r="D1008" s="4">
        <f>100.39 * CHOOSE(CONTROL!$C$9, $C$13, 100%, $E$13) + CHOOSE(CONTROL!$C$28, 0, 0)</f>
        <v>100.39</v>
      </c>
      <c r="E1008" s="4">
        <f>504.445981063624 * CHOOSE(CONTROL!$C$9, $C$13, 100%, $E$13) + CHOOSE(CONTROL!$C$28, 0, 0)</f>
        <v>504.445981063624</v>
      </c>
    </row>
    <row r="1009" spans="1:5" ht="15">
      <c r="A1009" s="13">
        <v>72228</v>
      </c>
      <c r="B1009" s="4">
        <f>67.0915 * CHOOSE(CONTROL!$C$9, $C$13, 100%, $E$13) + CHOOSE(CONTROL!$C$28, 0.0136, 0)</f>
        <v>67.105099999999993</v>
      </c>
      <c r="C1009" s="4">
        <f>66.7283 * CHOOSE(CONTROL!$C$9, $C$13, 100%, $E$13) + CHOOSE(CONTROL!$C$28, 0.0136, 0)</f>
        <v>66.741900000000001</v>
      </c>
      <c r="D1009" s="4">
        <f>99.8855 * CHOOSE(CONTROL!$C$9, $C$13, 100%, $E$13) + CHOOSE(CONTROL!$C$28, 0, 0)</f>
        <v>99.885499999999993</v>
      </c>
      <c r="E1009" s="4">
        <f>484.343379627623 * CHOOSE(CONTROL!$C$9, $C$13, 100%, $E$13) + CHOOSE(CONTROL!$C$28, 0, 0)</f>
        <v>484.34337962762299</v>
      </c>
    </row>
    <row r="1010" spans="1:5" ht="15">
      <c r="A1010" s="13">
        <v>72259</v>
      </c>
      <c r="B1010" s="4">
        <f>64.8881 * CHOOSE(CONTROL!$C$9, $C$13, 100%, $E$13) + CHOOSE(CONTROL!$C$28, 0.0003, 0)</f>
        <v>64.88839999999999</v>
      </c>
      <c r="C1010" s="4">
        <f>64.5248 * CHOOSE(CONTROL!$C$9, $C$13, 100%, $E$13) + CHOOSE(CONTROL!$C$28, 0.0003, 0)</f>
        <v>64.525099999999995</v>
      </c>
      <c r="D1010" s="4">
        <f>98.5347 * CHOOSE(CONTROL!$C$9, $C$13, 100%, $E$13) + CHOOSE(CONTROL!$C$28, 0, 0)</f>
        <v>98.534700000000001</v>
      </c>
      <c r="E1010" s="4">
        <f>468.250848783469 * CHOOSE(CONTROL!$C$9, $C$13, 100%, $E$13) + CHOOSE(CONTROL!$C$28, 0, 0)</f>
        <v>468.250848783469</v>
      </c>
    </row>
    <row r="1011" spans="1:5" ht="15">
      <c r="A1011" s="13">
        <v>72289</v>
      </c>
      <c r="B1011" s="4">
        <f>63.4689 * CHOOSE(CONTROL!$C$9, $C$13, 100%, $E$13) + CHOOSE(CONTROL!$C$28, 0.0003, 0)</f>
        <v>63.469200000000001</v>
      </c>
      <c r="C1011" s="4">
        <f>63.1056 * CHOOSE(CONTROL!$C$9, $C$13, 100%, $E$13) + CHOOSE(CONTROL!$C$28, 0.0003, 0)</f>
        <v>63.105900000000005</v>
      </c>
      <c r="D1011" s="4">
        <f>98.0703 * CHOOSE(CONTROL!$C$9, $C$13, 100%, $E$13) + CHOOSE(CONTROL!$C$28, 0, 0)</f>
        <v>98.070300000000003</v>
      </c>
      <c r="E1011" s="4">
        <f>457.886057204868 * CHOOSE(CONTROL!$C$9, $C$13, 100%, $E$13) + CHOOSE(CONTROL!$C$28, 0, 0)</f>
        <v>457.886057204868</v>
      </c>
    </row>
    <row r="1012" spans="1:5" ht="15">
      <c r="A1012" s="13">
        <v>72320</v>
      </c>
      <c r="B1012" s="4">
        <f>62.487 * CHOOSE(CONTROL!$C$9, $C$13, 100%, $E$13) + CHOOSE(CONTROL!$C$28, 0.0003, 0)</f>
        <v>62.487300000000005</v>
      </c>
      <c r="C1012" s="4">
        <f>62.1237 * CHOOSE(CONTROL!$C$9, $C$13, 100%, $E$13) + CHOOSE(CONTROL!$C$28, 0.0003, 0)</f>
        <v>62.124000000000002</v>
      </c>
      <c r="D1012" s="4">
        <f>94.6513 * CHOOSE(CONTROL!$C$9, $C$13, 100%, $E$13) + CHOOSE(CONTROL!$C$28, 0, 0)</f>
        <v>94.651300000000006</v>
      </c>
      <c r="E1012" s="4">
        <f>450.714953768634 * CHOOSE(CONTROL!$C$9, $C$13, 100%, $E$13) + CHOOSE(CONTROL!$C$28, 0, 0)</f>
        <v>450.71495376863402</v>
      </c>
    </row>
    <row r="1013" spans="1:5" ht="15">
      <c r="A1013" s="13">
        <v>72351</v>
      </c>
      <c r="B1013" s="4">
        <f>59.8006 * CHOOSE(CONTROL!$C$9, $C$13, 100%, $E$13) + CHOOSE(CONTROL!$C$28, 0.0003, 0)</f>
        <v>59.800900000000006</v>
      </c>
      <c r="C1013" s="4">
        <f>59.4373 * CHOOSE(CONTROL!$C$9, $C$13, 100%, $E$13) + CHOOSE(CONTROL!$C$28, 0.0003, 0)</f>
        <v>59.437600000000003</v>
      </c>
      <c r="D1013" s="4">
        <f>90.8851 * CHOOSE(CONTROL!$C$9, $C$13, 100%, $E$13) + CHOOSE(CONTROL!$C$28, 0, 0)</f>
        <v>90.885099999999994</v>
      </c>
      <c r="E1013" s="4">
        <f>431.940844504466 * CHOOSE(CONTROL!$C$9, $C$13, 100%, $E$13) + CHOOSE(CONTROL!$C$28, 0, 0)</f>
        <v>431.94084450446599</v>
      </c>
    </row>
    <row r="1014" spans="1:5" ht="15">
      <c r="A1014" s="13">
        <v>72379</v>
      </c>
      <c r="B1014" s="4">
        <f>61.2021 * CHOOSE(CONTROL!$C$9, $C$13, 100%, $E$13) + CHOOSE(CONTROL!$C$28, 0.0003, 0)</f>
        <v>61.202400000000004</v>
      </c>
      <c r="C1014" s="4">
        <f>60.8388 * CHOOSE(CONTROL!$C$9, $C$13, 100%, $E$13) + CHOOSE(CONTROL!$C$28, 0.0003, 0)</f>
        <v>60.839100000000002</v>
      </c>
      <c r="D1014" s="4">
        <f>94.0274 * CHOOSE(CONTROL!$C$9, $C$13, 100%, $E$13) + CHOOSE(CONTROL!$C$28, 0, 0)</f>
        <v>94.0274</v>
      </c>
      <c r="E1014" s="4">
        <f>442.196822392754 * CHOOSE(CONTROL!$C$9, $C$13, 100%, $E$13) + CHOOSE(CONTROL!$C$28, 0, 0)</f>
        <v>442.19682239275397</v>
      </c>
    </row>
    <row r="1015" spans="1:5" ht="15">
      <c r="A1015" s="13">
        <v>72410</v>
      </c>
      <c r="B1015" s="4">
        <f>64.8826 * CHOOSE(CONTROL!$C$9, $C$13, 100%, $E$13) + CHOOSE(CONTROL!$C$28, 0.0003, 0)</f>
        <v>64.882899999999992</v>
      </c>
      <c r="C1015" s="4">
        <f>64.5193 * CHOOSE(CONTROL!$C$9, $C$13, 100%, $E$13) + CHOOSE(CONTROL!$C$28, 0.0003, 0)</f>
        <v>64.519599999999997</v>
      </c>
      <c r="D1015" s="4">
        <f>98.9465 * CHOOSE(CONTROL!$C$9, $C$13, 100%, $E$13) + CHOOSE(CONTROL!$C$28, 0, 0)</f>
        <v>98.9465</v>
      </c>
      <c r="E1015" s="4">
        <f>469.129565363164 * CHOOSE(CONTROL!$C$9, $C$13, 100%, $E$13) + CHOOSE(CONTROL!$C$28, 0, 0)</f>
        <v>469.12956536316398</v>
      </c>
    </row>
    <row r="1016" spans="1:5" ht="15">
      <c r="A1016" s="13">
        <v>72440</v>
      </c>
      <c r="B1016" s="4">
        <f>67.4977 * CHOOSE(CONTROL!$C$9, $C$13, 100%, $E$13) + CHOOSE(CONTROL!$C$28, 0.0003, 0)</f>
        <v>67.49799999999999</v>
      </c>
      <c r="C1016" s="4">
        <f>67.1344 * CHOOSE(CONTROL!$C$9, $C$13, 100%, $E$13) + CHOOSE(CONTROL!$C$28, 0.0003, 0)</f>
        <v>67.134699999999995</v>
      </c>
      <c r="D1016" s="4">
        <f>101.78 * CHOOSE(CONTROL!$C$9, $C$13, 100%, $E$13) + CHOOSE(CONTROL!$C$28, 0, 0)</f>
        <v>101.78</v>
      </c>
      <c r="E1016" s="4">
        <f>488.265638169632 * CHOOSE(CONTROL!$C$9, $C$13, 100%, $E$13) + CHOOSE(CONTROL!$C$28, 0, 0)</f>
        <v>488.26563816963198</v>
      </c>
    </row>
    <row r="1017" spans="1:5" ht="15">
      <c r="A1017" s="13">
        <v>72471</v>
      </c>
      <c r="B1017" s="4">
        <f>69.0954 * CHOOSE(CONTROL!$C$9, $C$13, 100%, $E$13) + CHOOSE(CONTROL!$C$28, 0.0136, 0)</f>
        <v>69.108999999999995</v>
      </c>
      <c r="C1017" s="4">
        <f>68.7321 * CHOOSE(CONTROL!$C$9, $C$13, 100%, $E$13) + CHOOSE(CONTROL!$C$28, 0.0136, 0)</f>
        <v>68.745699999999999</v>
      </c>
      <c r="D1017" s="4">
        <f>100.6604 * CHOOSE(CONTROL!$C$9, $C$13, 100%, $E$13) + CHOOSE(CONTROL!$C$28, 0, 0)</f>
        <v>100.6604</v>
      </c>
      <c r="E1017" s="4">
        <f>499.957320026728 * CHOOSE(CONTROL!$C$9, $C$13, 100%, $E$13) + CHOOSE(CONTROL!$C$28, 0, 0)</f>
        <v>499.95732002672798</v>
      </c>
    </row>
    <row r="1018" spans="1:5" ht="15">
      <c r="A1018" s="13">
        <v>72501</v>
      </c>
      <c r="B1018" s="4">
        <f>69.3116 * CHOOSE(CONTROL!$C$9, $C$13, 100%, $E$13) + CHOOSE(CONTROL!$C$28, 0.0136, 0)</f>
        <v>69.325199999999995</v>
      </c>
      <c r="C1018" s="4">
        <f>68.9483 * CHOOSE(CONTROL!$C$9, $C$13, 100%, $E$13) + CHOOSE(CONTROL!$C$28, 0.0136, 0)</f>
        <v>68.9619</v>
      </c>
      <c r="D1018" s="4">
        <f>101.5722 * CHOOSE(CONTROL!$C$9, $C$13, 100%, $E$13) + CHOOSE(CONTROL!$C$28, 0, 0)</f>
        <v>101.5722</v>
      </c>
      <c r="E1018" s="4">
        <f>501.539253103469 * CHOOSE(CONTROL!$C$9, $C$13, 100%, $E$13) + CHOOSE(CONTROL!$C$28, 0, 0)</f>
        <v>501.53925310346898</v>
      </c>
    </row>
    <row r="1019" spans="1:5" ht="15">
      <c r="A1019" s="13">
        <v>72532</v>
      </c>
      <c r="B1019" s="4">
        <f>69.2898 * CHOOSE(CONTROL!$C$9, $C$13, 100%, $E$13) + CHOOSE(CONTROL!$C$28, 0.0136, 0)</f>
        <v>69.303399999999996</v>
      </c>
      <c r="C1019" s="4">
        <f>68.9265 * CHOOSE(CONTROL!$C$9, $C$13, 100%, $E$13) + CHOOSE(CONTROL!$C$28, 0.0136, 0)</f>
        <v>68.940100000000001</v>
      </c>
      <c r="D1019" s="4">
        <f>103.2176 * CHOOSE(CONTROL!$C$9, $C$13, 100%, $E$13) + CHOOSE(CONTROL!$C$28, 0, 0)</f>
        <v>103.2176</v>
      </c>
      <c r="E1019" s="4">
        <f>501.379730440269 * CHOOSE(CONTROL!$C$9, $C$13, 100%, $E$13) + CHOOSE(CONTROL!$C$28, 0, 0)</f>
        <v>501.37973044026899</v>
      </c>
    </row>
    <row r="1020" spans="1:5" ht="15">
      <c r="A1020" s="13">
        <v>72563</v>
      </c>
      <c r="B1020" s="4">
        <f>70.9302 * CHOOSE(CONTROL!$C$9, $C$13, 100%, $E$13) + CHOOSE(CONTROL!$C$28, 0.0136, 0)</f>
        <v>70.943799999999996</v>
      </c>
      <c r="C1020" s="4">
        <f>70.5669 * CHOOSE(CONTROL!$C$9, $C$13, 100%, $E$13) + CHOOSE(CONTROL!$C$28, 0.0136, 0)</f>
        <v>70.580500000000001</v>
      </c>
      <c r="D1020" s="4">
        <f>102.131 * CHOOSE(CONTROL!$C$9, $C$13, 100%, $E$13) + CHOOSE(CONTROL!$C$28, 0, 0)</f>
        <v>102.131</v>
      </c>
      <c r="E1020" s="4">
        <f>513.383810846133 * CHOOSE(CONTROL!$C$9, $C$13, 100%, $E$13) + CHOOSE(CONTROL!$C$28, 0, 0)</f>
        <v>513.38381084613297</v>
      </c>
    </row>
    <row r="1021" spans="1:5" ht="15">
      <c r="A1021" s="13">
        <v>72593</v>
      </c>
      <c r="B1021" s="4">
        <f>68.1344 * CHOOSE(CONTROL!$C$9, $C$13, 100%, $E$13) + CHOOSE(CONTROL!$C$28, 0.0136, 0)</f>
        <v>68.147999999999996</v>
      </c>
      <c r="C1021" s="4">
        <f>67.7711 * CHOOSE(CONTROL!$C$9, $C$13, 100%, $E$13) + CHOOSE(CONTROL!$C$28, 0.0136, 0)</f>
        <v>67.784700000000001</v>
      </c>
      <c r="D1021" s="4">
        <f>101.6176 * CHOOSE(CONTROL!$C$9, $C$13, 100%, $E$13) + CHOOSE(CONTROL!$C$28, 0, 0)</f>
        <v>101.6176</v>
      </c>
      <c r="E1021" s="4">
        <f>492.925029290624 * CHOOSE(CONTROL!$C$9, $C$13, 100%, $E$13) + CHOOSE(CONTROL!$C$28, 0, 0)</f>
        <v>492.92502929062402</v>
      </c>
    </row>
    <row r="1022" spans="1:5" ht="15">
      <c r="A1022" s="13">
        <v>72624</v>
      </c>
      <c r="B1022" s="4">
        <f>65.8963 * CHOOSE(CONTROL!$C$9, $C$13, 100%, $E$13) + CHOOSE(CONTROL!$C$28, 0.0003, 0)</f>
        <v>65.896599999999992</v>
      </c>
      <c r="C1022" s="4">
        <f>65.533 * CHOOSE(CONTROL!$C$9, $C$13, 100%, $E$13) + CHOOSE(CONTROL!$C$28, 0.0003, 0)</f>
        <v>65.533299999999997</v>
      </c>
      <c r="D1022" s="4">
        <f>100.2429 * CHOOSE(CONTROL!$C$9, $C$13, 100%, $E$13) + CHOOSE(CONTROL!$C$28, 0, 0)</f>
        <v>100.24290000000001</v>
      </c>
      <c r="E1022" s="4">
        <f>476.547369202003 * CHOOSE(CONTROL!$C$9, $C$13, 100%, $E$13) + CHOOSE(CONTROL!$C$28, 0, 0)</f>
        <v>476.54736920200298</v>
      </c>
    </row>
    <row r="1023" spans="1:5" ht="15">
      <c r="A1023" s="13">
        <v>72654</v>
      </c>
      <c r="B1023" s="4">
        <f>64.4548 * CHOOSE(CONTROL!$C$9, $C$13, 100%, $E$13) + CHOOSE(CONTROL!$C$28, 0.0003, 0)</f>
        <v>64.455100000000002</v>
      </c>
      <c r="C1023" s="4">
        <f>64.0915 * CHOOSE(CONTROL!$C$9, $C$13, 100%, $E$13) + CHOOSE(CONTROL!$C$28, 0.0003, 0)</f>
        <v>64.091799999999992</v>
      </c>
      <c r="D1023" s="4">
        <f>99.7703 * CHOOSE(CONTROL!$C$9, $C$13, 100%, $E$13) + CHOOSE(CONTROL!$C$28, 0, 0)</f>
        <v>99.770300000000006</v>
      </c>
      <c r="E1023" s="4">
        <f>465.998933097847 * CHOOSE(CONTROL!$C$9, $C$13, 100%, $E$13) + CHOOSE(CONTROL!$C$28, 0, 0)</f>
        <v>465.99893309784699</v>
      </c>
    </row>
    <row r="1024" spans="1:5" ht="15">
      <c r="A1024" s="13">
        <v>72685</v>
      </c>
      <c r="B1024" s="4">
        <f>63.4575 * CHOOSE(CONTROL!$C$9, $C$13, 100%, $E$13) + CHOOSE(CONTROL!$C$28, 0.0003, 0)</f>
        <v>63.457800000000006</v>
      </c>
      <c r="C1024" s="4">
        <f>63.0942 * CHOOSE(CONTROL!$C$9, $C$13, 100%, $E$13) + CHOOSE(CONTROL!$C$28, 0.0003, 0)</f>
        <v>63.094500000000004</v>
      </c>
      <c r="D1024" s="4">
        <f>96.2909 * CHOOSE(CONTROL!$C$9, $C$13, 100%, $E$13) + CHOOSE(CONTROL!$C$28, 0, 0)</f>
        <v>96.290899999999993</v>
      </c>
      <c r="E1024" s="4">
        <f>458.700771256408 * CHOOSE(CONTROL!$C$9, $C$13, 100%, $E$13) + CHOOSE(CONTROL!$C$28, 0, 0)</f>
        <v>458.70077125640802</v>
      </c>
    </row>
    <row r="1025" spans="1:5" ht="15">
      <c r="A1025" s="13">
        <v>72716</v>
      </c>
      <c r="B1025" s="4">
        <f>60.7288 * CHOOSE(CONTROL!$C$9, $C$13, 100%, $E$13) + CHOOSE(CONTROL!$C$28, 0.0003, 0)</f>
        <v>60.729100000000003</v>
      </c>
      <c r="C1025" s="4">
        <f>60.3655 * CHOOSE(CONTROL!$C$9, $C$13, 100%, $E$13) + CHOOSE(CONTROL!$C$28, 0.0003, 0)</f>
        <v>60.3658</v>
      </c>
      <c r="D1025" s="4">
        <f>92.4581 * CHOOSE(CONTROL!$C$9, $C$13, 100%, $E$13) + CHOOSE(CONTROL!$C$28, 0, 0)</f>
        <v>92.458100000000002</v>
      </c>
      <c r="E1025" s="4">
        <f>439.594020244223 * CHOOSE(CONTROL!$C$9, $C$13, 100%, $E$13) + CHOOSE(CONTROL!$C$28, 0, 0)</f>
        <v>439.59402024422297</v>
      </c>
    </row>
    <row r="1026" spans="1:5" ht="15">
      <c r="A1026" s="13">
        <v>72744</v>
      </c>
      <c r="B1026" s="4">
        <f>62.1523 * CHOOSE(CONTROL!$C$9, $C$13, 100%, $E$13) + CHOOSE(CONTROL!$C$28, 0.0003, 0)</f>
        <v>62.1526</v>
      </c>
      <c r="C1026" s="4">
        <f>61.7891 * CHOOSE(CONTROL!$C$9, $C$13, 100%, $E$13) + CHOOSE(CONTROL!$C$28, 0.0003, 0)</f>
        <v>61.789400000000001</v>
      </c>
      <c r="D1026" s="4">
        <f>95.656 * CHOOSE(CONTROL!$C$9, $C$13, 100%, $E$13) + CHOOSE(CONTROL!$C$28, 0, 0)</f>
        <v>95.656000000000006</v>
      </c>
      <c r="E1026" s="4">
        <f>450.031714685045 * CHOOSE(CONTROL!$C$9, $C$13, 100%, $E$13) + CHOOSE(CONTROL!$C$28, 0, 0)</f>
        <v>450.03171468504502</v>
      </c>
    </row>
    <row r="1027" spans="1:5" ht="15">
      <c r="A1027" s="13">
        <v>72775</v>
      </c>
      <c r="B1027" s="4">
        <f>65.8907 * CHOOSE(CONTROL!$C$9, $C$13, 100%, $E$13) + CHOOSE(CONTROL!$C$28, 0.0003, 0)</f>
        <v>65.890999999999991</v>
      </c>
      <c r="C1027" s="4">
        <f>65.5274 * CHOOSE(CONTROL!$C$9, $C$13, 100%, $E$13) + CHOOSE(CONTROL!$C$28, 0.0003, 0)</f>
        <v>65.527699999999996</v>
      </c>
      <c r="D1027" s="4">
        <f>100.662 * CHOOSE(CONTROL!$C$9, $C$13, 100%, $E$13) + CHOOSE(CONTROL!$C$28, 0, 0)</f>
        <v>100.66200000000001</v>
      </c>
      <c r="E1027" s="4">
        <f>477.441654979414 * CHOOSE(CONTROL!$C$9, $C$13, 100%, $E$13) + CHOOSE(CONTROL!$C$28, 0, 0)</f>
        <v>477.44165497941401</v>
      </c>
    </row>
    <row r="1028" spans="1:5" ht="15">
      <c r="A1028" s="13">
        <v>72805</v>
      </c>
      <c r="B1028" s="4">
        <f>68.5469 * CHOOSE(CONTROL!$C$9, $C$13, 100%, $E$13) + CHOOSE(CONTROL!$C$28, 0.0003, 0)</f>
        <v>68.547199999999989</v>
      </c>
      <c r="C1028" s="4">
        <f>68.1836 * CHOOSE(CONTROL!$C$9, $C$13, 100%, $E$13) + CHOOSE(CONTROL!$C$28, 0.0003, 0)</f>
        <v>68.183899999999994</v>
      </c>
      <c r="D1028" s="4">
        <f>103.5456 * CHOOSE(CONTROL!$C$9, $C$13, 100%, $E$13) + CHOOSE(CONTROL!$C$28, 0, 0)</f>
        <v>103.54559999999999</v>
      </c>
      <c r="E1028" s="4">
        <f>496.916782844046 * CHOOSE(CONTROL!$C$9, $C$13, 100%, $E$13) + CHOOSE(CONTROL!$C$28, 0, 0)</f>
        <v>496.916782844046</v>
      </c>
    </row>
    <row r="1029" spans="1:5" ht="15">
      <c r="A1029" s="13">
        <v>72836</v>
      </c>
      <c r="B1029" s="4">
        <f>70.1698 * CHOOSE(CONTROL!$C$9, $C$13, 100%, $E$13) + CHOOSE(CONTROL!$C$28, 0.0136, 0)</f>
        <v>70.183399999999992</v>
      </c>
      <c r="C1029" s="4">
        <f>69.8065 * CHOOSE(CONTROL!$C$9, $C$13, 100%, $E$13) + CHOOSE(CONTROL!$C$28, 0.0136, 0)</f>
        <v>69.820099999999996</v>
      </c>
      <c r="D1029" s="4">
        <f>102.4061 * CHOOSE(CONTROL!$C$9, $C$13, 100%, $E$13) + CHOOSE(CONTROL!$C$28, 0, 0)</f>
        <v>102.4061</v>
      </c>
      <c r="E1029" s="4">
        <f>508.815619215664 * CHOOSE(CONTROL!$C$9, $C$13, 100%, $E$13) + CHOOSE(CONTROL!$C$28, 0, 0)</f>
        <v>508.81561921566401</v>
      </c>
    </row>
    <row r="1030" spans="1:5" ht="15">
      <c r="A1030" s="13">
        <v>72866</v>
      </c>
      <c r="B1030" s="4">
        <f>70.3893 * CHOOSE(CONTROL!$C$9, $C$13, 100%, $E$13) + CHOOSE(CONTROL!$C$28, 0.0136, 0)</f>
        <v>70.402900000000002</v>
      </c>
      <c r="C1030" s="4">
        <f>70.0261 * CHOOSE(CONTROL!$C$9, $C$13, 100%, $E$13) + CHOOSE(CONTROL!$C$28, 0.0136, 0)</f>
        <v>70.039699999999996</v>
      </c>
      <c r="D1030" s="4">
        <f>103.3341 * CHOOSE(CONTROL!$C$9, $C$13, 100%, $E$13) + CHOOSE(CONTROL!$C$28, 0, 0)</f>
        <v>103.33410000000001</v>
      </c>
      <c r="E1030" s="4">
        <f>510.42558115793 * CHOOSE(CONTROL!$C$9, $C$13, 100%, $E$13) + CHOOSE(CONTROL!$C$28, 0, 0)</f>
        <v>510.42558115793003</v>
      </c>
    </row>
    <row r="1031" spans="1:5" ht="15">
      <c r="A1031" s="13">
        <v>72897</v>
      </c>
      <c r="B1031" s="4">
        <f>70.3672 * CHOOSE(CONTROL!$C$9, $C$13, 100%, $E$13) + CHOOSE(CONTROL!$C$28, 0.0136, 0)</f>
        <v>70.380799999999994</v>
      </c>
      <c r="C1031" s="4">
        <f>70.0039 * CHOOSE(CONTROL!$C$9, $C$13, 100%, $E$13) + CHOOSE(CONTROL!$C$28, 0.0136, 0)</f>
        <v>70.017499999999998</v>
      </c>
      <c r="D1031" s="4">
        <f>105.0086 * CHOOSE(CONTROL!$C$9, $C$13, 100%, $E$13) + CHOOSE(CONTROL!$C$28, 0, 0)</f>
        <v>105.0086</v>
      </c>
      <c r="E1031" s="4">
        <f>510.263232054508 * CHOOSE(CONTROL!$C$9, $C$13, 100%, $E$13) + CHOOSE(CONTROL!$C$28, 0, 0)</f>
        <v>510.26323205450802</v>
      </c>
    </row>
    <row r="1032" spans="1:5" ht="15">
      <c r="A1032" s="13">
        <v>72928</v>
      </c>
      <c r="B1032" s="4">
        <f>72.0334 * CHOOSE(CONTROL!$C$9, $C$13, 100%, $E$13) + CHOOSE(CONTROL!$C$28, 0.0136, 0)</f>
        <v>72.046999999999997</v>
      </c>
      <c r="C1032" s="4">
        <f>71.6701 * CHOOSE(CONTROL!$C$9, $C$13, 100%, $E$13) + CHOOSE(CONTROL!$C$28, 0.0136, 0)</f>
        <v>71.683700000000002</v>
      </c>
      <c r="D1032" s="4">
        <f>103.9028 * CHOOSE(CONTROL!$C$9, $C$13, 100%, $E$13) + CHOOSE(CONTROL!$C$28, 0, 0)</f>
        <v>103.9028</v>
      </c>
      <c r="E1032" s="4">
        <f>522.480002086993 * CHOOSE(CONTROL!$C$9, $C$13, 100%, $E$13) + CHOOSE(CONTROL!$C$28, 0, 0)</f>
        <v>522.48000208699295</v>
      </c>
    </row>
    <row r="1033" spans="1:5" ht="15">
      <c r="A1033" s="13">
        <v>72958</v>
      </c>
      <c r="B1033" s="4">
        <f>69.1936 * CHOOSE(CONTROL!$C$9, $C$13, 100%, $E$13) + CHOOSE(CONTROL!$C$28, 0.0136, 0)</f>
        <v>69.2072</v>
      </c>
      <c r="C1033" s="4">
        <f>68.8304 * CHOOSE(CONTROL!$C$9, $C$13, 100%, $E$13) + CHOOSE(CONTROL!$C$28, 0.0136, 0)</f>
        <v>68.843999999999994</v>
      </c>
      <c r="D1033" s="4">
        <f>103.3803 * CHOOSE(CONTROL!$C$9, $C$13, 100%, $E$13) + CHOOSE(CONTROL!$C$28, 0, 0)</f>
        <v>103.38030000000001</v>
      </c>
      <c r="E1033" s="4">
        <f>501.658729573156 * CHOOSE(CONTROL!$C$9, $C$13, 100%, $E$13) + CHOOSE(CONTROL!$C$28, 0, 0)</f>
        <v>501.65872957315599</v>
      </c>
    </row>
    <row r="1034" spans="1:5" ht="15">
      <c r="A1034" s="13">
        <v>72989</v>
      </c>
      <c r="B1034" s="4">
        <f>66.9203 * CHOOSE(CONTROL!$C$9, $C$13, 100%, $E$13) + CHOOSE(CONTROL!$C$28, 0.0003, 0)</f>
        <v>66.920599999999993</v>
      </c>
      <c r="C1034" s="4">
        <f>66.5571 * CHOOSE(CONTROL!$C$9, $C$13, 100%, $E$13) + CHOOSE(CONTROL!$C$28, 0.0003, 0)</f>
        <v>66.557400000000001</v>
      </c>
      <c r="D1034" s="4">
        <f>101.9813 * CHOOSE(CONTROL!$C$9, $C$13, 100%, $E$13) + CHOOSE(CONTROL!$C$28, 0, 0)</f>
        <v>101.9813</v>
      </c>
      <c r="E1034" s="4">
        <f>484.990888288525 * CHOOSE(CONTROL!$C$9, $C$13, 100%, $E$13) + CHOOSE(CONTROL!$C$28, 0, 0)</f>
        <v>484.99088828852501</v>
      </c>
    </row>
    <row r="1035" spans="1:5" ht="15">
      <c r="A1035" s="13">
        <v>73019</v>
      </c>
      <c r="B1035" s="4">
        <f>65.4562 * CHOOSE(CONTROL!$C$9, $C$13, 100%, $E$13) + CHOOSE(CONTROL!$C$28, 0.0003, 0)</f>
        <v>65.456499999999991</v>
      </c>
      <c r="C1035" s="4">
        <f>65.0929 * CHOOSE(CONTROL!$C$9, $C$13, 100%, $E$13) + CHOOSE(CONTROL!$C$28, 0.0003, 0)</f>
        <v>65.093199999999996</v>
      </c>
      <c r="D1035" s="4">
        <f>101.5004 * CHOOSE(CONTROL!$C$9, $C$13, 100%, $E$13) + CHOOSE(CONTROL!$C$28, 0, 0)</f>
        <v>101.5004</v>
      </c>
      <c r="E1035" s="4">
        <f>474.255553824763 * CHOOSE(CONTROL!$C$9, $C$13, 100%, $E$13) + CHOOSE(CONTROL!$C$28, 0, 0)</f>
        <v>474.25555382476301</v>
      </c>
    </row>
    <row r="1036" spans="1:5" ht="15">
      <c r="A1036" s="13">
        <v>73050</v>
      </c>
      <c r="B1036" s="4">
        <f>64.4432 * CHOOSE(CONTROL!$C$9, $C$13, 100%, $E$13) + CHOOSE(CONTROL!$C$28, 0.0003, 0)</f>
        <v>64.4435</v>
      </c>
      <c r="C1036" s="4">
        <f>64.0799 * CHOOSE(CONTROL!$C$9, $C$13, 100%, $E$13) + CHOOSE(CONTROL!$C$28, 0.0003, 0)</f>
        <v>64.080199999999991</v>
      </c>
      <c r="D1036" s="4">
        <f>97.9595 * CHOOSE(CONTROL!$C$9, $C$13, 100%, $E$13) + CHOOSE(CONTROL!$C$28, 0, 0)</f>
        <v>97.959500000000006</v>
      </c>
      <c r="E1036" s="4">
        <f>466.828082343218 * CHOOSE(CONTROL!$C$9, $C$13, 100%, $E$13) + CHOOSE(CONTROL!$C$28, 0, 0)</f>
        <v>466.828082343218</v>
      </c>
    </row>
    <row r="1037" spans="1:5" ht="15">
      <c r="A1037" s="13">
        <v>73081</v>
      </c>
      <c r="B1037" s="4">
        <f>61.6716 * CHOOSE(CONTROL!$C$9, $C$13, 100%, $E$13) + CHOOSE(CONTROL!$C$28, 0.0003, 0)</f>
        <v>61.671900000000001</v>
      </c>
      <c r="C1037" s="4">
        <f>61.3083 * CHOOSE(CONTROL!$C$9, $C$13, 100%, $E$13) + CHOOSE(CONTROL!$C$28, 0.0003, 0)</f>
        <v>61.308600000000006</v>
      </c>
      <c r="D1037" s="4">
        <f>94.059 * CHOOSE(CONTROL!$C$9, $C$13, 100%, $E$13) + CHOOSE(CONTROL!$C$28, 0, 0)</f>
        <v>94.058999999999997</v>
      </c>
      <c r="E1037" s="4">
        <f>447.382795799669 * CHOOSE(CONTROL!$C$9, $C$13, 100%, $E$13) + CHOOSE(CONTROL!$C$28, 0, 0)</f>
        <v>447.382795799669</v>
      </c>
    </row>
    <row r="1038" spans="1:5" ht="15">
      <c r="A1038" s="13">
        <v>73109</v>
      </c>
      <c r="B1038" s="4">
        <f>63.1175 * CHOOSE(CONTROL!$C$9, $C$13, 100%, $E$13) + CHOOSE(CONTROL!$C$28, 0.0003, 0)</f>
        <v>63.117800000000003</v>
      </c>
      <c r="C1038" s="4">
        <f>62.7542 * CHOOSE(CONTROL!$C$9, $C$13, 100%, $E$13) + CHOOSE(CONTROL!$C$28, 0.0003, 0)</f>
        <v>62.7545</v>
      </c>
      <c r="D1038" s="4">
        <f>97.3133 * CHOOSE(CONTROL!$C$9, $C$13, 100%, $E$13) + CHOOSE(CONTROL!$C$28, 0, 0)</f>
        <v>97.313299999999998</v>
      </c>
      <c r="E1038" s="4">
        <f>458.005426467037 * CHOOSE(CONTROL!$C$9, $C$13, 100%, $E$13) + CHOOSE(CONTROL!$C$28, 0, 0)</f>
        <v>458.00542646703701</v>
      </c>
    </row>
    <row r="1039" spans="1:5" ht="15">
      <c r="A1039" s="13">
        <v>73140</v>
      </c>
      <c r="B1039" s="4">
        <f>66.9147 * CHOOSE(CONTROL!$C$9, $C$13, 100%, $E$13) + CHOOSE(CONTROL!$C$28, 0.0003, 0)</f>
        <v>66.914999999999992</v>
      </c>
      <c r="C1039" s="4">
        <f>66.5514 * CHOOSE(CONTROL!$C$9, $C$13, 100%, $E$13) + CHOOSE(CONTROL!$C$28, 0.0003, 0)</f>
        <v>66.551699999999997</v>
      </c>
      <c r="D1039" s="4">
        <f>102.4078 * CHOOSE(CONTROL!$C$9, $C$13, 100%, $E$13) + CHOOSE(CONTROL!$C$28, 0, 0)</f>
        <v>102.40779999999999</v>
      </c>
      <c r="E1039" s="4">
        <f>485.901019120422 * CHOOSE(CONTROL!$C$9, $C$13, 100%, $E$13) + CHOOSE(CONTROL!$C$28, 0, 0)</f>
        <v>485.90101912042201</v>
      </c>
    </row>
    <row r="1040" spans="1:5" ht="15">
      <c r="A1040" s="13">
        <v>73170</v>
      </c>
      <c r="B1040" s="4">
        <f>69.6126 * CHOOSE(CONTROL!$C$9, $C$13, 100%, $E$13) + CHOOSE(CONTROL!$C$28, 0.0003, 0)</f>
        <v>69.612899999999996</v>
      </c>
      <c r="C1040" s="4">
        <f>69.2493 * CHOOSE(CONTROL!$C$9, $C$13, 100%, $E$13) + CHOOSE(CONTROL!$C$28, 0.0003, 0)</f>
        <v>69.249600000000001</v>
      </c>
      <c r="D1040" s="4">
        <f>105.3423 * CHOOSE(CONTROL!$C$9, $C$13, 100%, $E$13) + CHOOSE(CONTROL!$C$28, 0, 0)</f>
        <v>105.34229999999999</v>
      </c>
      <c r="E1040" s="4">
        <f>505.721209458304 * CHOOSE(CONTROL!$C$9, $C$13, 100%, $E$13) + CHOOSE(CONTROL!$C$28, 0, 0)</f>
        <v>505.72120945830397</v>
      </c>
    </row>
    <row r="1041" spans="1:5" ht="15">
      <c r="A1041" s="13">
        <v>73201</v>
      </c>
      <c r="B1041" s="4">
        <f>71.261 * CHOOSE(CONTROL!$C$9, $C$13, 100%, $E$13) + CHOOSE(CONTROL!$C$28, 0.0136, 0)</f>
        <v>71.274599999999992</v>
      </c>
      <c r="C1041" s="4">
        <f>70.8977 * CHOOSE(CONTROL!$C$9, $C$13, 100%, $E$13) + CHOOSE(CONTROL!$C$28, 0.0136, 0)</f>
        <v>70.911299999999997</v>
      </c>
      <c r="D1041" s="4">
        <f>104.1828 * CHOOSE(CONTROL!$C$9, $C$13, 100%, $E$13) + CHOOSE(CONTROL!$C$28, 0, 0)</f>
        <v>104.1828</v>
      </c>
      <c r="E1041" s="4">
        <f>517.830870731084 * CHOOSE(CONTROL!$C$9, $C$13, 100%, $E$13) + CHOOSE(CONTROL!$C$28, 0, 0)</f>
        <v>517.83087073108402</v>
      </c>
    </row>
    <row r="1042" spans="1:5" ht="15">
      <c r="A1042" s="13">
        <v>73231</v>
      </c>
      <c r="B1042" s="4">
        <f>71.484 * CHOOSE(CONTROL!$C$9, $C$13, 100%, $E$13) + CHOOSE(CONTROL!$C$28, 0.0136, 0)</f>
        <v>71.497599999999991</v>
      </c>
      <c r="C1042" s="4">
        <f>71.1208 * CHOOSE(CONTROL!$C$9, $C$13, 100%, $E$13) + CHOOSE(CONTROL!$C$28, 0.0136, 0)</f>
        <v>71.134399999999999</v>
      </c>
      <c r="D1042" s="4">
        <f>105.1272 * CHOOSE(CONTROL!$C$9, $C$13, 100%, $E$13) + CHOOSE(CONTROL!$C$28, 0, 0)</f>
        <v>105.1272</v>
      </c>
      <c r="E1042" s="4">
        <f>519.469358157418 * CHOOSE(CONTROL!$C$9, $C$13, 100%, $E$13) + CHOOSE(CONTROL!$C$28, 0, 0)</f>
        <v>519.46935815741801</v>
      </c>
    </row>
    <row r="1043" spans="1:5" ht="15">
      <c r="A1043" s="13">
        <v>73262</v>
      </c>
      <c r="B1043" s="4">
        <f>71.4615 * CHOOSE(CONTROL!$C$9, $C$13, 100%, $E$13) + CHOOSE(CONTROL!$C$28, 0.0136, 0)</f>
        <v>71.475099999999998</v>
      </c>
      <c r="C1043" s="4">
        <f>71.0983 * CHOOSE(CONTROL!$C$9, $C$13, 100%, $E$13) + CHOOSE(CONTROL!$C$28, 0.0136, 0)</f>
        <v>71.111899999999991</v>
      </c>
      <c r="D1043" s="4">
        <f>106.8312 * CHOOSE(CONTROL!$C$9, $C$13, 100%, $E$13) + CHOOSE(CONTROL!$C$28, 0, 0)</f>
        <v>106.8312</v>
      </c>
      <c r="E1043" s="4">
        <f>519.304132534595 * CHOOSE(CONTROL!$C$9, $C$13, 100%, $E$13) + CHOOSE(CONTROL!$C$28, 0, 0)</f>
        <v>519.30413253459506</v>
      </c>
    </row>
    <row r="1044" spans="1:5" ht="15">
      <c r="A1044" s="13">
        <v>73293</v>
      </c>
      <c r="B1044" s="4">
        <f>73.154 * CHOOSE(CONTROL!$C$9, $C$13, 100%, $E$13) + CHOOSE(CONTROL!$C$28, 0.0136, 0)</f>
        <v>73.167599999999993</v>
      </c>
      <c r="C1044" s="4">
        <f>72.7907 * CHOOSE(CONTROL!$C$9, $C$13, 100%, $E$13) + CHOOSE(CONTROL!$C$28, 0.0136, 0)</f>
        <v>72.804299999999998</v>
      </c>
      <c r="D1044" s="4">
        <f>105.7058 * CHOOSE(CONTROL!$C$9, $C$13, 100%, $E$13) + CHOOSE(CONTROL!$C$28, 0, 0)</f>
        <v>105.7058</v>
      </c>
      <c r="E1044" s="4">
        <f>531.737360652071 * CHOOSE(CONTROL!$C$9, $C$13, 100%, $E$13) + CHOOSE(CONTROL!$C$28, 0, 0)</f>
        <v>531.73736065207095</v>
      </c>
    </row>
    <row r="1045" spans="1:5" ht="15">
      <c r="A1045" s="13">
        <v>73323</v>
      </c>
      <c r="B1045" s="4">
        <f>70.2695 * CHOOSE(CONTROL!$C$9, $C$13, 100%, $E$13) + CHOOSE(CONTROL!$C$28, 0.0136, 0)</f>
        <v>70.28309999999999</v>
      </c>
      <c r="C1045" s="4">
        <f>69.9063 * CHOOSE(CONTROL!$C$9, $C$13, 100%, $E$13) + CHOOSE(CONTROL!$C$28, 0.0136, 0)</f>
        <v>69.919899999999998</v>
      </c>
      <c r="D1045" s="4">
        <f>105.1741 * CHOOSE(CONTROL!$C$9, $C$13, 100%, $E$13) + CHOOSE(CONTROL!$C$28, 0, 0)</f>
        <v>105.1741</v>
      </c>
      <c r="E1045" s="4">
        <f>510.547174524944 * CHOOSE(CONTROL!$C$9, $C$13, 100%, $E$13) + CHOOSE(CONTROL!$C$28, 0, 0)</f>
        <v>510.54717452494401</v>
      </c>
    </row>
    <row r="1046" spans="1:5" ht="15">
      <c r="A1046" s="13">
        <v>73354</v>
      </c>
      <c r="B1046" s="4">
        <f>67.9605 * CHOOSE(CONTROL!$C$9, $C$13, 100%, $E$13) + CHOOSE(CONTROL!$C$28, 0.0003, 0)</f>
        <v>67.960799999999992</v>
      </c>
      <c r="C1046" s="4">
        <f>67.5972 * CHOOSE(CONTROL!$C$9, $C$13, 100%, $E$13) + CHOOSE(CONTROL!$C$28, 0.0003, 0)</f>
        <v>67.597499999999997</v>
      </c>
      <c r="D1046" s="4">
        <f>103.7505 * CHOOSE(CONTROL!$C$9, $C$13, 100%, $E$13) + CHOOSE(CONTROL!$C$28, 0, 0)</f>
        <v>103.7505</v>
      </c>
      <c r="E1046" s="4">
        <f>493.58401058172 * CHOOSE(CONTROL!$C$9, $C$13, 100%, $E$13) + CHOOSE(CONTROL!$C$28, 0, 0)</f>
        <v>493.58401058172001</v>
      </c>
    </row>
    <row r="1047" spans="1:5" ht="15">
      <c r="A1047" s="13">
        <v>73384</v>
      </c>
      <c r="B1047" s="4">
        <f>66.4733 * CHOOSE(CONTROL!$C$9, $C$13, 100%, $E$13) + CHOOSE(CONTROL!$C$28, 0.0003, 0)</f>
        <v>66.47359999999999</v>
      </c>
      <c r="C1047" s="4">
        <f>66.11 * CHOOSE(CONTROL!$C$9, $C$13, 100%, $E$13) + CHOOSE(CONTROL!$C$28, 0.0003, 0)</f>
        <v>66.110299999999995</v>
      </c>
      <c r="D1047" s="4">
        <f>103.261 * CHOOSE(CONTROL!$C$9, $C$13, 100%, $E$13) + CHOOSE(CONTROL!$C$28, 0, 0)</f>
        <v>103.261</v>
      </c>
      <c r="E1047" s="4">
        <f>482.658466272509 * CHOOSE(CONTROL!$C$9, $C$13, 100%, $E$13) + CHOOSE(CONTROL!$C$28, 0, 0)</f>
        <v>482.65846627250897</v>
      </c>
    </row>
    <row r="1048" spans="1:5" ht="15">
      <c r="A1048" s="13">
        <v>73415</v>
      </c>
      <c r="B1048" s="4">
        <f>65.4444 * CHOOSE(CONTROL!$C$9, $C$13, 100%, $E$13) + CHOOSE(CONTROL!$C$28, 0.0003, 0)</f>
        <v>65.444699999999997</v>
      </c>
      <c r="C1048" s="4">
        <f>65.0811 * CHOOSE(CONTROL!$C$9, $C$13, 100%, $E$13) + CHOOSE(CONTROL!$C$28, 0.0003, 0)</f>
        <v>65.081400000000002</v>
      </c>
      <c r="D1048" s="4">
        <f>99.6576 * CHOOSE(CONTROL!$C$9, $C$13, 100%, $E$13) + CHOOSE(CONTROL!$C$28, 0, 0)</f>
        <v>99.657600000000002</v>
      </c>
      <c r="E1048" s="4">
        <f>475.099394028329 * CHOOSE(CONTROL!$C$9, $C$13, 100%, $E$13) + CHOOSE(CONTROL!$C$28, 0, 0)</f>
        <v>475.09939402832902</v>
      </c>
    </row>
    <row r="1049" spans="1:5" ht="15">
      <c r="A1049" s="10"/>
      <c r="B1049" s="4"/>
      <c r="C1049" s="4"/>
      <c r="D1049" s="4"/>
      <c r="E1049" s="4"/>
    </row>
    <row r="1050" spans="1:5" ht="15">
      <c r="A1050" s="3">
        <v>2015</v>
      </c>
      <c r="B1050" s="4">
        <f>AVERAGE(B17:B28)</f>
        <v>8.9766500000000011</v>
      </c>
      <c r="C1050" s="4">
        <f>AVERAGE(C17:C28)</f>
        <v>8.613408333333334</v>
      </c>
      <c r="D1050" s="4">
        <f>AVERAGE(D17:D28)</f>
        <v>15.124158333333334</v>
      </c>
      <c r="E1050" s="4">
        <f>AVERAGE(E17:E28)</f>
        <v>53.557500000000005</v>
      </c>
    </row>
    <row r="1051" spans="1:5" ht="15">
      <c r="A1051" s="3">
        <v>2016</v>
      </c>
      <c r="B1051" s="4">
        <f>AVERAGE(B29:B40)</f>
        <v>9.8652333333333342</v>
      </c>
      <c r="C1051" s="4">
        <f>AVERAGE(C29:C40)</f>
        <v>9.501941666666669</v>
      </c>
      <c r="D1051" s="4">
        <f>AVERAGE(D29:D40)</f>
        <v>15.760941666666666</v>
      </c>
      <c r="E1051" s="4">
        <f>AVERAGE(E29:E40)</f>
        <v>59.98416666666666</v>
      </c>
    </row>
    <row r="1052" spans="1:5" ht="15">
      <c r="A1052" s="3">
        <v>2017</v>
      </c>
      <c r="B1052" s="4">
        <f>AVERAGE(B41:B52)</f>
        <v>10.272633333333335</v>
      </c>
      <c r="C1052" s="4">
        <f>AVERAGE(C41:C52)</f>
        <v>9.9093583333333335</v>
      </c>
      <c r="D1052" s="4">
        <f>AVERAGE(D41:D52)</f>
        <v>16.357933333333335</v>
      </c>
      <c r="E1052" s="4">
        <f>AVERAGE(E41:E52)</f>
        <v>62.591666666666669</v>
      </c>
    </row>
    <row r="1053" spans="1:5" ht="15">
      <c r="A1053" s="3">
        <v>2018</v>
      </c>
      <c r="B1053" s="4">
        <f>AVERAGE(B53:B64)</f>
        <v>11.64705</v>
      </c>
      <c r="C1053" s="4">
        <f>AVERAGE(C53:C64)</f>
        <v>11.283766666666667</v>
      </c>
      <c r="D1053" s="4">
        <f>AVERAGE(D53:D64)</f>
        <v>17.920508333333331</v>
      </c>
      <c r="E1053" s="4">
        <f>AVERAGE(E53:E64)</f>
        <v>72.625833333333333</v>
      </c>
    </row>
    <row r="1054" spans="1:5" ht="15">
      <c r="A1054" s="3">
        <v>2019</v>
      </c>
      <c r="B1054" s="4">
        <f>AVERAGE(B65:B76)</f>
        <v>12.011316666666666</v>
      </c>
      <c r="C1054" s="4">
        <f>AVERAGE(C65:C76)</f>
        <v>11.648024999999999</v>
      </c>
      <c r="D1054" s="4">
        <f>AVERAGE(D65:D76)</f>
        <v>18.525941666666668</v>
      </c>
      <c r="E1054" s="4">
        <f>AVERAGE(E65:E76)</f>
        <v>75.347917582194029</v>
      </c>
    </row>
    <row r="1055" spans="1:5" ht="15">
      <c r="A1055" s="3">
        <v>2020</v>
      </c>
      <c r="B1055" s="4">
        <f>AVERAGE(B77:B88)</f>
        <v>14.111175000000001</v>
      </c>
      <c r="C1055" s="4">
        <f>AVERAGE(C77:C88)</f>
        <v>13.7479</v>
      </c>
      <c r="D1055" s="4">
        <f>AVERAGE(D77:D88)</f>
        <v>20.875616666666666</v>
      </c>
      <c r="E1055" s="4">
        <f>AVERAGE(E77:E88)</f>
        <v>90.846992492675781</v>
      </c>
    </row>
    <row r="1056" spans="1:5" ht="15">
      <c r="A1056" s="3">
        <v>2021</v>
      </c>
      <c r="B1056" s="4">
        <f>AVERAGE(B89:B100)</f>
        <v>14.751158333333334</v>
      </c>
      <c r="C1056" s="4">
        <f>AVERAGE(C89:C100)</f>
        <v>14.387883333333335</v>
      </c>
      <c r="D1056" s="4">
        <f>AVERAGE(D89:D100)</f>
        <v>21.724774999999998</v>
      </c>
      <c r="E1056" s="4">
        <f>AVERAGE(E89:E100)</f>
        <v>94.618591308593793</v>
      </c>
    </row>
    <row r="1057" spans="1:5" ht="15">
      <c r="A1057" s="3">
        <v>2022</v>
      </c>
      <c r="B1057" s="4">
        <f>AVERAGE(B101:B112)</f>
        <v>15.504649999999998</v>
      </c>
      <c r="C1057" s="4">
        <f>AVERAGE(C101:C112)</f>
        <v>15.141391666666665</v>
      </c>
      <c r="D1057" s="4">
        <f>AVERAGE(D101:D112)</f>
        <v>22.795791666666663</v>
      </c>
      <c r="E1057" s="4">
        <f>AVERAGE(E101:E112)</f>
        <v>99.389778137206847</v>
      </c>
    </row>
    <row r="1058" spans="1:5" ht="15">
      <c r="A1058" s="3">
        <v>2023</v>
      </c>
      <c r="B1058" s="4">
        <f>AVERAGE(B113:B124)</f>
        <v>16.309233333333335</v>
      </c>
      <c r="C1058" s="4">
        <f>AVERAGE(C113:C124)</f>
        <v>15.945958333333332</v>
      </c>
      <c r="D1058" s="4">
        <f>AVERAGE(D113:D124)</f>
        <v>23.840041666666664</v>
      </c>
      <c r="E1058" s="4">
        <f>AVERAGE(E113:E124)</f>
        <v>104.16054534912108</v>
      </c>
    </row>
    <row r="1059" spans="1:5" ht="15">
      <c r="A1059" s="3">
        <v>2024</v>
      </c>
      <c r="B1059" s="4">
        <f>AVERAGE(B125:B136)</f>
        <v>17.142958333333333</v>
      </c>
      <c r="C1059" s="4">
        <f>AVERAGE(C125:C136)</f>
        <v>16.779666666666667</v>
      </c>
      <c r="D1059" s="4">
        <f>AVERAGE(D125:D136)</f>
        <v>25.213208333333331</v>
      </c>
      <c r="E1059" s="4">
        <f>AVERAGE(E125:E136)</f>
        <v>108.93090057373041</v>
      </c>
    </row>
    <row r="1060" spans="1:5" ht="15">
      <c r="A1060" s="3">
        <v>2025</v>
      </c>
      <c r="B1060" s="4">
        <f>AVERAGE(B137:B148)</f>
        <v>18.504283333333333</v>
      </c>
      <c r="C1060" s="4">
        <f>AVERAGE(C137:C148)</f>
        <v>18.140999999999998</v>
      </c>
      <c r="D1060" s="4">
        <f>AVERAGE(D137:D148)</f>
        <v>26.551458333333333</v>
      </c>
      <c r="E1060" s="4">
        <f>AVERAGE(E137:E148)</f>
        <v>114.7008361816405</v>
      </c>
    </row>
    <row r="1061" spans="1:5" ht="15">
      <c r="A1061" s="3">
        <v>2026</v>
      </c>
      <c r="B1061" s="4">
        <f>AVERAGE(B149:B160)</f>
        <v>19.083966666666665</v>
      </c>
      <c r="C1061" s="4">
        <f>AVERAGE(C149:C160)</f>
        <v>18.72068333333333</v>
      </c>
      <c r="D1061" s="4">
        <f>AVERAGE(D149:D160)</f>
        <v>27.302383333333339</v>
      </c>
      <c r="E1061" s="4">
        <f>AVERAGE(E149:E160)</f>
        <v>118.55784606933582</v>
      </c>
    </row>
    <row r="1062" spans="1:5" ht="15">
      <c r="A1062" s="3">
        <v>2027</v>
      </c>
      <c r="B1062" s="4">
        <f>AVERAGE(B161:B172)</f>
        <v>19.677716666666665</v>
      </c>
      <c r="C1062" s="4">
        <f>AVERAGE(C161:C172)</f>
        <v>19.314441666666664</v>
      </c>
      <c r="D1062" s="4">
        <f>AVERAGE(D161:D172)</f>
        <v>28.050908333333329</v>
      </c>
      <c r="E1062" s="4">
        <f>AVERAGE(E161:E172)</f>
        <v>122.41442108154308</v>
      </c>
    </row>
    <row r="1063" spans="1:5" ht="15">
      <c r="A1063" s="3">
        <v>2028</v>
      </c>
      <c r="B1063" s="4">
        <f>AVERAGE(B173:B184)</f>
        <v>20.232400000000002</v>
      </c>
      <c r="C1063" s="4">
        <f>AVERAGE(C173:C184)</f>
        <v>19.869125</v>
      </c>
      <c r="D1063" s="4">
        <f>AVERAGE(D173:D184)</f>
        <v>28.740366666666663</v>
      </c>
      <c r="E1063" s="4">
        <f>AVERAGE(E173:E184)</f>
        <v>126.27056884765624</v>
      </c>
    </row>
    <row r="1064" spans="1:5" ht="15">
      <c r="A1064" s="3">
        <v>2029</v>
      </c>
      <c r="B1064" s="4">
        <f>AVERAGE(B185:B196)</f>
        <v>20.833966666666669</v>
      </c>
      <c r="C1064" s="4">
        <f>AVERAGE(C185:C196)</f>
        <v>20.470674999999996</v>
      </c>
      <c r="D1064" s="4">
        <f>AVERAGE(D185:D196)</f>
        <v>29.379350000000002</v>
      </c>
      <c r="E1064" s="4">
        <f>AVERAGE(E185:E196)</f>
        <v>130.12626647949216</v>
      </c>
    </row>
    <row r="1065" spans="1:5" ht="15">
      <c r="A1065" s="3">
        <v>2030</v>
      </c>
      <c r="B1065" s="4">
        <f>AVERAGE(B197:B208)</f>
        <v>21.435524999999998</v>
      </c>
      <c r="C1065" s="4">
        <f>AVERAGE(C197:C208)</f>
        <v>21.072233333333333</v>
      </c>
      <c r="D1065" s="4">
        <f>AVERAGE(D197:D208)</f>
        <v>30.026058333333335</v>
      </c>
      <c r="E1065" s="4">
        <f>AVERAGE(E197:E208)</f>
        <v>133.98153686523432</v>
      </c>
    </row>
    <row r="1066" spans="1:5" ht="15">
      <c r="A1066" s="3">
        <v>2031</v>
      </c>
      <c r="B1066" s="4">
        <f>AVERAGE(B209:B220)</f>
        <v>22.185524999999998</v>
      </c>
      <c r="C1066" s="4">
        <f>AVERAGE(C209:C220)</f>
        <v>21.82225</v>
      </c>
      <c r="D1066" s="4">
        <f>AVERAGE(D209:D220)</f>
        <v>30.848808333333334</v>
      </c>
      <c r="E1066" s="4">
        <f>AVERAGE(E209:E220)</f>
        <v>138.83634948730472</v>
      </c>
    </row>
    <row r="1067" spans="1:5" ht="15">
      <c r="A1067" s="3">
        <v>2032</v>
      </c>
      <c r="B1067" s="4">
        <f>AVERAGE(B221:B232)</f>
        <v>22.951166666666666</v>
      </c>
      <c r="C1067" s="4">
        <f>AVERAGE(C221:C232)</f>
        <v>22.587874999999997</v>
      </c>
      <c r="D1067" s="4">
        <f>AVERAGE(D221:D232)</f>
        <v>31.671558333333337</v>
      </c>
      <c r="E1067" s="4">
        <f>AVERAGE(E221:E232)</f>
        <v>143.69071960449216</v>
      </c>
    </row>
    <row r="1068" spans="1:5" ht="15">
      <c r="A1068" s="3">
        <v>2033</v>
      </c>
      <c r="B1068" s="4">
        <f>AVERAGE(B233:B244)</f>
        <v>23.716791666666666</v>
      </c>
      <c r="C1068" s="4">
        <f>AVERAGE(C233:C244)</f>
        <v>23.353491666666667</v>
      </c>
      <c r="D1068" s="4">
        <f>AVERAGE(D233:D244)</f>
        <v>32.494324999999996</v>
      </c>
      <c r="E1068" s="4">
        <f>AVERAGE(E233:E244)</f>
        <v>148.54461669921872</v>
      </c>
    </row>
    <row r="1069" spans="1:5" ht="15">
      <c r="A1069" s="3">
        <v>2034</v>
      </c>
      <c r="B1069" s="4">
        <f>AVERAGE(B245:B256)</f>
        <v>24.482399999999998</v>
      </c>
      <c r="C1069" s="4">
        <f>AVERAGE(C245:C256)</f>
        <v>24.119116666666667</v>
      </c>
      <c r="D1069" s="4">
        <f>AVERAGE(D245:D256)</f>
        <v>33.317074999999996</v>
      </c>
      <c r="E1069" s="4">
        <f>AVERAGE(E245:E256)</f>
        <v>153.39807128906259</v>
      </c>
    </row>
    <row r="1070" spans="1:5" ht="15">
      <c r="A1070" s="3">
        <v>2035</v>
      </c>
      <c r="B1070" s="4">
        <f>AVERAGE(B257:B268)</f>
        <v>25.248041666666669</v>
      </c>
      <c r="C1070" s="4">
        <f>AVERAGE(C257:C268)</f>
        <v>24.884741666666667</v>
      </c>
      <c r="D1070" s="4">
        <f>AVERAGE(D257:D268)</f>
        <v>34.167283333333337</v>
      </c>
      <c r="E1070" s="4">
        <f>AVERAGE(E257:E268)</f>
        <v>158.2510528564454</v>
      </c>
    </row>
    <row r="1071" spans="1:5" ht="15">
      <c r="A1071" s="3">
        <v>2036</v>
      </c>
      <c r="B1071" s="4">
        <f>AVERAGE(B269:B280)</f>
        <v>25.6328</v>
      </c>
      <c r="C1071" s="4">
        <f>AVERAGE(C269:C280)</f>
        <v>25.269508333333334</v>
      </c>
      <c r="D1071" s="4">
        <f>AVERAGE(D269:D280)</f>
        <v>34.738233333333334</v>
      </c>
      <c r="E1071" s="4">
        <f>AVERAGE(E269:E280)</f>
        <v>161.05496254435951</v>
      </c>
    </row>
    <row r="1072" spans="1:5" ht="15">
      <c r="A1072" s="3">
        <v>2037</v>
      </c>
      <c r="B1072" s="4">
        <f>AVERAGE(B281:B292)</f>
        <v>26.023624999999999</v>
      </c>
      <c r="C1072" s="4">
        <f>AVERAGE(C281:C292)</f>
        <v>25.660333333333341</v>
      </c>
      <c r="D1072" s="4">
        <f>AVERAGE(D281:D292)</f>
        <v>35.319291666666672</v>
      </c>
      <c r="E1072" s="4">
        <f>AVERAGE(E281:E292)</f>
        <v>163.90855221478301</v>
      </c>
    </row>
    <row r="1073" spans="1:5" ht="15">
      <c r="A1073" s="3">
        <f t="shared" ref="A1073:A1104" si="0">A1072+1</f>
        <v>2038</v>
      </c>
      <c r="B1073" s="4">
        <f>AVERAGE(B293:B304)</f>
        <v>26.42058333333333</v>
      </c>
      <c r="C1073" s="4">
        <f>AVERAGE(C293:C304)</f>
        <v>26.057291666666671</v>
      </c>
      <c r="D1073" s="4">
        <f>AVERAGE(D293:D304)</f>
        <v>35.910591666666669</v>
      </c>
      <c r="E1073" s="4">
        <f>AVERAGE(E293:E304)</f>
        <v>166.81270210315</v>
      </c>
    </row>
    <row r="1074" spans="1:5" ht="15">
      <c r="A1074" s="3">
        <f t="shared" si="0"/>
        <v>2039</v>
      </c>
      <c r="B1074" s="4">
        <f>AVERAGE(B305:B316)</f>
        <v>26.823783333333335</v>
      </c>
      <c r="C1074" s="4">
        <f>AVERAGE(C305:C316)</f>
        <v>26.460508333333333</v>
      </c>
      <c r="D1074" s="4">
        <f>AVERAGE(D305:D316)</f>
        <v>36.512349999999998</v>
      </c>
      <c r="E1074" s="4">
        <f>AVERAGE(E305:E316)</f>
        <v>169.76830804100425</v>
      </c>
    </row>
    <row r="1075" spans="1:5" ht="15">
      <c r="A1075" s="3">
        <f t="shared" si="0"/>
        <v>2040</v>
      </c>
      <c r="B1075" s="4">
        <f>AVERAGE(B317:B328)</f>
        <v>27.233333333333334</v>
      </c>
      <c r="C1075" s="4">
        <f>AVERAGE(C317:C328)</f>
        <v>26.870058333333333</v>
      </c>
      <c r="D1075" s="4">
        <f>AVERAGE(D317:D328)</f>
        <v>37.124758333333332</v>
      </c>
      <c r="E1075" s="4">
        <f>AVERAGE(E317:E328)</f>
        <v>172.77628173233109</v>
      </c>
    </row>
    <row r="1076" spans="1:5" ht="15">
      <c r="A1076" s="3">
        <f t="shared" si="0"/>
        <v>2041</v>
      </c>
      <c r="B1076" s="4">
        <f>AVERAGE(B329:B340)</f>
        <v>27.649333333333335</v>
      </c>
      <c r="C1076" s="4">
        <f>AVERAGE(C329:C340)</f>
        <v>27.286050000000003</v>
      </c>
      <c r="D1076" s="4">
        <f>AVERAGE(D329:D340)</f>
        <v>37.747958333333322</v>
      </c>
      <c r="E1076" s="4">
        <f>AVERAGE(E329:E340)</f>
        <v>175.83755103478907</v>
      </c>
    </row>
    <row r="1077" spans="1:5" ht="15">
      <c r="A1077" s="3">
        <f t="shared" si="0"/>
        <v>2042</v>
      </c>
      <c r="B1077" s="4">
        <f>AVERAGE(B341:B352)</f>
        <v>28.071858333333338</v>
      </c>
      <c r="C1077" s="4">
        <f>AVERAGE(C341:C352)</f>
        <v>27.708574999999996</v>
      </c>
      <c r="D1077" s="4">
        <f>AVERAGE(D341:D352)</f>
        <v>38.382174999999997</v>
      </c>
      <c r="E1077" s="4">
        <f>AVERAGE(E341:E352)</f>
        <v>178.9530602459208</v>
      </c>
    </row>
    <row r="1078" spans="1:5" ht="15">
      <c r="A1078" s="3">
        <f t="shared" si="0"/>
        <v>2043</v>
      </c>
      <c r="B1078" s="4">
        <f>AVERAGE(B353:B364)</f>
        <v>28.501033333333336</v>
      </c>
      <c r="C1078" s="4">
        <f>AVERAGE(C353:C364)</f>
        <v>28.137758333333334</v>
      </c>
      <c r="D1078" s="4">
        <f>AVERAGE(D353:D364)</f>
        <v>39.027616666666667</v>
      </c>
      <c r="E1078" s="4">
        <f>AVERAGE(E353:E364)</f>
        <v>182.12377039443774</v>
      </c>
    </row>
    <row r="1079" spans="1:5" ht="15">
      <c r="A1079" s="3">
        <f t="shared" si="0"/>
        <v>2044</v>
      </c>
      <c r="B1079" s="4">
        <f>AVERAGE(B365:B376)</f>
        <v>28.936975000000004</v>
      </c>
      <c r="C1079" s="4">
        <f>AVERAGE(C365:C376)</f>
        <v>28.573691666666662</v>
      </c>
      <c r="D1079" s="4">
        <f>AVERAGE(D365:D376)</f>
        <v>39.684449999999991</v>
      </c>
      <c r="E1079" s="4">
        <f>AVERAGE(E365:E376)</f>
        <v>185.35065953666444</v>
      </c>
    </row>
    <row r="1080" spans="1:5" ht="15">
      <c r="A1080" s="3">
        <f t="shared" si="0"/>
        <v>2045</v>
      </c>
      <c r="B1080" s="4">
        <f>AVERAGE(B377:B388)</f>
        <v>29.379750000000001</v>
      </c>
      <c r="C1080" s="4">
        <f>AVERAGE(C377:C388)</f>
        <v>29.016458333333333</v>
      </c>
      <c r="D1080" s="4">
        <f>AVERAGE(D377:D388)</f>
        <v>40.352883333333331</v>
      </c>
      <c r="E1080" s="4">
        <f>AVERAGE(E377:E388)</f>
        <v>188.63472305823606</v>
      </c>
    </row>
    <row r="1081" spans="1:5" ht="15">
      <c r="A1081" s="3">
        <f t="shared" si="0"/>
        <v>2046</v>
      </c>
      <c r="B1081" s="4">
        <f>AVERAGE(B389:B400)</f>
        <v>29.829466666666665</v>
      </c>
      <c r="C1081" s="4">
        <f>AVERAGE(C389:C400)</f>
        <v>29.466200000000004</v>
      </c>
      <c r="D1081" s="4">
        <f>AVERAGE(D389:D400)</f>
        <v>41.033133333333332</v>
      </c>
      <c r="E1081" s="4">
        <f>AVERAGE(E389:E400)</f>
        <v>191.97697398114028</v>
      </c>
    </row>
    <row r="1082" spans="1:5" ht="15">
      <c r="A1082" s="3">
        <f t="shared" si="0"/>
        <v>2047</v>
      </c>
      <c r="B1082" s="4">
        <f>AVERAGE(B401:B412)</f>
        <v>30.286283333333333</v>
      </c>
      <c r="C1082" s="4">
        <f>AVERAGE(C401:C412)</f>
        <v>29.922991666666665</v>
      </c>
      <c r="D1082" s="4">
        <f>AVERAGE(D401:D412)</f>
        <v>41.7254</v>
      </c>
      <c r="E1082" s="4">
        <f>AVERAGE(E401:E412)</f>
        <v>195.37844327620061</v>
      </c>
    </row>
    <row r="1083" spans="1:5" ht="15">
      <c r="A1083" s="3">
        <f t="shared" si="0"/>
        <v>2048</v>
      </c>
      <c r="B1083" s="4">
        <f>AVERAGE(B413:B424)</f>
        <v>30.750274999999998</v>
      </c>
      <c r="C1083" s="4">
        <f>AVERAGE(C413:C424)</f>
        <v>30.386991666666663</v>
      </c>
      <c r="D1083" s="4">
        <f>AVERAGE(D413:D424)</f>
        <v>42.429891666666663</v>
      </c>
      <c r="E1083" s="4">
        <f>AVERAGE(E413:E424)</f>
        <v>198.84018018109614</v>
      </c>
    </row>
    <row r="1084" spans="1:5" ht="15">
      <c r="A1084" s="3">
        <f t="shared" si="0"/>
        <v>2049</v>
      </c>
      <c r="B1084" s="4">
        <f>AVERAGE(B425:B436)</f>
        <v>31.221566666666664</v>
      </c>
      <c r="C1084" s="4">
        <f>AVERAGE(C425:C436)</f>
        <v>30.8583</v>
      </c>
      <c r="D1084" s="4">
        <f>AVERAGE(D425:D436)</f>
        <v>43.146850000000001</v>
      </c>
      <c r="E1084" s="4">
        <f>AVERAGE(E425:E436)</f>
        <v>202.36325252401534</v>
      </c>
    </row>
    <row r="1085" spans="1:5" ht="15">
      <c r="A1085" s="3">
        <f t="shared" si="0"/>
        <v>2050</v>
      </c>
      <c r="B1085" s="4">
        <f>AVERAGE(B437:B448)</f>
        <v>31.700266666666664</v>
      </c>
      <c r="C1085" s="4">
        <f>AVERAGE(C437:C448)</f>
        <v>31.337</v>
      </c>
      <c r="D1085" s="4">
        <f>AVERAGE(D437:D448)</f>
        <v>43.876458333333339</v>
      </c>
      <c r="E1085" s="4">
        <f>AVERAGE(E437:E448)</f>
        <v>205.9487470530446</v>
      </c>
    </row>
    <row r="1086" spans="1:5" ht="15">
      <c r="A1086" s="3">
        <f t="shared" si="0"/>
        <v>2051</v>
      </c>
      <c r="B1086" s="4">
        <f>AVERAGE(B449:B460)</f>
        <v>32.186499999999995</v>
      </c>
      <c r="C1086" s="4">
        <f>AVERAGE(C449:C460)</f>
        <v>31.823216666666667</v>
      </c>
      <c r="D1086" s="4">
        <f>AVERAGE(D449:D460)</f>
        <v>44.618950000000005</v>
      </c>
      <c r="E1086" s="4">
        <f>AVERAGE(E449:E460)</f>
        <v>209.59776977139384</v>
      </c>
    </row>
    <row r="1087" spans="1:5" ht="15">
      <c r="A1087" s="3">
        <f t="shared" si="0"/>
        <v>2052</v>
      </c>
      <c r="B1087" s="4">
        <f>AVERAGE(B461:B472)</f>
        <v>32.680374999999998</v>
      </c>
      <c r="C1087" s="4">
        <f>AVERAGE(C461:C472)</f>
        <v>32.317091666666663</v>
      </c>
      <c r="D1087" s="4">
        <f>AVERAGE(D461:D472)</f>
        <v>45.374566666666659</v>
      </c>
      <c r="E1087" s="4">
        <f>AVERAGE(E461:E472)</f>
        <v>213.31144627855932</v>
      </c>
    </row>
    <row r="1088" spans="1:5" ht="15">
      <c r="A1088" s="3">
        <f t="shared" si="0"/>
        <v>2053</v>
      </c>
      <c r="B1088" s="4">
        <f>AVERAGE(B473:B484)</f>
        <v>33.181999999999995</v>
      </c>
      <c r="C1088" s="4">
        <f>AVERAGE(C473:C484)</f>
        <v>32.818741666666661</v>
      </c>
      <c r="D1088" s="4">
        <f>AVERAGE(D473:D484)</f>
        <v>46.143558333333338</v>
      </c>
      <c r="E1088" s="4">
        <f>AVERAGE(E473:E484)</f>
        <v>217.09092211753554</v>
      </c>
    </row>
    <row r="1089" spans="1:5" ht="15">
      <c r="A1089" s="3">
        <f t="shared" si="0"/>
        <v>2054</v>
      </c>
      <c r="B1089" s="4">
        <f>AVERAGE(B485:B496)</f>
        <v>33.691558333333333</v>
      </c>
      <c r="C1089" s="4">
        <f>AVERAGE(C485:C496)</f>
        <v>33.328266666666664</v>
      </c>
      <c r="D1089" s="4">
        <f>AVERAGE(D485:D496)</f>
        <v>46.926116666666665</v>
      </c>
      <c r="E1089" s="4">
        <f>AVERAGE(E485:E496)</f>
        <v>220.93736312817293</v>
      </c>
    </row>
    <row r="1090" spans="1:5" ht="15">
      <c r="A1090" s="3">
        <f t="shared" si="0"/>
        <v>2055</v>
      </c>
      <c r="B1090" s="4">
        <f>AVERAGE(B497:B508)</f>
        <v>34.209091666666666</v>
      </c>
      <c r="C1090" s="4">
        <f>AVERAGE(C497:C508)</f>
        <v>33.845816666666671</v>
      </c>
      <c r="D1090" s="4">
        <f>AVERAGE(D497:D508)</f>
        <v>47.722508333333337</v>
      </c>
      <c r="E1090" s="4">
        <f>AVERAGE(E497:E508)</f>
        <v>224.85195580680258</v>
      </c>
    </row>
    <row r="1091" spans="1:5" ht="15">
      <c r="A1091" s="3">
        <f t="shared" si="0"/>
        <v>2056</v>
      </c>
      <c r="B1091" s="4">
        <f>AVERAGE(B509:B520)</f>
        <v>34.73478333333334</v>
      </c>
      <c r="C1091" s="4">
        <f>AVERAGE(C509:C520)</f>
        <v>34.371499999999997</v>
      </c>
      <c r="D1091" s="4">
        <f>AVERAGE(D509:D520)</f>
        <v>48.53295</v>
      </c>
      <c r="E1091" s="4">
        <f>AVERAGE(E509:E520)</f>
        <v>228.83590767222924</v>
      </c>
    </row>
    <row r="1092" spans="1:5" ht="15">
      <c r="A1092" s="3">
        <f t="shared" si="0"/>
        <v>2057</v>
      </c>
      <c r="B1092" s="4">
        <f>AVERAGE(B521:B532)</f>
        <v>35.268716666666663</v>
      </c>
      <c r="C1092" s="4">
        <f>AVERAGE(C521:C532)</f>
        <v>34.905441666666675</v>
      </c>
      <c r="D1092" s="4">
        <f>AVERAGE(D521:D532)</f>
        <v>49.357724999999995</v>
      </c>
      <c r="E1092" s="4">
        <f>AVERAGE(E521:E532)</f>
        <v>232.89044763820894</v>
      </c>
    </row>
    <row r="1093" spans="1:5" ht="15">
      <c r="A1093" s="3">
        <f t="shared" si="0"/>
        <v>2058</v>
      </c>
      <c r="B1093" s="4">
        <f>AVERAGE(B533:B544)</f>
        <v>35.811066666666662</v>
      </c>
      <c r="C1093" s="4">
        <f>AVERAGE(C533:C544)</f>
        <v>35.447775</v>
      </c>
      <c r="D1093" s="4">
        <f>AVERAGE(D533:D544)</f>
        <v>50.197099999999999</v>
      </c>
      <c r="E1093" s="4">
        <f>AVERAGE(E533:E544)</f>
        <v>237.01682639252795</v>
      </c>
    </row>
    <row r="1094" spans="1:5" ht="15">
      <c r="A1094" s="3">
        <f t="shared" si="0"/>
        <v>2059</v>
      </c>
      <c r="B1094" s="4">
        <f>AVERAGE(B545:B556)</f>
        <v>36.361941666666674</v>
      </c>
      <c r="C1094" s="4">
        <f>AVERAGE(C545:C556)</f>
        <v>35.998641666666664</v>
      </c>
      <c r="D1094" s="4">
        <f>AVERAGE(D545:D556)</f>
        <v>51.05125833333333</v>
      </c>
      <c r="E1094" s="4">
        <f>AVERAGE(E545:E556)</f>
        <v>241.21631678279758</v>
      </c>
    </row>
    <row r="1095" spans="1:5" ht="15">
      <c r="A1095" s="3">
        <f t="shared" si="0"/>
        <v>2060</v>
      </c>
      <c r="B1095" s="4">
        <f>AVERAGE(B557:B568)</f>
        <v>36.921483333333335</v>
      </c>
      <c r="C1095" s="4">
        <f>AVERAGE(C557:C568)</f>
        <v>36.558183333333339</v>
      </c>
      <c r="D1095" s="4">
        <f>AVERAGE(D557:D568)</f>
        <v>51.920533333333339</v>
      </c>
      <c r="E1095" s="4">
        <f>AVERAGE(E557:E568)</f>
        <v>245.49021420908386</v>
      </c>
    </row>
    <row r="1096" spans="1:5" ht="15">
      <c r="A1096" s="3">
        <f t="shared" si="0"/>
        <v>2061</v>
      </c>
      <c r="B1096" s="4">
        <f>AVERAGE(B569:B580)</f>
        <v>37.489808333333336</v>
      </c>
      <c r="C1096" s="4">
        <f>AVERAGE(C569:C580)</f>
        <v>37.126525000000001</v>
      </c>
      <c r="D1096" s="4">
        <f>AVERAGE(D569:D580)</f>
        <v>52.805158333333331</v>
      </c>
      <c r="E1096" s="4">
        <f>AVERAGE(E569:E580)</f>
        <v>249.83983702349511</v>
      </c>
    </row>
    <row r="1097" spans="1:5" ht="15">
      <c r="A1097" s="3">
        <f t="shared" si="0"/>
        <v>2062</v>
      </c>
      <c r="B1097" s="4">
        <f t="shared" ref="B1097:E1116" ca="1" si="1">AVERAGE(OFFSET(B$581,($A1097-$A$1097)*12,0,12,1))</f>
        <v>38.067100000000003</v>
      </c>
      <c r="C1097" s="4">
        <f t="shared" ca="1" si="1"/>
        <v>37.703808333333335</v>
      </c>
      <c r="D1097" s="4">
        <f t="shared" ca="1" si="1"/>
        <v>53.705408333333338</v>
      </c>
      <c r="E1097" s="4">
        <f t="shared" ca="1" si="1"/>
        <v>254.26652693684795</v>
      </c>
    </row>
    <row r="1098" spans="1:5" ht="15">
      <c r="A1098" s="3">
        <f t="shared" si="0"/>
        <v>2063</v>
      </c>
      <c r="B1098" s="4">
        <f t="shared" ca="1" si="1"/>
        <v>38.653425000000006</v>
      </c>
      <c r="C1098" s="4">
        <f t="shared" ca="1" si="1"/>
        <v>38.290141666666663</v>
      </c>
      <c r="D1098" s="4">
        <f t="shared" ca="1" si="1"/>
        <v>54.621575000000007</v>
      </c>
      <c r="E1098" s="4">
        <f t="shared" ca="1" si="1"/>
        <v>258.7716494325399</v>
      </c>
    </row>
    <row r="1099" spans="1:5" ht="15">
      <c r="A1099" s="3">
        <f t="shared" si="0"/>
        <v>2064</v>
      </c>
      <c r="B1099" s="4">
        <f t="shared" ca="1" si="1"/>
        <v>39.248983333333335</v>
      </c>
      <c r="C1099" s="4">
        <f t="shared" ca="1" si="1"/>
        <v>38.885716666666674</v>
      </c>
      <c r="D1099" s="4">
        <f t="shared" ca="1" si="1"/>
        <v>55.553941666666667</v>
      </c>
      <c r="E1099" s="4">
        <f t="shared" ca="1" si="1"/>
        <v>263.35659418775504</v>
      </c>
    </row>
    <row r="1100" spans="1:5" ht="15">
      <c r="A1100" s="3">
        <f t="shared" si="0"/>
        <v>2065</v>
      </c>
      <c r="B1100" s="4">
        <f t="shared" ca="1" si="1"/>
        <v>39.853933333333337</v>
      </c>
      <c r="C1100" s="4">
        <f t="shared" ca="1" si="1"/>
        <v>39.490650000000002</v>
      </c>
      <c r="D1100" s="4">
        <f t="shared" ca="1" si="1"/>
        <v>56.502758333333333</v>
      </c>
      <c r="E1100" s="4">
        <f t="shared" ca="1" si="1"/>
        <v>268.02277550213159</v>
      </c>
    </row>
    <row r="1101" spans="1:5" ht="15">
      <c r="A1101" s="3">
        <f t="shared" si="0"/>
        <v>2066</v>
      </c>
      <c r="B1101" s="4">
        <f t="shared" ca="1" si="1"/>
        <v>40.468375000000002</v>
      </c>
      <c r="C1101" s="4">
        <f t="shared" ca="1" si="1"/>
        <v>40.105091666666667</v>
      </c>
      <c r="D1101" s="4">
        <f t="shared" ca="1" si="1"/>
        <v>57.468341666666667</v>
      </c>
      <c r="E1101" s="4">
        <f t="shared" ca="1" si="1"/>
        <v>272.77163273402499</v>
      </c>
    </row>
    <row r="1102" spans="1:5" ht="15">
      <c r="A1102" s="3">
        <f t="shared" si="0"/>
        <v>2067</v>
      </c>
      <c r="B1102" s="4">
        <f t="shared" ca="1" si="1"/>
        <v>41.092483333333341</v>
      </c>
      <c r="C1102" s="4">
        <f t="shared" ca="1" si="1"/>
        <v>40.729208333333332</v>
      </c>
      <c r="D1102" s="4">
        <f t="shared" ca="1" si="1"/>
        <v>58.451008333333334</v>
      </c>
      <c r="E1102" s="4">
        <f t="shared" ca="1" si="1"/>
        <v>277.604630744502</v>
      </c>
    </row>
    <row r="1103" spans="1:5" ht="15">
      <c r="A1103" s="3">
        <f t="shared" si="0"/>
        <v>2068</v>
      </c>
      <c r="B1103" s="4">
        <f t="shared" ca="1" si="1"/>
        <v>41.726391666666665</v>
      </c>
      <c r="C1103" s="4">
        <f t="shared" ca="1" si="1"/>
        <v>41.363116666666663</v>
      </c>
      <c r="D1103" s="4">
        <f t="shared" ca="1" si="1"/>
        <v>59.451008333333341</v>
      </c>
      <c r="E1103" s="4">
        <f t="shared" ca="1" si="1"/>
        <v>282.52326034920014</v>
      </c>
    </row>
    <row r="1104" spans="1:5" ht="15">
      <c r="A1104" s="3">
        <f t="shared" si="0"/>
        <v>2069</v>
      </c>
      <c r="B1104" s="4">
        <f t="shared" ca="1" si="1"/>
        <v>42.370291666666667</v>
      </c>
      <c r="C1104" s="4">
        <f t="shared" ca="1" si="1"/>
        <v>42.006999999999998</v>
      </c>
      <c r="D1104" s="4">
        <f t="shared" ca="1" si="1"/>
        <v>60.468674999999998</v>
      </c>
      <c r="E1104" s="4">
        <f t="shared" ca="1" si="1"/>
        <v>287.52903877819324</v>
      </c>
    </row>
    <row r="1105" spans="1:5" ht="15">
      <c r="A1105" s="3">
        <f t="shared" ref="A1105:A1135" si="2">A1104+1</f>
        <v>2070</v>
      </c>
      <c r="B1105" s="4">
        <f t="shared" ca="1" si="1"/>
        <v>43.024300000000004</v>
      </c>
      <c r="C1105" s="4">
        <f t="shared" ca="1" si="1"/>
        <v>42.661025000000002</v>
      </c>
      <c r="D1105" s="4">
        <f t="shared" ca="1" si="1"/>
        <v>61.504341666666654</v>
      </c>
      <c r="E1105" s="4">
        <f t="shared" ca="1" si="1"/>
        <v>292.62351014400559</v>
      </c>
    </row>
    <row r="1106" spans="1:5" ht="15">
      <c r="A1106" s="3">
        <f t="shared" si="2"/>
        <v>2071</v>
      </c>
      <c r="B1106" s="4">
        <f t="shared" ca="1" si="1"/>
        <v>43.688600000000001</v>
      </c>
      <c r="C1106" s="4">
        <f t="shared" ca="1" si="1"/>
        <v>43.325324999999999</v>
      </c>
      <c r="D1106" s="4">
        <f t="shared" ca="1" si="1"/>
        <v>62.558316666666663</v>
      </c>
      <c r="E1106" s="4">
        <f t="shared" ca="1" si="1"/>
        <v>297.80824591791895</v>
      </c>
    </row>
    <row r="1107" spans="1:5" ht="15">
      <c r="A1107" s="3">
        <f t="shared" si="2"/>
        <v>2072</v>
      </c>
      <c r="B1107" s="4">
        <f t="shared" ca="1" si="1"/>
        <v>44.363358333333331</v>
      </c>
      <c r="C1107" s="4">
        <f t="shared" ca="1" si="1"/>
        <v>44.000058333333335</v>
      </c>
      <c r="D1107" s="4">
        <f t="shared" ca="1" si="1"/>
        <v>63.630891666666678</v>
      </c>
      <c r="E1107" s="4">
        <f t="shared" ca="1" si="1"/>
        <v>303.08484541471637</v>
      </c>
    </row>
    <row r="1108" spans="1:5" ht="15">
      <c r="A1108" s="3">
        <f t="shared" si="2"/>
        <v>2073</v>
      </c>
      <c r="B1108" s="4">
        <f t="shared" ca="1" si="1"/>
        <v>45.048716666666671</v>
      </c>
      <c r="C1108" s="4">
        <f t="shared" ca="1" si="1"/>
        <v>44.685425000000002</v>
      </c>
      <c r="D1108" s="4">
        <f t="shared" ca="1" si="1"/>
        <v>64.72240833333332</v>
      </c>
      <c r="E1108" s="4">
        <f t="shared" ca="1" si="1"/>
        <v>308.45493628601827</v>
      </c>
    </row>
    <row r="1109" spans="1:5" ht="15">
      <c r="A1109" s="3">
        <f t="shared" si="2"/>
        <v>2074</v>
      </c>
      <c r="B1109" s="4">
        <f t="shared" ca="1" si="1"/>
        <v>45.744841666666666</v>
      </c>
      <c r="C1109" s="4">
        <f t="shared" ca="1" si="1"/>
        <v>45.381566666666664</v>
      </c>
      <c r="D1109" s="4">
        <f t="shared" ca="1" si="1"/>
        <v>65.833224999999985</v>
      </c>
      <c r="E1109" s="4">
        <f t="shared" ca="1" si="1"/>
        <v>313.92017502235626</v>
      </c>
    </row>
    <row r="1110" spans="1:5" ht="15">
      <c r="A1110" s="3">
        <f t="shared" si="2"/>
        <v>2075</v>
      </c>
      <c r="B1110" s="4">
        <f t="shared" ca="1" si="1"/>
        <v>46.451924999999996</v>
      </c>
      <c r="C1110" s="4">
        <f t="shared" ca="1" si="1"/>
        <v>46.088641666666668</v>
      </c>
      <c r="D1110" s="4">
        <f t="shared" ca="1" si="1"/>
        <v>66.963666666666668</v>
      </c>
      <c r="E1110" s="4">
        <f t="shared" ca="1" si="1"/>
        <v>319.48224746414513</v>
      </c>
    </row>
    <row r="1111" spans="1:5" ht="15">
      <c r="A1111" s="3">
        <f t="shared" si="2"/>
        <v>2076</v>
      </c>
      <c r="B1111" s="4">
        <f t="shared" ca="1" si="1"/>
        <v>47.170133333333332</v>
      </c>
      <c r="C1111" s="4">
        <f t="shared" ca="1" si="1"/>
        <v>46.806841666666664</v>
      </c>
      <c r="D1111" s="4">
        <f t="shared" ca="1" si="1"/>
        <v>68.114100000000008</v>
      </c>
      <c r="E1111" s="4">
        <f t="shared" ca="1" si="1"/>
        <v>325.14286932170648</v>
      </c>
    </row>
    <row r="1112" spans="1:5" ht="15">
      <c r="A1112" s="3">
        <f t="shared" si="2"/>
        <v>2077</v>
      </c>
      <c r="B1112" s="4">
        <f t="shared" ca="1" si="1"/>
        <v>47.899625000000007</v>
      </c>
      <c r="C1112" s="4">
        <f t="shared" ca="1" si="1"/>
        <v>47.536333333333339</v>
      </c>
      <c r="D1112" s="4">
        <f t="shared" ca="1" si="1"/>
        <v>69.284816666666657</v>
      </c>
      <c r="E1112" s="4">
        <f t="shared" ca="1" si="1"/>
        <v>330.90378670450815</v>
      </c>
    </row>
    <row r="1113" spans="1:5" ht="15">
      <c r="A1113" s="3">
        <f t="shared" si="2"/>
        <v>2078</v>
      </c>
      <c r="B1113" s="4">
        <f t="shared" ca="1" si="1"/>
        <v>48.640583333333332</v>
      </c>
      <c r="C1113" s="4">
        <f t="shared" ca="1" si="1"/>
        <v>48.277291666666677</v>
      </c>
      <c r="D1113" s="4">
        <f t="shared" ca="1" si="1"/>
        <v>70.476258333333334</v>
      </c>
      <c r="E1113" s="4">
        <f t="shared" ca="1" si="1"/>
        <v>336.76677665977854</v>
      </c>
    </row>
    <row r="1114" spans="1:5" ht="15">
      <c r="A1114" s="3">
        <f t="shared" si="2"/>
        <v>2079</v>
      </c>
      <c r="B1114" s="4">
        <f t="shared" ca="1" si="1"/>
        <v>49.3932</v>
      </c>
      <c r="C1114" s="4">
        <f t="shared" ca="1" si="1"/>
        <v>49.029924999999999</v>
      </c>
      <c r="D1114" s="4">
        <f t="shared" ca="1" si="1"/>
        <v>71.688725000000019</v>
      </c>
      <c r="E1114" s="4">
        <f t="shared" ca="1" si="1"/>
        <v>342.73364772066526</v>
      </c>
    </row>
    <row r="1115" spans="1:5" ht="15">
      <c r="A1115" s="3">
        <f t="shared" si="2"/>
        <v>2080</v>
      </c>
      <c r="B1115" s="4">
        <f t="shared" ca="1" si="1"/>
        <v>50.157641666666656</v>
      </c>
      <c r="C1115" s="4">
        <f t="shared" ca="1" si="1"/>
        <v>49.794358333333342</v>
      </c>
      <c r="D1115" s="4">
        <f t="shared" ca="1" si="1"/>
        <v>72.922624999999996</v>
      </c>
      <c r="E1115" s="4">
        <f t="shared" ca="1" si="1"/>
        <v>348.80624046410753</v>
      </c>
    </row>
    <row r="1116" spans="1:5" ht="15">
      <c r="A1116" s="3">
        <f t="shared" si="2"/>
        <v>2081</v>
      </c>
      <c r="B1116" s="4">
        <f t="shared" ca="1" si="1"/>
        <v>50.934125000000002</v>
      </c>
      <c r="C1116" s="4">
        <f t="shared" ca="1" si="1"/>
        <v>50.570833333333333</v>
      </c>
      <c r="D1116" s="4">
        <f t="shared" ca="1" si="1"/>
        <v>74.178341666666668</v>
      </c>
      <c r="E1116" s="4">
        <f t="shared" ca="1" si="1"/>
        <v>354.98642807859028</v>
      </c>
    </row>
    <row r="1117" spans="1:5" ht="15">
      <c r="A1117" s="3">
        <f t="shared" si="2"/>
        <v>2082</v>
      </c>
      <c r="B1117" s="4">
        <f t="shared" ref="B1117:E1135" ca="1" si="3">AVERAGE(OFFSET(B$581,($A1117-$A$1097)*12,0,12,1))</f>
        <v>51.722791666666666</v>
      </c>
      <c r="C1117" s="4">
        <f t="shared" ca="1" si="3"/>
        <v>51.359516666666671</v>
      </c>
      <c r="D1117" s="4">
        <f t="shared" ca="1" si="3"/>
        <v>75.456225000000003</v>
      </c>
      <c r="E1117" s="4">
        <f t="shared" ca="1" si="3"/>
        <v>361.2761169419594</v>
      </c>
    </row>
    <row r="1118" spans="1:5" ht="15">
      <c r="A1118" s="3">
        <f t="shared" si="2"/>
        <v>2083</v>
      </c>
      <c r="B1118" s="4">
        <f t="shared" ca="1" si="3"/>
        <v>52.523883333333337</v>
      </c>
      <c r="C1118" s="4">
        <f t="shared" ca="1" si="3"/>
        <v>52.160608333333336</v>
      </c>
      <c r="D1118" s="4">
        <f t="shared" ca="1" si="3"/>
        <v>76.756683333333356</v>
      </c>
      <c r="E1118" s="4">
        <f t="shared" ca="1" si="3"/>
        <v>367.6772472094749</v>
      </c>
    </row>
    <row r="1119" spans="1:5" ht="15">
      <c r="A1119" s="3">
        <f t="shared" si="2"/>
        <v>2084</v>
      </c>
      <c r="B1119" s="4">
        <f t="shared" ca="1" si="3"/>
        <v>53.337574999999994</v>
      </c>
      <c r="C1119" s="4">
        <f t="shared" ca="1" si="3"/>
        <v>52.974275000000006</v>
      </c>
      <c r="D1119" s="4">
        <f t="shared" ca="1" si="3"/>
        <v>78.080100000000002</v>
      </c>
      <c r="E1119" s="4">
        <f t="shared" ca="1" si="3"/>
        <v>374.19179341228238</v>
      </c>
    </row>
    <row r="1120" spans="1:5" ht="15">
      <c r="A1120" s="3">
        <f t="shared" si="2"/>
        <v>2085</v>
      </c>
      <c r="B1120" s="4">
        <f t="shared" ca="1" si="3"/>
        <v>54.164049999999996</v>
      </c>
      <c r="C1120" s="4">
        <f t="shared" ca="1" si="3"/>
        <v>53.800758333333334</v>
      </c>
      <c r="D1120" s="4">
        <f t="shared" ca="1" si="3"/>
        <v>79.426958333333332</v>
      </c>
      <c r="E1120" s="4">
        <f t="shared" ca="1" si="3"/>
        <v>380.82176506648966</v>
      </c>
    </row>
    <row r="1121" spans="1:5" ht="15">
      <c r="A1121" s="3">
        <f t="shared" si="2"/>
        <v>2086</v>
      </c>
      <c r="B1121" s="4">
        <f t="shared" ca="1" si="3"/>
        <v>55.003499999999995</v>
      </c>
      <c r="C1121" s="4">
        <f t="shared" ca="1" si="3"/>
        <v>54.640225000000008</v>
      </c>
      <c r="D1121" s="4">
        <f t="shared" ca="1" si="3"/>
        <v>80.797558333333342</v>
      </c>
      <c r="E1121" s="4">
        <f t="shared" ca="1" si="3"/>
        <v>387.56920729303323</v>
      </c>
    </row>
    <row r="1122" spans="1:5" ht="15">
      <c r="A1122" s="3">
        <f t="shared" si="2"/>
        <v>2087</v>
      </c>
      <c r="B1122" s="4">
        <f t="shared" ca="1" si="3"/>
        <v>55.856158333333333</v>
      </c>
      <c r="C1122" s="4">
        <f t="shared" ca="1" si="3"/>
        <v>55.492900000000013</v>
      </c>
      <c r="D1122" s="4">
        <f t="shared" ca="1" si="3"/>
        <v>82.192391666666666</v>
      </c>
      <c r="E1122" s="4">
        <f t="shared" ca="1" si="3"/>
        <v>394.43620144852849</v>
      </c>
    </row>
    <row r="1123" spans="1:5" ht="15">
      <c r="A1123" s="3">
        <f t="shared" si="2"/>
        <v>2088</v>
      </c>
      <c r="B1123" s="4">
        <f t="shared" ca="1" si="3"/>
        <v>56.722258333333322</v>
      </c>
      <c r="C1123" s="4">
        <f t="shared" ca="1" si="3"/>
        <v>56.358974999999994</v>
      </c>
      <c r="D1123" s="4">
        <f t="shared" ca="1" si="3"/>
        <v>83.611883333333338</v>
      </c>
      <c r="E1123" s="4">
        <f t="shared" ca="1" si="3"/>
        <v>401.42486576729817</v>
      </c>
    </row>
    <row r="1124" spans="1:5" ht="15">
      <c r="A1124" s="3">
        <f t="shared" si="2"/>
        <v>2089</v>
      </c>
      <c r="B1124" s="4">
        <f t="shared" ca="1" si="3"/>
        <v>57.601966666666669</v>
      </c>
      <c r="C1124" s="4">
        <f t="shared" ca="1" si="3"/>
        <v>57.238675000000008</v>
      </c>
      <c r="D1124" s="4">
        <f t="shared" ca="1" si="3"/>
        <v>85.056449999999998</v>
      </c>
      <c r="E1124" s="4">
        <f t="shared" ca="1" si="3"/>
        <v>408.53735601477615</v>
      </c>
    </row>
    <row r="1125" spans="1:5" ht="15">
      <c r="A1125" s="3">
        <f t="shared" si="2"/>
        <v>2090</v>
      </c>
      <c r="B1125" s="4">
        <f t="shared" ca="1" si="3"/>
        <v>58.495474999999999</v>
      </c>
      <c r="C1125" s="4">
        <f t="shared" ca="1" si="3"/>
        <v>58.132208333333331</v>
      </c>
      <c r="D1125" s="4">
        <f t="shared" ca="1" si="3"/>
        <v>86.526516666666666</v>
      </c>
      <c r="E1125" s="4">
        <f t="shared" ca="1" si="3"/>
        <v>415.77586615248651</v>
      </c>
    </row>
    <row r="1126" spans="1:5" ht="15">
      <c r="A1126" s="3">
        <f t="shared" si="2"/>
        <v>2091</v>
      </c>
      <c r="B1126" s="4">
        <f t="shared" ca="1" si="3"/>
        <v>59.403075000000001</v>
      </c>
      <c r="C1126" s="4">
        <f t="shared" ca="1" si="3"/>
        <v>59.039791666666666</v>
      </c>
      <c r="D1126" s="4">
        <f t="shared" ca="1" si="3"/>
        <v>88.022575000000003</v>
      </c>
      <c r="E1126" s="4">
        <f t="shared" ca="1" si="3"/>
        <v>423.14262901480635</v>
      </c>
    </row>
    <row r="1127" spans="1:5" ht="15">
      <c r="A1127" s="3">
        <f t="shared" si="2"/>
        <v>2092</v>
      </c>
      <c r="B1127" s="4">
        <f t="shared" ca="1" si="3"/>
        <v>60.324941666666668</v>
      </c>
      <c r="C1127" s="4">
        <f t="shared" ca="1" si="3"/>
        <v>59.961649999999999</v>
      </c>
      <c r="D1127" s="4">
        <f t="shared" ca="1" si="3"/>
        <v>89.545066666666671</v>
      </c>
      <c r="E1127" s="4">
        <f t="shared" ca="1" si="3"/>
        <v>430.63991699772032</v>
      </c>
    </row>
    <row r="1128" spans="1:5" ht="15">
      <c r="A1128" s="3">
        <f t="shared" si="2"/>
        <v>2093</v>
      </c>
      <c r="B1128" s="4">
        <f t="shared" ca="1" si="3"/>
        <v>61.261283333333346</v>
      </c>
      <c r="C1128" s="4">
        <f t="shared" ca="1" si="3"/>
        <v>60.897983333333322</v>
      </c>
      <c r="D1128" s="4">
        <f t="shared" ca="1" si="3"/>
        <v>91.094449999999995</v>
      </c>
      <c r="E1128" s="4">
        <f t="shared" ca="1" si="3"/>
        <v>438.27004275977629</v>
      </c>
    </row>
    <row r="1129" spans="1:5" ht="15">
      <c r="A1129" s="3">
        <f t="shared" si="2"/>
        <v>2094</v>
      </c>
      <c r="B1129" s="4">
        <f t="shared" ca="1" si="3"/>
        <v>62.212350000000008</v>
      </c>
      <c r="C1129" s="4">
        <f t="shared" ca="1" si="3"/>
        <v>61.849074999999999</v>
      </c>
      <c r="D1129" s="4">
        <f t="shared" ca="1" si="3"/>
        <v>92.67121666666668</v>
      </c>
      <c r="E1129" s="4">
        <f t="shared" ca="1" si="3"/>
        <v>446.03535993546365</v>
      </c>
    </row>
    <row r="1130" spans="1:5" ht="15">
      <c r="A1130" s="3">
        <f t="shared" si="2"/>
        <v>2095</v>
      </c>
      <c r="B1130" s="4">
        <f t="shared" ca="1" si="3"/>
        <v>63.17839166666667</v>
      </c>
      <c r="C1130" s="4">
        <f t="shared" ca="1" si="3"/>
        <v>62.815099999999994</v>
      </c>
      <c r="D1130" s="4">
        <f t="shared" ca="1" si="3"/>
        <v>94.275833333333324</v>
      </c>
      <c r="E1130" s="4">
        <f t="shared" ca="1" si="3"/>
        <v>453.93826386122669</v>
      </c>
    </row>
    <row r="1131" spans="1:5" ht="15">
      <c r="A1131" s="3">
        <f t="shared" si="2"/>
        <v>2096</v>
      </c>
      <c r="B1131" s="4">
        <f t="shared" ca="1" si="3"/>
        <v>64.159608333333338</v>
      </c>
      <c r="C1131" s="4">
        <f t="shared" ca="1" si="3"/>
        <v>63.796325000000003</v>
      </c>
      <c r="D1131" s="4">
        <f t="shared" ca="1" si="3"/>
        <v>95.908824999999993</v>
      </c>
      <c r="E1131" s="4">
        <f t="shared" ca="1" si="3"/>
        <v>461.98119231434754</v>
      </c>
    </row>
    <row r="1132" spans="1:5" ht="15">
      <c r="A1132" s="3">
        <f t="shared" si="2"/>
        <v>2097</v>
      </c>
      <c r="B1132" s="4">
        <f t="shared" ca="1" si="3"/>
        <v>65.15625</v>
      </c>
      <c r="C1132" s="4">
        <f t="shared" ca="1" si="3"/>
        <v>64.792974999999998</v>
      </c>
      <c r="D1132" s="4">
        <f t="shared" ca="1" si="3"/>
        <v>97.570641666666674</v>
      </c>
      <c r="E1132" s="4">
        <f t="shared" ca="1" si="3"/>
        <v>470.16662626491598</v>
      </c>
    </row>
    <row r="1133" spans="1:5" ht="15">
      <c r="A1133" s="3">
        <f t="shared" si="2"/>
        <v>2098</v>
      </c>
      <c r="B1133" s="4">
        <f t="shared" ca="1" si="3"/>
        <v>66.168591666666671</v>
      </c>
      <c r="C1133" s="4">
        <f t="shared" ca="1" si="3"/>
        <v>65.805291666666676</v>
      </c>
      <c r="D1133" s="4">
        <f t="shared" ca="1" si="3"/>
        <v>99.261824999999988</v>
      </c>
      <c r="E1133" s="4">
        <f t="shared" ca="1" si="3"/>
        <v>478.49709064112477</v>
      </c>
    </row>
    <row r="1134" spans="1:5" ht="15">
      <c r="A1134" s="3">
        <f t="shared" si="2"/>
        <v>2099</v>
      </c>
      <c r="B1134" s="4">
        <f t="shared" ca="1" si="3"/>
        <v>67.196816666666663</v>
      </c>
      <c r="C1134" s="4">
        <f t="shared" ca="1" si="3"/>
        <v>66.833550000000002</v>
      </c>
      <c r="D1134" s="4">
        <f t="shared" ca="1" si="3"/>
        <v>100.98289999999999</v>
      </c>
      <c r="E1134" s="4">
        <f t="shared" ca="1" si="3"/>
        <v>486.97515510812372</v>
      </c>
    </row>
    <row r="1135" spans="1:5" ht="15">
      <c r="A1135" s="3">
        <f t="shared" si="2"/>
        <v>2100</v>
      </c>
      <c r="B1135" s="4">
        <f t="shared" ca="1" si="3"/>
        <v>68.241224999999986</v>
      </c>
      <c r="C1135" s="4">
        <f t="shared" ca="1" si="3"/>
        <v>67.877949999999998</v>
      </c>
      <c r="D1135" s="4">
        <f t="shared" ca="1" si="3"/>
        <v>102.73438333333331</v>
      </c>
      <c r="E1135" s="4">
        <f t="shared" ca="1" si="3"/>
        <v>495.60343486067512</v>
      </c>
    </row>
    <row r="1136" spans="1:5">
      <c r="A1136" s="32"/>
    </row>
    <row r="1137" spans="1:1">
      <c r="A1137" s="32"/>
    </row>
    <row r="1138" spans="1:1">
      <c r="A1138" s="32"/>
    </row>
    <row r="1139" spans="1:1">
      <c r="A1139" s="32"/>
    </row>
    <row r="1140" spans="1:1">
      <c r="A1140" s="32"/>
    </row>
    <row r="1141" spans="1:1">
      <c r="A1141" s="32"/>
    </row>
    <row r="1142" spans="1:1">
      <c r="A1142" s="32"/>
    </row>
    <row r="1143" spans="1:1">
      <c r="A1143" s="32"/>
    </row>
    <row r="1144" spans="1:1">
      <c r="A1144" s="32"/>
    </row>
    <row r="1145" spans="1:1">
      <c r="A1145" s="32"/>
    </row>
    <row r="1146" spans="1:1">
      <c r="A1146" s="32"/>
    </row>
    <row r="1147" spans="1:1">
      <c r="A1147" s="32"/>
    </row>
    <row r="1148" spans="1:1">
      <c r="A1148" s="32"/>
    </row>
    <row r="1149" spans="1:1">
      <c r="A1149" s="32"/>
    </row>
    <row r="1150" spans="1:1">
      <c r="A1150" s="32"/>
    </row>
    <row r="1151" spans="1:1">
      <c r="A1151" s="32"/>
    </row>
    <row r="1152" spans="1:1">
      <c r="A1152" s="32"/>
    </row>
    <row r="1153" spans="1:1">
      <c r="A1153" s="32"/>
    </row>
    <row r="1154" spans="1:1">
      <c r="A1154" s="32"/>
    </row>
    <row r="1155" spans="1:1">
      <c r="A1155" s="32"/>
    </row>
  </sheetData>
  <mergeCells count="1">
    <mergeCell ref="B14:C14"/>
  </mergeCells>
  <pageMargins left="0.25" right="0.25" top="0.5" bottom="0.5" header="0.25" footer="0.25"/>
  <pageSetup scale="85" orientation="portrait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1</xdr:col>
                    <xdr:colOff>133350</xdr:colOff>
                    <xdr:row>9</xdr:row>
                    <xdr:rowOff>171450</xdr:rowOff>
                  </from>
                  <to>
                    <xdr:col>2</xdr:col>
                    <xdr:colOff>666750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3</xdr:col>
                    <xdr:colOff>19050</xdr:colOff>
                    <xdr:row>9</xdr:row>
                    <xdr:rowOff>171450</xdr:rowOff>
                  </from>
                  <to>
                    <xdr:col>4</xdr:col>
                    <xdr:colOff>371475</xdr:colOff>
                    <xdr:row>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O1135"/>
  <sheetViews>
    <sheetView zoomScale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ColWidth="7.109375" defaultRowHeight="12.75"/>
  <cols>
    <col min="1" max="1" width="14.5546875" style="32" customWidth="1"/>
    <col min="2" max="2" width="19" style="32" customWidth="1"/>
    <col min="3" max="3" width="16.109375" style="32" customWidth="1"/>
    <col min="4" max="4" width="20.21875" style="32" customWidth="1"/>
    <col min="5" max="5" width="20.6640625" style="32" customWidth="1"/>
    <col min="6" max="6" width="16.109375" style="32" customWidth="1"/>
    <col min="7" max="9" width="20" style="32" customWidth="1"/>
    <col min="10" max="11" width="19.109375" style="32" customWidth="1"/>
    <col min="12" max="12" width="16.109375" style="32" customWidth="1"/>
    <col min="13" max="15" width="17.6640625" style="32" customWidth="1"/>
    <col min="16" max="16384" width="7.109375" style="32"/>
  </cols>
  <sheetData>
    <row r="1" spans="1:15" ht="15.75">
      <c r="A1" s="84" t="s">
        <v>64</v>
      </c>
    </row>
    <row r="2" spans="1:15" ht="15.75">
      <c r="A2" s="84" t="s">
        <v>65</v>
      </c>
    </row>
    <row r="3" spans="1:15" ht="15.75">
      <c r="A3" s="84" t="s">
        <v>66</v>
      </c>
    </row>
    <row r="4" spans="1:15" ht="15.75">
      <c r="A4" s="84" t="s">
        <v>67</v>
      </c>
    </row>
    <row r="5" spans="1:15" ht="15.75">
      <c r="A5" s="84" t="s">
        <v>69</v>
      </c>
    </row>
    <row r="6" spans="1:15" ht="15.75">
      <c r="A6" s="84" t="s">
        <v>72</v>
      </c>
    </row>
    <row r="9" spans="1:15" ht="15" customHeight="1">
      <c r="A9" s="74" t="s">
        <v>25</v>
      </c>
    </row>
    <row r="10" spans="1:15" ht="15" customHeight="1">
      <c r="A10" s="75"/>
    </row>
    <row r="11" spans="1:15" ht="15" customHeight="1">
      <c r="A11" s="75"/>
    </row>
    <row r="12" spans="1:15" ht="15" customHeight="1">
      <c r="B12" s="74"/>
      <c r="H12" s="71" t="s">
        <v>51</v>
      </c>
    </row>
    <row r="13" spans="1:15" ht="15" customHeight="1">
      <c r="A13" s="74"/>
      <c r="B13" s="73" t="s">
        <v>24</v>
      </c>
      <c r="C13" s="72">
        <f>1-0.141</f>
        <v>0.85899999999999999</v>
      </c>
      <c r="D13" s="73" t="s">
        <v>23</v>
      </c>
      <c r="E13" s="72">
        <f>1+0.141</f>
        <v>1.141</v>
      </c>
      <c r="H13" s="71"/>
      <c r="L13" s="89"/>
      <c r="M13" s="89"/>
      <c r="N13" s="89"/>
      <c r="O13" s="89"/>
    </row>
    <row r="14" spans="1:15" ht="15" customHeight="1">
      <c r="B14" s="88" t="s">
        <v>50</v>
      </c>
      <c r="C14" s="88"/>
      <c r="D14" s="88"/>
      <c r="E14" s="90" t="s">
        <v>49</v>
      </c>
      <c r="F14" s="90"/>
      <c r="G14" s="91"/>
      <c r="H14" s="92" t="s">
        <v>48</v>
      </c>
      <c r="I14" s="92"/>
      <c r="J14" s="91" t="s">
        <v>47</v>
      </c>
      <c r="K14" s="91"/>
      <c r="L14" s="89"/>
      <c r="M14" s="89"/>
      <c r="N14" s="89"/>
      <c r="O14" s="89"/>
    </row>
    <row r="15" spans="1:15" ht="63">
      <c r="B15" s="70" t="s">
        <v>46</v>
      </c>
      <c r="C15" s="69" t="s">
        <v>45</v>
      </c>
      <c r="D15" s="68" t="s">
        <v>44</v>
      </c>
      <c r="E15" s="70" t="s">
        <v>46</v>
      </c>
      <c r="F15" s="69" t="s">
        <v>45</v>
      </c>
      <c r="G15" s="68" t="s">
        <v>44</v>
      </c>
      <c r="H15" s="69" t="s">
        <v>45</v>
      </c>
      <c r="I15" s="68" t="s">
        <v>44</v>
      </c>
      <c r="J15" s="69" t="s">
        <v>45</v>
      </c>
      <c r="K15" s="68" t="s">
        <v>44</v>
      </c>
      <c r="L15" s="60"/>
      <c r="M15" s="67"/>
      <c r="N15" s="67"/>
      <c r="O15" s="67"/>
    </row>
    <row r="16" spans="1:15" ht="20.25">
      <c r="A16" s="24" t="s">
        <v>2</v>
      </c>
      <c r="B16" s="66" t="s">
        <v>1</v>
      </c>
      <c r="C16" s="66" t="s">
        <v>1</v>
      </c>
      <c r="D16" s="66" t="s">
        <v>1</v>
      </c>
      <c r="E16" s="66" t="s">
        <v>1</v>
      </c>
      <c r="F16" s="66" t="s">
        <v>1</v>
      </c>
      <c r="G16" s="66" t="s">
        <v>1</v>
      </c>
      <c r="H16" s="66" t="s">
        <v>1</v>
      </c>
      <c r="I16" s="66" t="s">
        <v>1</v>
      </c>
      <c r="J16" s="66" t="s">
        <v>1</v>
      </c>
      <c r="K16" s="66" t="s">
        <v>1</v>
      </c>
      <c r="L16" s="65"/>
      <c r="M16" s="65"/>
      <c r="N16" s="65"/>
      <c r="O16" s="65"/>
    </row>
    <row r="17" spans="1:14" ht="15">
      <c r="A17" s="13">
        <v>42005</v>
      </c>
      <c r="B17" s="63">
        <f>2.4907 * CHOOSE(CONTROL!$C$22, $C$13, 100%, $E$13)</f>
        <v>2.4906999999999999</v>
      </c>
      <c r="C17" s="63">
        <f>2.5129 * CHOOSE(CONTROL!$C$22, $C$13, 100%, $E$13)</f>
        <v>2.5129000000000001</v>
      </c>
      <c r="D17" s="63">
        <f>2.5129 * CHOOSE(CONTROL!$C$22, $C$13, 100%, $E$13)</f>
        <v>2.5129000000000001</v>
      </c>
      <c r="E17" s="64">
        <f>3.1876 * CHOOSE(CONTROL!$C$22, $C$13, 100%, $E$13)</f>
        <v>3.1876000000000002</v>
      </c>
      <c r="F17" s="64">
        <f>3.254 * CHOOSE(CONTROL!$C$22, $C$13, 100%, $E$13)</f>
        <v>3.254</v>
      </c>
      <c r="G17" s="64">
        <f>3.2541 * CHOOSE(CONTROL!$C$22, $C$13, 100%, $E$13)</f>
        <v>3.2541000000000002</v>
      </c>
      <c r="H17" s="64">
        <f>5.613* CHOOSE(CONTROL!$C$22, $C$13, 100%, $E$13)</f>
        <v>5.6130000000000004</v>
      </c>
      <c r="I17" s="64">
        <f>5.6131 * CHOOSE(CONTROL!$C$22, $C$13, 100%, $E$13)</f>
        <v>5.6131000000000002</v>
      </c>
      <c r="J17" s="64">
        <f>3.1876 * CHOOSE(CONTROL!$C$22, $C$13, 100%, $E$13)</f>
        <v>3.1876000000000002</v>
      </c>
      <c r="K17" s="64">
        <f>3.1877 * CHOOSE(CONTROL!$C$22, $C$13, 100%, $E$13)</f>
        <v>3.1877</v>
      </c>
      <c r="L17" s="4"/>
      <c r="M17" s="64"/>
      <c r="N17" s="64"/>
    </row>
    <row r="18" spans="1:14" ht="15">
      <c r="A18" s="13">
        <v>42036</v>
      </c>
      <c r="B18" s="63">
        <f>2.4906 * CHOOSE(CONTROL!$C$22, $C$13, 100%, $E$13)</f>
        <v>2.4906000000000001</v>
      </c>
      <c r="C18" s="63">
        <f>2.5152 * CHOOSE(CONTROL!$C$22, $C$13, 100%, $E$13)</f>
        <v>2.5152000000000001</v>
      </c>
      <c r="D18" s="63">
        <f>2.5152 * CHOOSE(CONTROL!$C$22, $C$13, 100%, $E$13)</f>
        <v>2.5152000000000001</v>
      </c>
      <c r="E18" s="64">
        <f>3.1987 * CHOOSE(CONTROL!$C$22, $C$13, 100%, $E$13)</f>
        <v>3.1987000000000001</v>
      </c>
      <c r="F18" s="64">
        <f>3.254 * CHOOSE(CONTROL!$C$22, $C$13, 100%, $E$13)</f>
        <v>3.254</v>
      </c>
      <c r="G18" s="64">
        <f>3.2541 * CHOOSE(CONTROL!$C$22, $C$13, 100%, $E$13)</f>
        <v>3.2541000000000002</v>
      </c>
      <c r="H18" s="64">
        <f>5.613* CHOOSE(CONTROL!$C$22, $C$13, 100%, $E$13)</f>
        <v>5.6130000000000004</v>
      </c>
      <c r="I18" s="64">
        <f>5.6131 * CHOOSE(CONTROL!$C$22, $C$13, 100%, $E$13)</f>
        <v>5.6131000000000002</v>
      </c>
      <c r="J18" s="64">
        <f>3.1987 * CHOOSE(CONTROL!$C$22, $C$13, 100%, $E$13)</f>
        <v>3.1987000000000001</v>
      </c>
      <c r="K18" s="64">
        <f>3.1987 * CHOOSE(CONTROL!$C$22, $C$13, 100%, $E$13)</f>
        <v>3.1987000000000001</v>
      </c>
      <c r="L18" s="4"/>
      <c r="M18" s="64"/>
      <c r="N18" s="64"/>
    </row>
    <row r="19" spans="1:14" ht="15">
      <c r="A19" s="13">
        <v>42064</v>
      </c>
      <c r="B19" s="63">
        <f>2.4913 * CHOOSE(CONTROL!$C$22, $C$13, 100%, $E$13)</f>
        <v>2.4912999999999998</v>
      </c>
      <c r="C19" s="63">
        <f>2.5122 * CHOOSE(CONTROL!$C$22, $C$13, 100%, $E$13)</f>
        <v>2.5122</v>
      </c>
      <c r="D19" s="63">
        <f>2.5122 * CHOOSE(CONTROL!$C$22, $C$13, 100%, $E$13)</f>
        <v>2.5122</v>
      </c>
      <c r="E19" s="64">
        <f>3.1433 * CHOOSE(CONTROL!$C$22, $C$13, 100%, $E$13)</f>
        <v>3.1433</v>
      </c>
      <c r="F19" s="64">
        <f>3.254 * CHOOSE(CONTROL!$C$22, $C$13, 100%, $E$13)</f>
        <v>3.254</v>
      </c>
      <c r="G19" s="64">
        <f>3.2541 * CHOOSE(CONTROL!$C$22, $C$13, 100%, $E$13)</f>
        <v>3.2541000000000002</v>
      </c>
      <c r="H19" s="64">
        <f>5.613* CHOOSE(CONTROL!$C$22, $C$13, 100%, $E$13)</f>
        <v>5.6130000000000004</v>
      </c>
      <c r="I19" s="64">
        <f>5.6131 * CHOOSE(CONTROL!$C$22, $C$13, 100%, $E$13)</f>
        <v>5.6131000000000002</v>
      </c>
      <c r="J19" s="64">
        <f>3.1433 * CHOOSE(CONTROL!$C$22, $C$13, 100%, $E$13)</f>
        <v>3.1433</v>
      </c>
      <c r="K19" s="64">
        <f>3.1434 * CHOOSE(CONTROL!$C$22, $C$13, 100%, $E$13)</f>
        <v>3.1434000000000002</v>
      </c>
      <c r="L19" s="4"/>
      <c r="M19" s="64"/>
      <c r="N19" s="64"/>
    </row>
    <row r="20" spans="1:14" ht="15">
      <c r="A20" s="13">
        <v>42095</v>
      </c>
      <c r="B20" s="63">
        <f>2.489 * CHOOSE(CONTROL!$C$22, $C$13, 100%, $E$13)</f>
        <v>2.4889999999999999</v>
      </c>
      <c r="C20" s="63">
        <f>2.5091 * CHOOSE(CONTROL!$C$22, $C$13, 100%, $E$13)</f>
        <v>2.5091000000000001</v>
      </c>
      <c r="D20" s="63">
        <f>2.5091 * CHOOSE(CONTROL!$C$22, $C$13, 100%, $E$13)</f>
        <v>2.5091000000000001</v>
      </c>
      <c r="E20" s="64">
        <f>3.186 * CHOOSE(CONTROL!$C$22, $C$13, 100%, $E$13)</f>
        <v>3.1859999999999999</v>
      </c>
      <c r="F20" s="64">
        <f>3.254 * CHOOSE(CONTROL!$C$22, $C$13, 100%, $E$13)</f>
        <v>3.254</v>
      </c>
      <c r="G20" s="64">
        <f>3.2541 * CHOOSE(CONTROL!$C$22, $C$13, 100%, $E$13)</f>
        <v>3.2541000000000002</v>
      </c>
      <c r="H20" s="64">
        <f>5.6247* CHOOSE(CONTROL!$C$22, $C$13, 100%, $E$13)</f>
        <v>5.6246999999999998</v>
      </c>
      <c r="I20" s="64">
        <f>5.6248 * CHOOSE(CONTROL!$C$22, $C$13, 100%, $E$13)</f>
        <v>5.6247999999999996</v>
      </c>
      <c r="J20" s="64">
        <f>3.186 * CHOOSE(CONTROL!$C$22, $C$13, 100%, $E$13)</f>
        <v>3.1859999999999999</v>
      </c>
      <c r="K20" s="64">
        <f>3.1861 * CHOOSE(CONTROL!$C$22, $C$13, 100%, $E$13)</f>
        <v>3.1861000000000002</v>
      </c>
      <c r="L20" s="4"/>
      <c r="M20" s="64"/>
      <c r="N20" s="64"/>
    </row>
    <row r="21" spans="1:14" ht="15">
      <c r="A21" s="13">
        <v>42125</v>
      </c>
      <c r="B21" s="63">
        <f>2.4919 * CHOOSE(CONTROL!$C$22, $C$13, 100%, $E$13)</f>
        <v>2.4918999999999998</v>
      </c>
      <c r="C21" s="63">
        <f>2.5114 * CHOOSE(CONTROL!$C$22, $C$13, 100%, $E$13)</f>
        <v>2.5114000000000001</v>
      </c>
      <c r="D21" s="63">
        <f>2.5198 * CHOOSE(CONTROL!$C$22, $C$13, 100%, $E$13)</f>
        <v>2.5198</v>
      </c>
      <c r="E21" s="64">
        <f>3.186 * CHOOSE(CONTROL!$C$22, $C$13, 100%, $E$13)</f>
        <v>3.1859999999999999</v>
      </c>
      <c r="F21" s="64">
        <f>3.254 * CHOOSE(CONTROL!$C$22, $C$13, 100%, $E$13)</f>
        <v>3.254</v>
      </c>
      <c r="G21" s="64">
        <f>3.2642 * CHOOSE(CONTROL!$C$22, $C$13, 100%, $E$13)</f>
        <v>3.2642000000000002</v>
      </c>
      <c r="H21" s="64">
        <f>5.6364* CHOOSE(CONTROL!$C$22, $C$13, 100%, $E$13)</f>
        <v>5.6364000000000001</v>
      </c>
      <c r="I21" s="64">
        <f>5.6466 * CHOOSE(CONTROL!$C$22, $C$13, 100%, $E$13)</f>
        <v>5.6466000000000003</v>
      </c>
      <c r="J21" s="64">
        <f>3.186 * CHOOSE(CONTROL!$C$22, $C$13, 100%, $E$13)</f>
        <v>3.1859999999999999</v>
      </c>
      <c r="K21" s="64">
        <f>3.1962 * CHOOSE(CONTROL!$C$22, $C$13, 100%, $E$13)</f>
        <v>3.1962000000000002</v>
      </c>
      <c r="L21" s="4"/>
      <c r="M21" s="64"/>
      <c r="N21" s="64"/>
    </row>
    <row r="22" spans="1:14" ht="15">
      <c r="A22" s="13">
        <v>42156</v>
      </c>
      <c r="B22" s="63">
        <f>2.4945 * CHOOSE(CONTROL!$C$22, $C$13, 100%, $E$13)</f>
        <v>2.4944999999999999</v>
      </c>
      <c r="C22" s="63">
        <f>2.5175 * CHOOSE(CONTROL!$C$22, $C$13, 100%, $E$13)</f>
        <v>2.5175000000000001</v>
      </c>
      <c r="D22" s="63">
        <f>2.5259 * CHOOSE(CONTROL!$C$22, $C$13, 100%, $E$13)</f>
        <v>2.5259</v>
      </c>
      <c r="E22" s="64">
        <f>3.2268 * CHOOSE(CONTROL!$C$22, $C$13, 100%, $E$13)</f>
        <v>3.2267999999999999</v>
      </c>
      <c r="F22" s="64">
        <f>3.254 * CHOOSE(CONTROL!$C$22, $C$13, 100%, $E$13)</f>
        <v>3.254</v>
      </c>
      <c r="G22" s="64">
        <f>3.2642 * CHOOSE(CONTROL!$C$22, $C$13, 100%, $E$13)</f>
        <v>3.2642000000000002</v>
      </c>
      <c r="H22" s="64">
        <f>5.6482* CHOOSE(CONTROL!$C$22, $C$13, 100%, $E$13)</f>
        <v>5.6482000000000001</v>
      </c>
      <c r="I22" s="64">
        <f>5.6584 * CHOOSE(CONTROL!$C$22, $C$13, 100%, $E$13)</f>
        <v>5.6584000000000003</v>
      </c>
      <c r="J22" s="64">
        <f>3.2268 * CHOOSE(CONTROL!$C$22, $C$13, 100%, $E$13)</f>
        <v>3.2267999999999999</v>
      </c>
      <c r="K22" s="64">
        <f>3.237 * CHOOSE(CONTROL!$C$22, $C$13, 100%, $E$13)</f>
        <v>3.2370000000000001</v>
      </c>
      <c r="L22" s="4"/>
      <c r="M22" s="64"/>
      <c r="N22" s="64"/>
    </row>
    <row r="23" spans="1:14" ht="15">
      <c r="A23" s="13">
        <v>42186</v>
      </c>
      <c r="B23" s="63">
        <f>2.5054 * CHOOSE(CONTROL!$C$22, $C$13, 100%, $E$13)</f>
        <v>2.5053999999999998</v>
      </c>
      <c r="C23" s="63">
        <f>2.5357 * CHOOSE(CONTROL!$C$22, $C$13, 100%, $E$13)</f>
        <v>2.5356999999999998</v>
      </c>
      <c r="D23" s="63">
        <f>2.5442 * CHOOSE(CONTROL!$C$22, $C$13, 100%, $E$13)</f>
        <v>2.5442</v>
      </c>
      <c r="E23" s="64">
        <f>3.2136 * CHOOSE(CONTROL!$C$22, $C$13, 100%, $E$13)</f>
        <v>3.2136</v>
      </c>
      <c r="F23" s="64">
        <f>3.254 * CHOOSE(CONTROL!$C$22, $C$13, 100%, $E$13)</f>
        <v>3.254</v>
      </c>
      <c r="G23" s="64">
        <f>3.2642 * CHOOSE(CONTROL!$C$22, $C$13, 100%, $E$13)</f>
        <v>3.2642000000000002</v>
      </c>
      <c r="H23" s="64">
        <f>5.6599* CHOOSE(CONTROL!$C$22, $C$13, 100%, $E$13)</f>
        <v>5.6599000000000004</v>
      </c>
      <c r="I23" s="64">
        <f>5.6701 * CHOOSE(CONTROL!$C$22, $C$13, 100%, $E$13)</f>
        <v>5.6700999999999997</v>
      </c>
      <c r="J23" s="64">
        <f>3.2136 * CHOOSE(CONTROL!$C$22, $C$13, 100%, $E$13)</f>
        <v>3.2136</v>
      </c>
      <c r="K23" s="64">
        <f>3.2238 * CHOOSE(CONTROL!$C$22, $C$13, 100%, $E$13)</f>
        <v>3.2238000000000002</v>
      </c>
      <c r="L23" s="4"/>
      <c r="M23" s="64"/>
      <c r="N23" s="64"/>
    </row>
    <row r="24" spans="1:14" ht="15">
      <c r="A24" s="13">
        <v>42217</v>
      </c>
      <c r="B24" s="63">
        <f>2.5144 * CHOOSE(CONTROL!$C$22, $C$13, 100%, $E$13)</f>
        <v>2.5144000000000002</v>
      </c>
      <c r="C24" s="63">
        <f>2.5502 * CHOOSE(CONTROL!$C$22, $C$13, 100%, $E$13)</f>
        <v>2.5501999999999998</v>
      </c>
      <c r="D24" s="63">
        <f>2.5586 * CHOOSE(CONTROL!$C$22, $C$13, 100%, $E$13)</f>
        <v>2.5586000000000002</v>
      </c>
      <c r="E24" s="64">
        <f>3.2338 * CHOOSE(CONTROL!$C$22, $C$13, 100%, $E$13)</f>
        <v>3.2338</v>
      </c>
      <c r="F24" s="64">
        <f>3.254 * CHOOSE(CONTROL!$C$22, $C$13, 100%, $E$13)</f>
        <v>3.254</v>
      </c>
      <c r="G24" s="64">
        <f>3.2642 * CHOOSE(CONTROL!$C$22, $C$13, 100%, $E$13)</f>
        <v>3.2642000000000002</v>
      </c>
      <c r="H24" s="64">
        <f>5.6717* CHOOSE(CONTROL!$C$22, $C$13, 100%, $E$13)</f>
        <v>5.6717000000000004</v>
      </c>
      <c r="I24" s="64">
        <f>5.6819 * CHOOSE(CONTROL!$C$22, $C$13, 100%, $E$13)</f>
        <v>5.6818999999999997</v>
      </c>
      <c r="J24" s="64">
        <f>3.2338 * CHOOSE(CONTROL!$C$22, $C$13, 100%, $E$13)</f>
        <v>3.2338</v>
      </c>
      <c r="K24" s="64">
        <f>3.244 * CHOOSE(CONTROL!$C$22, $C$13, 100%, $E$13)</f>
        <v>3.2440000000000002</v>
      </c>
      <c r="L24" s="4"/>
      <c r="M24" s="64"/>
      <c r="N24" s="64"/>
    </row>
    <row r="25" spans="1:14" ht="15">
      <c r="A25" s="13">
        <v>42248</v>
      </c>
      <c r="B25" s="63">
        <f>2.5116 * CHOOSE(CONTROL!$C$22, $C$13, 100%, $E$13)</f>
        <v>2.5116000000000001</v>
      </c>
      <c r="C25" s="63">
        <f>2.5471 * CHOOSE(CONTROL!$C$22, $C$13, 100%, $E$13)</f>
        <v>2.5470999999999999</v>
      </c>
      <c r="D25" s="63">
        <f>2.5555 * CHOOSE(CONTROL!$C$22, $C$13, 100%, $E$13)</f>
        <v>2.5554999999999999</v>
      </c>
      <c r="E25" s="64">
        <f>3.2287 * CHOOSE(CONTROL!$C$22, $C$13, 100%, $E$13)</f>
        <v>3.2286999999999999</v>
      </c>
      <c r="F25" s="64">
        <f>3.254 * CHOOSE(CONTROL!$C$22, $C$13, 100%, $E$13)</f>
        <v>3.254</v>
      </c>
      <c r="G25" s="64">
        <f>3.2642 * CHOOSE(CONTROL!$C$22, $C$13, 100%, $E$13)</f>
        <v>3.2642000000000002</v>
      </c>
      <c r="H25" s="64">
        <f>5.6835* CHOOSE(CONTROL!$C$22, $C$13, 100%, $E$13)</f>
        <v>5.6835000000000004</v>
      </c>
      <c r="I25" s="64">
        <f>5.6937 * CHOOSE(CONTROL!$C$22, $C$13, 100%, $E$13)</f>
        <v>5.6936999999999998</v>
      </c>
      <c r="J25" s="64">
        <f>3.2287 * CHOOSE(CONTROL!$C$22, $C$13, 100%, $E$13)</f>
        <v>3.2286999999999999</v>
      </c>
      <c r="K25" s="64">
        <f>3.239 * CHOOSE(CONTROL!$C$22, $C$13, 100%, $E$13)</f>
        <v>3.2389999999999999</v>
      </c>
      <c r="L25" s="4"/>
      <c r="M25" s="64"/>
      <c r="N25" s="64"/>
    </row>
    <row r="26" spans="1:14" ht="15">
      <c r="A26" s="13">
        <v>42278</v>
      </c>
      <c r="B26" s="63">
        <f>2.5077 * CHOOSE(CONTROL!$C$22, $C$13, 100%, $E$13)</f>
        <v>2.5076999999999998</v>
      </c>
      <c r="C26" s="63">
        <f>2.538 * CHOOSE(CONTROL!$C$22, $C$13, 100%, $E$13)</f>
        <v>2.5379999999999998</v>
      </c>
      <c r="D26" s="63">
        <f>2.538 * CHOOSE(CONTROL!$C$22, $C$13, 100%, $E$13)</f>
        <v>2.5379999999999998</v>
      </c>
      <c r="E26" s="64">
        <f>3.2365 * CHOOSE(CONTROL!$C$22, $C$13, 100%, $E$13)</f>
        <v>3.2364999999999999</v>
      </c>
      <c r="F26" s="64">
        <f>3.254 * CHOOSE(CONTROL!$C$22, $C$13, 100%, $E$13)</f>
        <v>3.254</v>
      </c>
      <c r="G26" s="64">
        <f>3.2541 * CHOOSE(CONTROL!$C$22, $C$13, 100%, $E$13)</f>
        <v>3.2541000000000002</v>
      </c>
      <c r="H26" s="64">
        <f>5.6954* CHOOSE(CONTROL!$C$22, $C$13, 100%, $E$13)</f>
        <v>5.6954000000000002</v>
      </c>
      <c r="I26" s="64">
        <f>5.6954 * CHOOSE(CONTROL!$C$22, $C$13, 100%, $E$13)</f>
        <v>5.6954000000000002</v>
      </c>
      <c r="J26" s="64">
        <f>3.2365 * CHOOSE(CONTROL!$C$22, $C$13, 100%, $E$13)</f>
        <v>3.2364999999999999</v>
      </c>
      <c r="K26" s="64">
        <f>3.2366 * CHOOSE(CONTROL!$C$22, $C$13, 100%, $E$13)</f>
        <v>3.2366000000000001</v>
      </c>
      <c r="L26" s="4"/>
      <c r="M26" s="64"/>
      <c r="N26" s="64"/>
    </row>
    <row r="27" spans="1:14" ht="15">
      <c r="A27" s="13">
        <v>42309</v>
      </c>
      <c r="B27" s="63">
        <f>2.5106 * CHOOSE(CONTROL!$C$22, $C$13, 100%, $E$13)</f>
        <v>2.5106000000000002</v>
      </c>
      <c r="C27" s="63">
        <f>2.5433 * CHOOSE(CONTROL!$C$22, $C$13, 100%, $E$13)</f>
        <v>2.5432999999999999</v>
      </c>
      <c r="D27" s="63">
        <f>2.5433 * CHOOSE(CONTROL!$C$22, $C$13, 100%, $E$13)</f>
        <v>2.5432999999999999</v>
      </c>
      <c r="E27" s="64">
        <f>3.2365 * CHOOSE(CONTROL!$C$22, $C$13, 100%, $E$13)</f>
        <v>3.2364999999999999</v>
      </c>
      <c r="F27" s="64">
        <f>3.254 * CHOOSE(CONTROL!$C$22, $C$13, 100%, $E$13)</f>
        <v>3.254</v>
      </c>
      <c r="G27" s="64">
        <f>3.2541 * CHOOSE(CONTROL!$C$22, $C$13, 100%, $E$13)</f>
        <v>3.2541000000000002</v>
      </c>
      <c r="H27" s="64">
        <f>5.7072* CHOOSE(CONTROL!$C$22, $C$13, 100%, $E$13)</f>
        <v>5.7072000000000003</v>
      </c>
      <c r="I27" s="64">
        <f>5.7073 * CHOOSE(CONTROL!$C$22, $C$13, 100%, $E$13)</f>
        <v>5.7073</v>
      </c>
      <c r="J27" s="64">
        <f>3.2365 * CHOOSE(CONTROL!$C$22, $C$13, 100%, $E$13)</f>
        <v>3.2364999999999999</v>
      </c>
      <c r="K27" s="64">
        <f>3.2366 * CHOOSE(CONTROL!$C$22, $C$13, 100%, $E$13)</f>
        <v>3.2366000000000001</v>
      </c>
      <c r="L27" s="4"/>
      <c r="M27" s="64"/>
      <c r="N27" s="64"/>
    </row>
    <row r="28" spans="1:14" ht="15">
      <c r="A28" s="13">
        <v>42339</v>
      </c>
      <c r="B28" s="63">
        <f>2.5133 * CHOOSE(CONTROL!$C$22, $C$13, 100%, $E$13)</f>
        <v>2.5133000000000001</v>
      </c>
      <c r="C28" s="63">
        <f>2.5463 * CHOOSE(CONTROL!$C$22, $C$13, 100%, $E$13)</f>
        <v>2.5463</v>
      </c>
      <c r="D28" s="63">
        <f>2.5464 * CHOOSE(CONTROL!$C$22, $C$13, 100%, $E$13)</f>
        <v>2.5464000000000002</v>
      </c>
      <c r="E28" s="64">
        <f>3.2307 * CHOOSE(CONTROL!$C$22, $C$13, 100%, $E$13)</f>
        <v>3.2307000000000001</v>
      </c>
      <c r="F28" s="64">
        <f>3.254 * CHOOSE(CONTROL!$C$22, $C$13, 100%, $E$13)</f>
        <v>3.254</v>
      </c>
      <c r="G28" s="64">
        <f>3.2541 * CHOOSE(CONTROL!$C$22, $C$13, 100%, $E$13)</f>
        <v>3.2541000000000002</v>
      </c>
      <c r="H28" s="64">
        <f>5.7191* CHOOSE(CONTROL!$C$22, $C$13, 100%, $E$13)</f>
        <v>5.7191000000000001</v>
      </c>
      <c r="I28" s="64">
        <f>5.7192 * CHOOSE(CONTROL!$C$22, $C$13, 100%, $E$13)</f>
        <v>5.7191999999999998</v>
      </c>
      <c r="J28" s="64">
        <f>3.2307 * CHOOSE(CONTROL!$C$22, $C$13, 100%, $E$13)</f>
        <v>3.2307000000000001</v>
      </c>
      <c r="K28" s="64">
        <f>3.2307 * CHOOSE(CONTROL!$C$22, $C$13, 100%, $E$13)</f>
        <v>3.2307000000000001</v>
      </c>
      <c r="L28" s="4"/>
      <c r="M28" s="64"/>
      <c r="N28" s="64"/>
    </row>
    <row r="29" spans="1:14" ht="15">
      <c r="A29" s="13">
        <v>42370</v>
      </c>
      <c r="B29" s="63">
        <f>2.8414 * CHOOSE(CONTROL!$C$22, $C$13, 100%, $E$13)</f>
        <v>2.8414000000000001</v>
      </c>
      <c r="C29" s="63">
        <f>2.8414 * CHOOSE(CONTROL!$C$22, $C$13, 100%, $E$13)</f>
        <v>2.8414000000000001</v>
      </c>
      <c r="D29" s="63">
        <f>2.8414 * CHOOSE(CONTROL!$C$22, $C$13, 100%, $E$13)</f>
        <v>2.8414000000000001</v>
      </c>
      <c r="E29" s="64">
        <f>3.358 * CHOOSE(CONTROL!$C$22, $C$13, 100%, $E$13)</f>
        <v>3.3580000000000001</v>
      </c>
      <c r="F29" s="64">
        <f>3.446 * CHOOSE(CONTROL!$C$22, $C$13, 100%, $E$13)</f>
        <v>3.4460000000000002</v>
      </c>
      <c r="G29" s="64">
        <f>3.4461 * CHOOSE(CONTROL!$C$22, $C$13, 100%, $E$13)</f>
        <v>3.4460999999999999</v>
      </c>
      <c r="H29" s="64">
        <f>5.731* CHOOSE(CONTROL!$C$22, $C$13, 100%, $E$13)</f>
        <v>5.7309999999999999</v>
      </c>
      <c r="I29" s="64">
        <f>5.7311 * CHOOSE(CONTROL!$C$22, $C$13, 100%, $E$13)</f>
        <v>5.7310999999999996</v>
      </c>
      <c r="J29" s="64">
        <f>3.358 * CHOOSE(CONTROL!$C$22, $C$13, 100%, $E$13)</f>
        <v>3.3580000000000001</v>
      </c>
      <c r="K29" s="64">
        <f>3.3581 * CHOOSE(CONTROL!$C$22, $C$13, 100%, $E$13)</f>
        <v>3.3580999999999999</v>
      </c>
      <c r="L29" s="4"/>
      <c r="M29" s="64"/>
      <c r="N29" s="64"/>
    </row>
    <row r="30" spans="1:14" ht="15">
      <c r="A30" s="13">
        <v>42401</v>
      </c>
      <c r="B30" s="63">
        <f>2.8414 * CHOOSE(CONTROL!$C$22, $C$13, 100%, $E$13)</f>
        <v>2.8414000000000001</v>
      </c>
      <c r="C30" s="63">
        <f>2.8414 * CHOOSE(CONTROL!$C$22, $C$13, 100%, $E$13)</f>
        <v>2.8414000000000001</v>
      </c>
      <c r="D30" s="63">
        <f>2.8414 * CHOOSE(CONTROL!$C$22, $C$13, 100%, $E$13)</f>
        <v>2.8414000000000001</v>
      </c>
      <c r="E30" s="64">
        <f>3.402 * CHOOSE(CONTROL!$C$22, $C$13, 100%, $E$13)</f>
        <v>3.4020000000000001</v>
      </c>
      <c r="F30" s="64">
        <f>3.446 * CHOOSE(CONTROL!$C$22, $C$13, 100%, $E$13)</f>
        <v>3.4460000000000002</v>
      </c>
      <c r="G30" s="64">
        <f>3.4461 * CHOOSE(CONTROL!$C$22, $C$13, 100%, $E$13)</f>
        <v>3.4460999999999999</v>
      </c>
      <c r="H30" s="64">
        <f>5.743* CHOOSE(CONTROL!$C$22, $C$13, 100%, $E$13)</f>
        <v>5.7430000000000003</v>
      </c>
      <c r="I30" s="64">
        <f>5.7431 * CHOOSE(CONTROL!$C$22, $C$13, 100%, $E$13)</f>
        <v>5.7431000000000001</v>
      </c>
      <c r="J30" s="64">
        <f>3.402 * CHOOSE(CONTROL!$C$22, $C$13, 100%, $E$13)</f>
        <v>3.4020000000000001</v>
      </c>
      <c r="K30" s="64">
        <f>3.4021 * CHOOSE(CONTROL!$C$22, $C$13, 100%, $E$13)</f>
        <v>3.4020999999999999</v>
      </c>
      <c r="L30" s="4"/>
      <c r="M30" s="64"/>
      <c r="N30" s="64"/>
    </row>
    <row r="31" spans="1:14" ht="15">
      <c r="A31" s="13">
        <v>42430</v>
      </c>
      <c r="B31" s="63">
        <f>2.8384 * CHOOSE(CONTROL!$C$22, $C$13, 100%, $E$13)</f>
        <v>2.8384</v>
      </c>
      <c r="C31" s="63">
        <f>2.8384 * CHOOSE(CONTROL!$C$22, $C$13, 100%, $E$13)</f>
        <v>2.8384</v>
      </c>
      <c r="D31" s="63">
        <f>2.8384 * CHOOSE(CONTROL!$C$22, $C$13, 100%, $E$13)</f>
        <v>2.8384</v>
      </c>
      <c r="E31" s="64">
        <f>3.358 * CHOOSE(CONTROL!$C$22, $C$13, 100%, $E$13)</f>
        <v>3.3580000000000001</v>
      </c>
      <c r="F31" s="64">
        <f>3.446 * CHOOSE(CONTROL!$C$22, $C$13, 100%, $E$13)</f>
        <v>3.4460000000000002</v>
      </c>
      <c r="G31" s="64">
        <f>3.4461 * CHOOSE(CONTROL!$C$22, $C$13, 100%, $E$13)</f>
        <v>3.4460999999999999</v>
      </c>
      <c r="H31" s="64">
        <f>5.7549* CHOOSE(CONTROL!$C$22, $C$13, 100%, $E$13)</f>
        <v>5.7549000000000001</v>
      </c>
      <c r="I31" s="64">
        <f>5.755 * CHOOSE(CONTROL!$C$22, $C$13, 100%, $E$13)</f>
        <v>5.7549999999999999</v>
      </c>
      <c r="J31" s="64">
        <f>3.358 * CHOOSE(CONTROL!$C$22, $C$13, 100%, $E$13)</f>
        <v>3.3580000000000001</v>
      </c>
      <c r="K31" s="64">
        <f>3.3581 * CHOOSE(CONTROL!$C$22, $C$13, 100%, $E$13)</f>
        <v>3.3580999999999999</v>
      </c>
      <c r="L31" s="4"/>
      <c r="M31" s="64"/>
      <c r="N31" s="64"/>
    </row>
    <row r="32" spans="1:14" ht="15">
      <c r="A32" s="13">
        <v>42461</v>
      </c>
      <c r="B32" s="63">
        <f>2.8276 * CHOOSE(CONTROL!$C$22, $C$13, 100%, $E$13)</f>
        <v>2.8275999999999999</v>
      </c>
      <c r="C32" s="63">
        <f>2.8276 * CHOOSE(CONTROL!$C$22, $C$13, 100%, $E$13)</f>
        <v>2.8275999999999999</v>
      </c>
      <c r="D32" s="63">
        <f>2.8276 * CHOOSE(CONTROL!$C$22, $C$13, 100%, $E$13)</f>
        <v>2.8275999999999999</v>
      </c>
      <c r="E32" s="64">
        <f>3.402 * CHOOSE(CONTROL!$C$22, $C$13, 100%, $E$13)</f>
        <v>3.4020000000000001</v>
      </c>
      <c r="F32" s="64">
        <f>3.446 * CHOOSE(CONTROL!$C$22, $C$13, 100%, $E$13)</f>
        <v>3.4460000000000002</v>
      </c>
      <c r="G32" s="64">
        <f>3.4461 * CHOOSE(CONTROL!$C$22, $C$13, 100%, $E$13)</f>
        <v>3.4460999999999999</v>
      </c>
      <c r="H32" s="64">
        <f>5.7669* CHOOSE(CONTROL!$C$22, $C$13, 100%, $E$13)</f>
        <v>5.7668999999999997</v>
      </c>
      <c r="I32" s="64">
        <f>5.767 * CHOOSE(CONTROL!$C$22, $C$13, 100%, $E$13)</f>
        <v>5.7670000000000003</v>
      </c>
      <c r="J32" s="64">
        <f>3.402 * CHOOSE(CONTROL!$C$22, $C$13, 100%, $E$13)</f>
        <v>3.4020000000000001</v>
      </c>
      <c r="K32" s="64">
        <f>3.4021 * CHOOSE(CONTROL!$C$22, $C$13, 100%, $E$13)</f>
        <v>3.4020999999999999</v>
      </c>
      <c r="L32" s="4"/>
      <c r="M32" s="64"/>
      <c r="N32" s="64"/>
    </row>
    <row r="33" spans="1:14" ht="15">
      <c r="A33" s="13">
        <v>42491</v>
      </c>
      <c r="B33" s="63">
        <f>2.8307 * CHOOSE(CONTROL!$C$22, $C$13, 100%, $E$13)</f>
        <v>2.8307000000000002</v>
      </c>
      <c r="C33" s="63">
        <f>2.8307 * CHOOSE(CONTROL!$C$22, $C$13, 100%, $E$13)</f>
        <v>2.8307000000000002</v>
      </c>
      <c r="D33" s="63">
        <f>2.8391 * CHOOSE(CONTROL!$C$22, $C$13, 100%, $E$13)</f>
        <v>2.8391000000000002</v>
      </c>
      <c r="E33" s="64">
        <f>3.358 * CHOOSE(CONTROL!$C$22, $C$13, 100%, $E$13)</f>
        <v>3.3580000000000001</v>
      </c>
      <c r="F33" s="64">
        <f>3.446 * CHOOSE(CONTROL!$C$22, $C$13, 100%, $E$13)</f>
        <v>3.4460000000000002</v>
      </c>
      <c r="G33" s="64">
        <f>3.4562 * CHOOSE(CONTROL!$C$22, $C$13, 100%, $E$13)</f>
        <v>3.4561999999999999</v>
      </c>
      <c r="H33" s="64">
        <f>5.7789* CHOOSE(CONTROL!$C$22, $C$13, 100%, $E$13)</f>
        <v>5.7789000000000001</v>
      </c>
      <c r="I33" s="64">
        <f>5.7892 * CHOOSE(CONTROL!$C$22, $C$13, 100%, $E$13)</f>
        <v>5.7892000000000001</v>
      </c>
      <c r="J33" s="64">
        <f>3.358 * CHOOSE(CONTROL!$C$22, $C$13, 100%, $E$13)</f>
        <v>3.3580000000000001</v>
      </c>
      <c r="K33" s="64">
        <f>3.3682 * CHOOSE(CONTROL!$C$22, $C$13, 100%, $E$13)</f>
        <v>3.3681999999999999</v>
      </c>
      <c r="L33" s="4"/>
      <c r="M33" s="64"/>
      <c r="N33" s="64"/>
    </row>
    <row r="34" spans="1:14" ht="15">
      <c r="A34" s="13">
        <v>42522</v>
      </c>
      <c r="B34" s="63">
        <f>2.8398 * CHOOSE(CONTROL!$C$22, $C$13, 100%, $E$13)</f>
        <v>2.8397999999999999</v>
      </c>
      <c r="C34" s="63">
        <f>2.8398 * CHOOSE(CONTROL!$C$22, $C$13, 100%, $E$13)</f>
        <v>2.8397999999999999</v>
      </c>
      <c r="D34" s="63">
        <f>2.8482 * CHOOSE(CONTROL!$C$22, $C$13, 100%, $E$13)</f>
        <v>2.8481999999999998</v>
      </c>
      <c r="E34" s="64">
        <f>3.402 * CHOOSE(CONTROL!$C$22, $C$13, 100%, $E$13)</f>
        <v>3.4020000000000001</v>
      </c>
      <c r="F34" s="64">
        <f>3.446 * CHOOSE(CONTROL!$C$22, $C$13, 100%, $E$13)</f>
        <v>3.4460000000000002</v>
      </c>
      <c r="G34" s="64">
        <f>3.4562 * CHOOSE(CONTROL!$C$22, $C$13, 100%, $E$13)</f>
        <v>3.4561999999999999</v>
      </c>
      <c r="H34" s="64">
        <f>5.791* CHOOSE(CONTROL!$C$22, $C$13, 100%, $E$13)</f>
        <v>5.7910000000000004</v>
      </c>
      <c r="I34" s="64">
        <f>5.8012 * CHOOSE(CONTROL!$C$22, $C$13, 100%, $E$13)</f>
        <v>5.8011999999999997</v>
      </c>
      <c r="J34" s="64">
        <f>3.402 * CHOOSE(CONTROL!$C$22, $C$13, 100%, $E$13)</f>
        <v>3.4020000000000001</v>
      </c>
      <c r="K34" s="64">
        <f>3.4122 * CHOOSE(CONTROL!$C$22, $C$13, 100%, $E$13)</f>
        <v>3.4121999999999999</v>
      </c>
      <c r="L34" s="4"/>
      <c r="M34" s="64"/>
      <c r="N34" s="64"/>
    </row>
    <row r="35" spans="1:14" ht="15">
      <c r="A35" s="13">
        <v>42552</v>
      </c>
      <c r="B35" s="63">
        <f>2.8772 * CHOOSE(CONTROL!$C$22, $C$13, 100%, $E$13)</f>
        <v>2.8772000000000002</v>
      </c>
      <c r="C35" s="63">
        <f>2.8772 * CHOOSE(CONTROL!$C$22, $C$13, 100%, $E$13)</f>
        <v>2.8772000000000002</v>
      </c>
      <c r="D35" s="63">
        <f>2.8856 * CHOOSE(CONTROL!$C$22, $C$13, 100%, $E$13)</f>
        <v>2.8856000000000002</v>
      </c>
      <c r="E35" s="64">
        <f>3.3756 * CHOOSE(CONTROL!$C$22, $C$13, 100%, $E$13)</f>
        <v>3.3755999999999999</v>
      </c>
      <c r="F35" s="64">
        <f>3.446 * CHOOSE(CONTROL!$C$22, $C$13, 100%, $E$13)</f>
        <v>3.4460000000000002</v>
      </c>
      <c r="G35" s="64">
        <f>3.4562 * CHOOSE(CONTROL!$C$22, $C$13, 100%, $E$13)</f>
        <v>3.4561999999999999</v>
      </c>
      <c r="H35" s="64">
        <f>5.8031* CHOOSE(CONTROL!$C$22, $C$13, 100%, $E$13)</f>
        <v>5.8030999999999997</v>
      </c>
      <c r="I35" s="64">
        <f>5.8133 * CHOOSE(CONTROL!$C$22, $C$13, 100%, $E$13)</f>
        <v>5.8132999999999999</v>
      </c>
      <c r="J35" s="64">
        <f>3.3756 * CHOOSE(CONTROL!$C$22, $C$13, 100%, $E$13)</f>
        <v>3.3755999999999999</v>
      </c>
      <c r="K35" s="64">
        <f>3.3858 * CHOOSE(CONTROL!$C$22, $C$13, 100%, $E$13)</f>
        <v>3.3858000000000001</v>
      </c>
      <c r="L35" s="4"/>
      <c r="M35" s="4"/>
      <c r="N35" s="4"/>
    </row>
    <row r="36" spans="1:14" ht="15">
      <c r="A36" s="13">
        <v>42583</v>
      </c>
      <c r="B36" s="63">
        <f>2.9046 * CHOOSE(CONTROL!$C$22, $C$13, 100%, $E$13)</f>
        <v>2.9045999999999998</v>
      </c>
      <c r="C36" s="63">
        <f>2.9046 * CHOOSE(CONTROL!$C$22, $C$13, 100%, $E$13)</f>
        <v>2.9045999999999998</v>
      </c>
      <c r="D36" s="63">
        <f>2.913 * CHOOSE(CONTROL!$C$22, $C$13, 100%, $E$13)</f>
        <v>2.9129999999999998</v>
      </c>
      <c r="E36" s="64">
        <f>3.4108 * CHOOSE(CONTROL!$C$22, $C$13, 100%, $E$13)</f>
        <v>3.4108000000000001</v>
      </c>
      <c r="F36" s="64">
        <f>3.446 * CHOOSE(CONTROL!$C$22, $C$13, 100%, $E$13)</f>
        <v>3.4460000000000002</v>
      </c>
      <c r="G36" s="64">
        <f>3.4562 * CHOOSE(CONTROL!$C$22, $C$13, 100%, $E$13)</f>
        <v>3.4561999999999999</v>
      </c>
      <c r="H36" s="64">
        <f>5.8151* CHOOSE(CONTROL!$C$22, $C$13, 100%, $E$13)</f>
        <v>5.8151000000000002</v>
      </c>
      <c r="I36" s="64">
        <f>5.8254 * CHOOSE(CONTROL!$C$22, $C$13, 100%, $E$13)</f>
        <v>5.8254000000000001</v>
      </c>
      <c r="J36" s="64">
        <f>3.4108 * CHOOSE(CONTROL!$C$22, $C$13, 100%, $E$13)</f>
        <v>3.4108000000000001</v>
      </c>
      <c r="K36" s="64">
        <f>3.421 * CHOOSE(CONTROL!$C$22, $C$13, 100%, $E$13)</f>
        <v>3.4209999999999998</v>
      </c>
      <c r="L36" s="4"/>
      <c r="M36" s="4"/>
      <c r="N36" s="4"/>
    </row>
    <row r="37" spans="1:14" ht="15">
      <c r="A37" s="13">
        <v>42614</v>
      </c>
      <c r="B37" s="63">
        <f>2.8985 * CHOOSE(CONTROL!$C$22, $C$13, 100%, $E$13)</f>
        <v>2.8984999999999999</v>
      </c>
      <c r="C37" s="63">
        <f>2.8985 * CHOOSE(CONTROL!$C$22, $C$13, 100%, $E$13)</f>
        <v>2.8984999999999999</v>
      </c>
      <c r="D37" s="63">
        <f>2.9069 * CHOOSE(CONTROL!$C$22, $C$13, 100%, $E$13)</f>
        <v>2.9068999999999998</v>
      </c>
      <c r="E37" s="64">
        <f>3.358 * CHOOSE(CONTROL!$C$22, $C$13, 100%, $E$13)</f>
        <v>3.3580000000000001</v>
      </c>
      <c r="F37" s="64">
        <f>3.446 * CHOOSE(CONTROL!$C$22, $C$13, 100%, $E$13)</f>
        <v>3.4460000000000002</v>
      </c>
      <c r="G37" s="64">
        <f>3.4562 * CHOOSE(CONTROL!$C$22, $C$13, 100%, $E$13)</f>
        <v>3.4561999999999999</v>
      </c>
      <c r="H37" s="64">
        <f>5.8273* CHOOSE(CONTROL!$C$22, $C$13, 100%, $E$13)</f>
        <v>5.8273000000000001</v>
      </c>
      <c r="I37" s="64">
        <f>5.8375 * CHOOSE(CONTROL!$C$22, $C$13, 100%, $E$13)</f>
        <v>5.8375000000000004</v>
      </c>
      <c r="J37" s="64">
        <f>3.358 * CHOOSE(CONTROL!$C$22, $C$13, 100%, $E$13)</f>
        <v>3.3580000000000001</v>
      </c>
      <c r="K37" s="64">
        <f>3.3682 * CHOOSE(CONTROL!$C$22, $C$13, 100%, $E$13)</f>
        <v>3.3681999999999999</v>
      </c>
      <c r="L37" s="4"/>
      <c r="M37" s="4"/>
      <c r="N37" s="4"/>
    </row>
    <row r="38" spans="1:14" ht="15">
      <c r="A38" s="13">
        <v>42644</v>
      </c>
      <c r="B38" s="63">
        <f>2.9149 * CHOOSE(CONTROL!$C$22, $C$13, 100%, $E$13)</f>
        <v>2.9148999999999998</v>
      </c>
      <c r="C38" s="63">
        <f>2.9149 * CHOOSE(CONTROL!$C$22, $C$13, 100%, $E$13)</f>
        <v>2.9148999999999998</v>
      </c>
      <c r="D38" s="63">
        <f>2.9149 * CHOOSE(CONTROL!$C$22, $C$13, 100%, $E$13)</f>
        <v>2.9148999999999998</v>
      </c>
      <c r="E38" s="64">
        <f>3.3756 * CHOOSE(CONTROL!$C$22, $C$13, 100%, $E$13)</f>
        <v>3.3755999999999999</v>
      </c>
      <c r="F38" s="64">
        <f>3.446 * CHOOSE(CONTROL!$C$22, $C$13, 100%, $E$13)</f>
        <v>3.4460000000000002</v>
      </c>
      <c r="G38" s="64">
        <f>3.4461 * CHOOSE(CONTROL!$C$22, $C$13, 100%, $E$13)</f>
        <v>3.4460999999999999</v>
      </c>
      <c r="H38" s="64">
        <f>5.8394* CHOOSE(CONTROL!$C$22, $C$13, 100%, $E$13)</f>
        <v>5.8394000000000004</v>
      </c>
      <c r="I38" s="64">
        <f>5.8395 * CHOOSE(CONTROL!$C$22, $C$13, 100%, $E$13)</f>
        <v>5.8395000000000001</v>
      </c>
      <c r="J38" s="64">
        <f>3.3756 * CHOOSE(CONTROL!$C$22, $C$13, 100%, $E$13)</f>
        <v>3.3755999999999999</v>
      </c>
      <c r="K38" s="64">
        <f>3.3757 * CHOOSE(CONTROL!$C$22, $C$13, 100%, $E$13)</f>
        <v>3.3757000000000001</v>
      </c>
      <c r="L38" s="4"/>
      <c r="M38" s="4"/>
      <c r="N38" s="4"/>
    </row>
    <row r="39" spans="1:14" ht="15">
      <c r="A39" s="13">
        <v>42675</v>
      </c>
      <c r="B39" s="63">
        <f>2.918 * CHOOSE(CONTROL!$C$22, $C$13, 100%, $E$13)</f>
        <v>2.9180000000000001</v>
      </c>
      <c r="C39" s="63">
        <f>2.918 * CHOOSE(CONTROL!$C$22, $C$13, 100%, $E$13)</f>
        <v>2.9180000000000001</v>
      </c>
      <c r="D39" s="63">
        <f>2.918 * CHOOSE(CONTROL!$C$22, $C$13, 100%, $E$13)</f>
        <v>2.9180000000000001</v>
      </c>
      <c r="E39" s="64">
        <f>3.402 * CHOOSE(CONTROL!$C$22, $C$13, 100%, $E$13)</f>
        <v>3.4020000000000001</v>
      </c>
      <c r="F39" s="64">
        <f>3.446 * CHOOSE(CONTROL!$C$22, $C$13, 100%, $E$13)</f>
        <v>3.4460000000000002</v>
      </c>
      <c r="G39" s="64">
        <f>3.4461 * CHOOSE(CONTROL!$C$22, $C$13, 100%, $E$13)</f>
        <v>3.4460999999999999</v>
      </c>
      <c r="H39" s="64">
        <f>5.8516* CHOOSE(CONTROL!$C$22, $C$13, 100%, $E$13)</f>
        <v>5.8516000000000004</v>
      </c>
      <c r="I39" s="64">
        <f>5.8516 * CHOOSE(CONTROL!$C$22, $C$13, 100%, $E$13)</f>
        <v>5.8516000000000004</v>
      </c>
      <c r="J39" s="64">
        <f>3.402 * CHOOSE(CONTROL!$C$22, $C$13, 100%, $E$13)</f>
        <v>3.4020000000000001</v>
      </c>
      <c r="K39" s="64">
        <f>3.4021 * CHOOSE(CONTROL!$C$22, $C$13, 100%, $E$13)</f>
        <v>3.4020999999999999</v>
      </c>
      <c r="L39" s="4"/>
      <c r="M39" s="4"/>
      <c r="N39" s="4"/>
    </row>
    <row r="40" spans="1:14" ht="15">
      <c r="A40" s="13">
        <v>42705</v>
      </c>
      <c r="B40" s="63">
        <f>2.921 * CHOOSE(CONTROL!$C$22, $C$13, 100%, $E$13)</f>
        <v>2.9209999999999998</v>
      </c>
      <c r="C40" s="63">
        <f>2.921 * CHOOSE(CONTROL!$C$22, $C$13, 100%, $E$13)</f>
        <v>2.9209999999999998</v>
      </c>
      <c r="D40" s="63">
        <f>2.921 * CHOOSE(CONTROL!$C$22, $C$13, 100%, $E$13)</f>
        <v>2.9209999999999998</v>
      </c>
      <c r="E40" s="64">
        <f>3.446 * CHOOSE(CONTROL!$C$22, $C$13, 100%, $E$13)</f>
        <v>3.4460000000000002</v>
      </c>
      <c r="F40" s="64">
        <f>3.446 * CHOOSE(CONTROL!$C$22, $C$13, 100%, $E$13)</f>
        <v>3.4460000000000002</v>
      </c>
      <c r="G40" s="64">
        <f>3.4461 * CHOOSE(CONTROL!$C$22, $C$13, 100%, $E$13)</f>
        <v>3.4460999999999999</v>
      </c>
      <c r="H40" s="64">
        <f>5.8638* CHOOSE(CONTROL!$C$22, $C$13, 100%, $E$13)</f>
        <v>5.8638000000000003</v>
      </c>
      <c r="I40" s="64">
        <f>5.8638 * CHOOSE(CONTROL!$C$22, $C$13, 100%, $E$13)</f>
        <v>5.8638000000000003</v>
      </c>
      <c r="J40" s="64">
        <f>3.446 * CHOOSE(CONTROL!$C$22, $C$13, 100%, $E$13)</f>
        <v>3.4460000000000002</v>
      </c>
      <c r="K40" s="64">
        <f>3.4461 * CHOOSE(CONTROL!$C$22, $C$13, 100%, $E$13)</f>
        <v>3.4460999999999999</v>
      </c>
      <c r="L40" s="4"/>
      <c r="M40" s="4"/>
      <c r="N40" s="4"/>
    </row>
    <row r="41" spans="1:14" ht="15">
      <c r="A41" s="13">
        <v>42736</v>
      </c>
      <c r="B41" s="63">
        <f>2.9632 * CHOOSE(CONTROL!$C$22, $C$13, 100%, $E$13)</f>
        <v>2.9632000000000001</v>
      </c>
      <c r="C41" s="63">
        <f>2.9632 * CHOOSE(CONTROL!$C$22, $C$13, 100%, $E$13)</f>
        <v>2.9632000000000001</v>
      </c>
      <c r="D41" s="63">
        <f>2.9632 * CHOOSE(CONTROL!$C$22, $C$13, 100%, $E$13)</f>
        <v>2.9632000000000001</v>
      </c>
      <c r="E41" s="64">
        <f>3.5517 * CHOOSE(CONTROL!$C$22, $C$13, 100%, $E$13)</f>
        <v>3.5516999999999999</v>
      </c>
      <c r="F41" s="64">
        <f>3.5517 * CHOOSE(CONTROL!$C$22, $C$13, 100%, $E$13)</f>
        <v>3.5516999999999999</v>
      </c>
      <c r="G41" s="64">
        <f>3.5517 * CHOOSE(CONTROL!$C$22, $C$13, 100%, $E$13)</f>
        <v>3.5516999999999999</v>
      </c>
      <c r="H41" s="64">
        <f>5.876* CHOOSE(CONTROL!$C$22, $C$13, 100%, $E$13)</f>
        <v>5.8760000000000003</v>
      </c>
      <c r="I41" s="64">
        <f>5.876 * CHOOSE(CONTROL!$C$22, $C$13, 100%, $E$13)</f>
        <v>5.8760000000000003</v>
      </c>
      <c r="J41" s="64">
        <f>3.5517 * CHOOSE(CONTROL!$C$22, $C$13, 100%, $E$13)</f>
        <v>3.5516999999999999</v>
      </c>
      <c r="K41" s="64">
        <f>3.5517 * CHOOSE(CONTROL!$C$22, $C$13, 100%, $E$13)</f>
        <v>3.5516999999999999</v>
      </c>
      <c r="L41" s="4"/>
      <c r="M41" s="4"/>
      <c r="N41" s="4"/>
    </row>
    <row r="42" spans="1:14" ht="15">
      <c r="A42" s="13">
        <v>42767</v>
      </c>
      <c r="B42" s="63">
        <f>2.9601 * CHOOSE(CONTROL!$C$22, $C$13, 100%, $E$13)</f>
        <v>2.9601000000000002</v>
      </c>
      <c r="C42" s="63">
        <f>2.9601 * CHOOSE(CONTROL!$C$22, $C$13, 100%, $E$13)</f>
        <v>2.9601000000000002</v>
      </c>
      <c r="D42" s="63">
        <f>2.9602 * CHOOSE(CONTROL!$C$22, $C$13, 100%, $E$13)</f>
        <v>2.9601999999999999</v>
      </c>
      <c r="E42" s="64">
        <f>3.521 * CHOOSE(CONTROL!$C$22, $C$13, 100%, $E$13)</f>
        <v>3.5209999999999999</v>
      </c>
      <c r="F42" s="64">
        <f>3.521 * CHOOSE(CONTROL!$C$22, $C$13, 100%, $E$13)</f>
        <v>3.5209999999999999</v>
      </c>
      <c r="G42" s="64">
        <f>3.5211 * CHOOSE(CONTROL!$C$22, $C$13, 100%, $E$13)</f>
        <v>3.5211000000000001</v>
      </c>
      <c r="H42" s="64">
        <f>5.8882* CHOOSE(CONTROL!$C$22, $C$13, 100%, $E$13)</f>
        <v>5.8882000000000003</v>
      </c>
      <c r="I42" s="64">
        <f>5.8883 * CHOOSE(CONTROL!$C$22, $C$13, 100%, $E$13)</f>
        <v>5.8883000000000001</v>
      </c>
      <c r="J42" s="64">
        <f>3.521 * CHOOSE(CONTROL!$C$22, $C$13, 100%, $E$13)</f>
        <v>3.5209999999999999</v>
      </c>
      <c r="K42" s="64">
        <f>3.5211 * CHOOSE(CONTROL!$C$22, $C$13, 100%, $E$13)</f>
        <v>3.5211000000000001</v>
      </c>
      <c r="L42" s="4"/>
      <c r="M42" s="4"/>
      <c r="N42" s="4"/>
    </row>
    <row r="43" spans="1:14" ht="15">
      <c r="A43" s="13">
        <v>42795</v>
      </c>
      <c r="B43" s="63">
        <f>2.9571 * CHOOSE(CONTROL!$C$22, $C$13, 100%, $E$13)</f>
        <v>2.9571000000000001</v>
      </c>
      <c r="C43" s="63">
        <f>2.9571 * CHOOSE(CONTROL!$C$22, $C$13, 100%, $E$13)</f>
        <v>2.9571000000000001</v>
      </c>
      <c r="D43" s="63">
        <f>2.9571 * CHOOSE(CONTROL!$C$22, $C$13, 100%, $E$13)</f>
        <v>2.9571000000000001</v>
      </c>
      <c r="E43" s="64">
        <f>3.5414 * CHOOSE(CONTROL!$C$22, $C$13, 100%, $E$13)</f>
        <v>3.5413999999999999</v>
      </c>
      <c r="F43" s="64">
        <f>3.5414 * CHOOSE(CONTROL!$C$22, $C$13, 100%, $E$13)</f>
        <v>3.5413999999999999</v>
      </c>
      <c r="G43" s="64">
        <f>3.5415 * CHOOSE(CONTROL!$C$22, $C$13, 100%, $E$13)</f>
        <v>3.5415000000000001</v>
      </c>
      <c r="H43" s="64">
        <f>5.9005* CHOOSE(CONTROL!$C$22, $C$13, 100%, $E$13)</f>
        <v>5.9005000000000001</v>
      </c>
      <c r="I43" s="64">
        <f>5.9006 * CHOOSE(CONTROL!$C$22, $C$13, 100%, $E$13)</f>
        <v>5.9005999999999998</v>
      </c>
      <c r="J43" s="64">
        <f>3.5414 * CHOOSE(CONTROL!$C$22, $C$13, 100%, $E$13)</f>
        <v>3.5413999999999999</v>
      </c>
      <c r="K43" s="64">
        <f>3.5415 * CHOOSE(CONTROL!$C$22, $C$13, 100%, $E$13)</f>
        <v>3.5415000000000001</v>
      </c>
      <c r="L43" s="4"/>
      <c r="M43" s="4"/>
      <c r="N43" s="4"/>
    </row>
    <row r="44" spans="1:14" ht="15">
      <c r="A44" s="13">
        <v>42826</v>
      </c>
      <c r="B44" s="63">
        <f>2.9537 * CHOOSE(CONTROL!$C$22, $C$13, 100%, $E$13)</f>
        <v>2.9537</v>
      </c>
      <c r="C44" s="63">
        <f>2.9537 * CHOOSE(CONTROL!$C$22, $C$13, 100%, $E$13)</f>
        <v>2.9537</v>
      </c>
      <c r="D44" s="63">
        <f>2.9537 * CHOOSE(CONTROL!$C$22, $C$13, 100%, $E$13)</f>
        <v>2.9537</v>
      </c>
      <c r="E44" s="64">
        <f>3.5613 * CHOOSE(CONTROL!$C$22, $C$13, 100%, $E$13)</f>
        <v>3.5613000000000001</v>
      </c>
      <c r="F44" s="64">
        <f>3.5613 * CHOOSE(CONTROL!$C$22, $C$13, 100%, $E$13)</f>
        <v>3.5613000000000001</v>
      </c>
      <c r="G44" s="64">
        <f>3.5614 * CHOOSE(CONTROL!$C$22, $C$13, 100%, $E$13)</f>
        <v>3.5613999999999999</v>
      </c>
      <c r="H44" s="64">
        <f>5.9128* CHOOSE(CONTROL!$C$22, $C$13, 100%, $E$13)</f>
        <v>5.9127999999999998</v>
      </c>
      <c r="I44" s="64">
        <f>5.9129 * CHOOSE(CONTROL!$C$22, $C$13, 100%, $E$13)</f>
        <v>5.9128999999999996</v>
      </c>
      <c r="J44" s="64">
        <f>3.5613 * CHOOSE(CONTROL!$C$22, $C$13, 100%, $E$13)</f>
        <v>3.5613000000000001</v>
      </c>
      <c r="K44" s="64">
        <f>3.5614 * CHOOSE(CONTROL!$C$22, $C$13, 100%, $E$13)</f>
        <v>3.5613999999999999</v>
      </c>
      <c r="L44" s="4"/>
      <c r="M44" s="4"/>
      <c r="N44" s="4"/>
    </row>
    <row r="45" spans="1:14" ht="15">
      <c r="A45" s="13">
        <v>42856</v>
      </c>
      <c r="B45" s="63">
        <f>2.9537 * CHOOSE(CONTROL!$C$22, $C$13, 100%, $E$13)</f>
        <v>2.9537</v>
      </c>
      <c r="C45" s="63">
        <f>2.9537 * CHOOSE(CONTROL!$C$22, $C$13, 100%, $E$13)</f>
        <v>2.9537</v>
      </c>
      <c r="D45" s="63">
        <f>2.9621 * CHOOSE(CONTROL!$C$22, $C$13, 100%, $E$13)</f>
        <v>2.9621</v>
      </c>
      <c r="E45" s="64">
        <f>3.5704 * CHOOSE(CONTROL!$C$22, $C$13, 100%, $E$13)</f>
        <v>3.5703999999999998</v>
      </c>
      <c r="F45" s="64">
        <f>3.5704 * CHOOSE(CONTROL!$C$22, $C$13, 100%, $E$13)</f>
        <v>3.5703999999999998</v>
      </c>
      <c r="G45" s="64">
        <f>3.5806 * CHOOSE(CONTROL!$C$22, $C$13, 100%, $E$13)</f>
        <v>3.5806</v>
      </c>
      <c r="H45" s="64">
        <f>5.9251* CHOOSE(CONTROL!$C$22, $C$13, 100%, $E$13)</f>
        <v>5.9250999999999996</v>
      </c>
      <c r="I45" s="64">
        <f>5.9353 * CHOOSE(CONTROL!$C$22, $C$13, 100%, $E$13)</f>
        <v>5.9352999999999998</v>
      </c>
      <c r="J45" s="64">
        <f>3.5704 * CHOOSE(CONTROL!$C$22, $C$13, 100%, $E$13)</f>
        <v>3.5703999999999998</v>
      </c>
      <c r="K45" s="64">
        <f>3.5806 * CHOOSE(CONTROL!$C$22, $C$13, 100%, $E$13)</f>
        <v>3.5806</v>
      </c>
      <c r="L45" s="4"/>
      <c r="M45" s="4"/>
      <c r="N45" s="4"/>
    </row>
    <row r="46" spans="1:14" ht="15">
      <c r="A46" s="13">
        <v>42887</v>
      </c>
      <c r="B46" s="63">
        <f>2.9598 * CHOOSE(CONTROL!$C$22, $C$13, 100%, $E$13)</f>
        <v>2.9598</v>
      </c>
      <c r="C46" s="63">
        <f>2.9598 * CHOOSE(CONTROL!$C$22, $C$13, 100%, $E$13)</f>
        <v>2.9598</v>
      </c>
      <c r="D46" s="63">
        <f>2.9682 * CHOOSE(CONTROL!$C$22, $C$13, 100%, $E$13)</f>
        <v>2.9681999999999999</v>
      </c>
      <c r="E46" s="64">
        <f>3.5655 * CHOOSE(CONTROL!$C$22, $C$13, 100%, $E$13)</f>
        <v>3.5655000000000001</v>
      </c>
      <c r="F46" s="64">
        <f>3.5655 * CHOOSE(CONTROL!$C$22, $C$13, 100%, $E$13)</f>
        <v>3.5655000000000001</v>
      </c>
      <c r="G46" s="64">
        <f>3.5758 * CHOOSE(CONTROL!$C$22, $C$13, 100%, $E$13)</f>
        <v>3.5758000000000001</v>
      </c>
      <c r="H46" s="64">
        <f>5.9374* CHOOSE(CONTROL!$C$22, $C$13, 100%, $E$13)</f>
        <v>5.9374000000000002</v>
      </c>
      <c r="I46" s="64">
        <f>5.9477 * CHOOSE(CONTROL!$C$22, $C$13, 100%, $E$13)</f>
        <v>5.9477000000000002</v>
      </c>
      <c r="J46" s="64">
        <f>3.5655 * CHOOSE(CONTROL!$C$22, $C$13, 100%, $E$13)</f>
        <v>3.5655000000000001</v>
      </c>
      <c r="K46" s="64">
        <f>3.5758 * CHOOSE(CONTROL!$C$22, $C$13, 100%, $E$13)</f>
        <v>3.5758000000000001</v>
      </c>
      <c r="L46" s="4"/>
      <c r="M46" s="4"/>
      <c r="N46" s="4"/>
    </row>
    <row r="47" spans="1:14" ht="15">
      <c r="A47" s="13">
        <v>42917</v>
      </c>
      <c r="B47" s="63">
        <f>3.0475 * CHOOSE(CONTROL!$C$22, $C$13, 100%, $E$13)</f>
        <v>3.0474999999999999</v>
      </c>
      <c r="C47" s="63">
        <f>3.0475 * CHOOSE(CONTROL!$C$22, $C$13, 100%, $E$13)</f>
        <v>3.0474999999999999</v>
      </c>
      <c r="D47" s="63">
        <f>3.056 * CHOOSE(CONTROL!$C$22, $C$13, 100%, $E$13)</f>
        <v>3.056</v>
      </c>
      <c r="E47" s="64">
        <f>3.6468 * CHOOSE(CONTROL!$C$22, $C$13, 100%, $E$13)</f>
        <v>3.6467999999999998</v>
      </c>
      <c r="F47" s="64">
        <f>3.6468 * CHOOSE(CONTROL!$C$22, $C$13, 100%, $E$13)</f>
        <v>3.6467999999999998</v>
      </c>
      <c r="G47" s="64">
        <f>3.657 * CHOOSE(CONTROL!$C$22, $C$13, 100%, $E$13)</f>
        <v>3.657</v>
      </c>
      <c r="H47" s="64">
        <f>5.9498* CHOOSE(CONTROL!$C$22, $C$13, 100%, $E$13)</f>
        <v>5.9497999999999998</v>
      </c>
      <c r="I47" s="64">
        <f>5.96 * CHOOSE(CONTROL!$C$22, $C$13, 100%, $E$13)</f>
        <v>5.96</v>
      </c>
      <c r="J47" s="64">
        <f>3.6468 * CHOOSE(CONTROL!$C$22, $C$13, 100%, $E$13)</f>
        <v>3.6467999999999998</v>
      </c>
      <c r="K47" s="64">
        <f>3.657 * CHOOSE(CONTROL!$C$22, $C$13, 100%, $E$13)</f>
        <v>3.657</v>
      </c>
      <c r="L47" s="4"/>
      <c r="M47" s="4"/>
      <c r="N47" s="4"/>
    </row>
    <row r="48" spans="1:14" ht="15">
      <c r="A48" s="13">
        <v>42948</v>
      </c>
      <c r="B48" s="63">
        <f>3.0542 * CHOOSE(CONTROL!$C$22, $C$13, 100%, $E$13)</f>
        <v>3.0541999999999998</v>
      </c>
      <c r="C48" s="63">
        <f>3.0542 * CHOOSE(CONTROL!$C$22, $C$13, 100%, $E$13)</f>
        <v>3.0541999999999998</v>
      </c>
      <c r="D48" s="63">
        <f>3.0627 * CHOOSE(CONTROL!$C$22, $C$13, 100%, $E$13)</f>
        <v>3.0627</v>
      </c>
      <c r="E48" s="64">
        <f>3.6242 * CHOOSE(CONTROL!$C$22, $C$13, 100%, $E$13)</f>
        <v>3.6242000000000001</v>
      </c>
      <c r="F48" s="64">
        <f>3.6242 * CHOOSE(CONTROL!$C$22, $C$13, 100%, $E$13)</f>
        <v>3.6242000000000001</v>
      </c>
      <c r="G48" s="64">
        <f>3.6345 * CHOOSE(CONTROL!$C$22, $C$13, 100%, $E$13)</f>
        <v>3.6345000000000001</v>
      </c>
      <c r="H48" s="64">
        <f>5.9622* CHOOSE(CONTROL!$C$22, $C$13, 100%, $E$13)</f>
        <v>5.9622000000000002</v>
      </c>
      <c r="I48" s="64">
        <f>5.9724 * CHOOSE(CONTROL!$C$22, $C$13, 100%, $E$13)</f>
        <v>5.9724000000000004</v>
      </c>
      <c r="J48" s="64">
        <f>3.6242 * CHOOSE(CONTROL!$C$22, $C$13, 100%, $E$13)</f>
        <v>3.6242000000000001</v>
      </c>
      <c r="K48" s="64">
        <f>3.6345 * CHOOSE(CONTROL!$C$22, $C$13, 100%, $E$13)</f>
        <v>3.6345000000000001</v>
      </c>
      <c r="L48" s="4"/>
      <c r="M48" s="4"/>
      <c r="N48" s="4"/>
    </row>
    <row r="49" spans="1:14" ht="15">
      <c r="A49" s="13">
        <v>42979</v>
      </c>
      <c r="B49" s="63">
        <f>3.0512 * CHOOSE(CONTROL!$C$22, $C$13, 100%, $E$13)</f>
        <v>3.0512000000000001</v>
      </c>
      <c r="C49" s="63">
        <f>3.0512 * CHOOSE(CONTROL!$C$22, $C$13, 100%, $E$13)</f>
        <v>3.0512000000000001</v>
      </c>
      <c r="D49" s="63">
        <f>3.0596 * CHOOSE(CONTROL!$C$22, $C$13, 100%, $E$13)</f>
        <v>3.0596000000000001</v>
      </c>
      <c r="E49" s="64">
        <f>3.6191 * CHOOSE(CONTROL!$C$22, $C$13, 100%, $E$13)</f>
        <v>3.6191</v>
      </c>
      <c r="F49" s="64">
        <f>3.6191 * CHOOSE(CONTROL!$C$22, $C$13, 100%, $E$13)</f>
        <v>3.6191</v>
      </c>
      <c r="G49" s="64">
        <f>3.6293 * CHOOSE(CONTROL!$C$22, $C$13, 100%, $E$13)</f>
        <v>3.6293000000000002</v>
      </c>
      <c r="H49" s="64">
        <f>5.9746* CHOOSE(CONTROL!$C$22, $C$13, 100%, $E$13)</f>
        <v>5.9745999999999997</v>
      </c>
      <c r="I49" s="64">
        <f>5.9848 * CHOOSE(CONTROL!$C$22, $C$13, 100%, $E$13)</f>
        <v>5.9847999999999999</v>
      </c>
      <c r="J49" s="64">
        <f>3.6191 * CHOOSE(CONTROL!$C$22, $C$13, 100%, $E$13)</f>
        <v>3.6191</v>
      </c>
      <c r="K49" s="64">
        <f>3.6293 * CHOOSE(CONTROL!$C$22, $C$13, 100%, $E$13)</f>
        <v>3.6293000000000002</v>
      </c>
      <c r="L49" s="4"/>
      <c r="M49" s="4"/>
      <c r="N49" s="4"/>
    </row>
    <row r="50" spans="1:14" ht="15">
      <c r="A50" s="13">
        <v>43009</v>
      </c>
      <c r="B50" s="63">
        <f>3.0423 * CHOOSE(CONTROL!$C$22, $C$13, 100%, $E$13)</f>
        <v>3.0423</v>
      </c>
      <c r="C50" s="63">
        <f>3.0423 * CHOOSE(CONTROL!$C$22, $C$13, 100%, $E$13)</f>
        <v>3.0423</v>
      </c>
      <c r="D50" s="63">
        <f>3.0423 * CHOOSE(CONTROL!$C$22, $C$13, 100%, $E$13)</f>
        <v>3.0423</v>
      </c>
      <c r="E50" s="64">
        <f>3.6178 * CHOOSE(CONTROL!$C$22, $C$13, 100%, $E$13)</f>
        <v>3.6177999999999999</v>
      </c>
      <c r="F50" s="64">
        <f>3.6178 * CHOOSE(CONTROL!$C$22, $C$13, 100%, $E$13)</f>
        <v>3.6177999999999999</v>
      </c>
      <c r="G50" s="64">
        <f>3.6178 * CHOOSE(CONTROL!$C$22, $C$13, 100%, $E$13)</f>
        <v>3.6177999999999999</v>
      </c>
      <c r="H50" s="64">
        <f>5.9871* CHOOSE(CONTROL!$C$22, $C$13, 100%, $E$13)</f>
        <v>5.9870999999999999</v>
      </c>
      <c r="I50" s="64">
        <f>5.9871 * CHOOSE(CONTROL!$C$22, $C$13, 100%, $E$13)</f>
        <v>5.9870999999999999</v>
      </c>
      <c r="J50" s="64">
        <f>3.6178 * CHOOSE(CONTROL!$C$22, $C$13, 100%, $E$13)</f>
        <v>3.6177999999999999</v>
      </c>
      <c r="K50" s="64">
        <f>3.6178 * CHOOSE(CONTROL!$C$22, $C$13, 100%, $E$13)</f>
        <v>3.6177999999999999</v>
      </c>
      <c r="L50" s="4"/>
      <c r="M50" s="4"/>
      <c r="N50" s="4"/>
    </row>
    <row r="51" spans="1:14" ht="15">
      <c r="A51" s="13">
        <v>43040</v>
      </c>
      <c r="B51" s="63">
        <f>3.0454 * CHOOSE(CONTROL!$C$22, $C$13, 100%, $E$13)</f>
        <v>3.0453999999999999</v>
      </c>
      <c r="C51" s="63">
        <f>3.0454 * CHOOSE(CONTROL!$C$22, $C$13, 100%, $E$13)</f>
        <v>3.0453999999999999</v>
      </c>
      <c r="D51" s="63">
        <f>3.0454 * CHOOSE(CONTROL!$C$22, $C$13, 100%, $E$13)</f>
        <v>3.0453999999999999</v>
      </c>
      <c r="E51" s="64">
        <f>3.6259 * CHOOSE(CONTROL!$C$22, $C$13, 100%, $E$13)</f>
        <v>3.6259000000000001</v>
      </c>
      <c r="F51" s="64">
        <f>3.6259 * CHOOSE(CONTROL!$C$22, $C$13, 100%, $E$13)</f>
        <v>3.6259000000000001</v>
      </c>
      <c r="G51" s="64">
        <f>3.626 * CHOOSE(CONTROL!$C$22, $C$13, 100%, $E$13)</f>
        <v>3.6259999999999999</v>
      </c>
      <c r="H51" s="64">
        <f>5.9995* CHOOSE(CONTROL!$C$22, $C$13, 100%, $E$13)</f>
        <v>5.9995000000000003</v>
      </c>
      <c r="I51" s="64">
        <f>5.9996 * CHOOSE(CONTROL!$C$22, $C$13, 100%, $E$13)</f>
        <v>5.9996</v>
      </c>
      <c r="J51" s="64">
        <f>3.6259 * CHOOSE(CONTROL!$C$22, $C$13, 100%, $E$13)</f>
        <v>3.6259000000000001</v>
      </c>
      <c r="K51" s="64">
        <f>3.626 * CHOOSE(CONTROL!$C$22, $C$13, 100%, $E$13)</f>
        <v>3.6259999999999999</v>
      </c>
      <c r="L51" s="4"/>
      <c r="M51" s="4"/>
      <c r="N51" s="4"/>
    </row>
    <row r="52" spans="1:14" ht="15">
      <c r="A52" s="13">
        <v>43070</v>
      </c>
      <c r="B52" s="63">
        <f>3.0454 * CHOOSE(CONTROL!$C$22, $C$13, 100%, $E$13)</f>
        <v>3.0453999999999999</v>
      </c>
      <c r="C52" s="63">
        <f>3.0454 * CHOOSE(CONTROL!$C$22, $C$13, 100%, $E$13)</f>
        <v>3.0453999999999999</v>
      </c>
      <c r="D52" s="63">
        <f>3.0454 * CHOOSE(CONTROL!$C$22, $C$13, 100%, $E$13)</f>
        <v>3.0453999999999999</v>
      </c>
      <c r="E52" s="64">
        <f>3.6108 * CHOOSE(CONTROL!$C$22, $C$13, 100%, $E$13)</f>
        <v>3.6107999999999998</v>
      </c>
      <c r="F52" s="64">
        <f>3.6108 * CHOOSE(CONTROL!$C$22, $C$13, 100%, $E$13)</f>
        <v>3.6107999999999998</v>
      </c>
      <c r="G52" s="64">
        <f>3.6109 * CHOOSE(CONTROL!$C$22, $C$13, 100%, $E$13)</f>
        <v>3.6109</v>
      </c>
      <c r="H52" s="64">
        <f>6.012* CHOOSE(CONTROL!$C$22, $C$13, 100%, $E$13)</f>
        <v>6.0119999999999996</v>
      </c>
      <c r="I52" s="64">
        <f>6.0121 * CHOOSE(CONTROL!$C$22, $C$13, 100%, $E$13)</f>
        <v>6.0121000000000002</v>
      </c>
      <c r="J52" s="64">
        <f>3.6108 * CHOOSE(CONTROL!$C$22, $C$13, 100%, $E$13)</f>
        <v>3.6107999999999998</v>
      </c>
      <c r="K52" s="64">
        <f>3.6109 * CHOOSE(CONTROL!$C$22, $C$13, 100%, $E$13)</f>
        <v>3.6109</v>
      </c>
      <c r="L52" s="4"/>
      <c r="M52" s="4"/>
      <c r="N52" s="4"/>
    </row>
    <row r="53" spans="1:14" ht="15">
      <c r="A53" s="13">
        <v>43101</v>
      </c>
      <c r="B53" s="63">
        <f>3.0799 * CHOOSE(CONTROL!$C$22, $C$13, 100%, $E$13)</f>
        <v>3.0798999999999999</v>
      </c>
      <c r="C53" s="63">
        <f>3.0799 * CHOOSE(CONTROL!$C$22, $C$13, 100%, $E$13)</f>
        <v>3.0798999999999999</v>
      </c>
      <c r="D53" s="63">
        <f>3.0799 * CHOOSE(CONTROL!$C$22, $C$13, 100%, $E$13)</f>
        <v>3.0798999999999999</v>
      </c>
      <c r="E53" s="64">
        <f>3.7211 * CHOOSE(CONTROL!$C$22, $C$13, 100%, $E$13)</f>
        <v>3.7210999999999999</v>
      </c>
      <c r="F53" s="64">
        <f>3.7211 * CHOOSE(CONTROL!$C$22, $C$13, 100%, $E$13)</f>
        <v>3.7210999999999999</v>
      </c>
      <c r="G53" s="64">
        <f>3.7212 * CHOOSE(CONTROL!$C$22, $C$13, 100%, $E$13)</f>
        <v>3.7212000000000001</v>
      </c>
      <c r="H53" s="64">
        <f>6.0246* CHOOSE(CONTROL!$C$22, $C$13, 100%, $E$13)</f>
        <v>6.0246000000000004</v>
      </c>
      <c r="I53" s="64">
        <f>6.0246 * CHOOSE(CONTROL!$C$22, $C$13, 100%, $E$13)</f>
        <v>6.0246000000000004</v>
      </c>
      <c r="J53" s="64">
        <f>3.7211 * CHOOSE(CONTROL!$C$22, $C$13, 100%, $E$13)</f>
        <v>3.7210999999999999</v>
      </c>
      <c r="K53" s="64">
        <f>3.7212 * CHOOSE(CONTROL!$C$22, $C$13, 100%, $E$13)</f>
        <v>3.7212000000000001</v>
      </c>
      <c r="L53" s="4"/>
      <c r="M53" s="4"/>
      <c r="N53" s="4"/>
    </row>
    <row r="54" spans="1:14" ht="15">
      <c r="A54" s="13">
        <v>43132</v>
      </c>
      <c r="B54" s="63">
        <f>3.0769 * CHOOSE(CONTROL!$C$22, $C$13, 100%, $E$13)</f>
        <v>3.0769000000000002</v>
      </c>
      <c r="C54" s="63">
        <f>3.0769 * CHOOSE(CONTROL!$C$22, $C$13, 100%, $E$13)</f>
        <v>3.0769000000000002</v>
      </c>
      <c r="D54" s="63">
        <f>3.0769 * CHOOSE(CONTROL!$C$22, $C$13, 100%, $E$13)</f>
        <v>3.0769000000000002</v>
      </c>
      <c r="E54" s="64">
        <f>3.6823 * CHOOSE(CONTROL!$C$22, $C$13, 100%, $E$13)</f>
        <v>3.6823000000000001</v>
      </c>
      <c r="F54" s="64">
        <f>3.6823 * CHOOSE(CONTROL!$C$22, $C$13, 100%, $E$13)</f>
        <v>3.6823000000000001</v>
      </c>
      <c r="G54" s="64">
        <f>3.6823 * CHOOSE(CONTROL!$C$22, $C$13, 100%, $E$13)</f>
        <v>3.6823000000000001</v>
      </c>
      <c r="H54" s="64">
        <f>6.0371* CHOOSE(CONTROL!$C$22, $C$13, 100%, $E$13)</f>
        <v>6.0370999999999997</v>
      </c>
      <c r="I54" s="64">
        <f>6.0372 * CHOOSE(CONTROL!$C$22, $C$13, 100%, $E$13)</f>
        <v>6.0372000000000003</v>
      </c>
      <c r="J54" s="64">
        <f>3.6823 * CHOOSE(CONTROL!$C$22, $C$13, 100%, $E$13)</f>
        <v>3.6823000000000001</v>
      </c>
      <c r="K54" s="64">
        <f>3.6823 * CHOOSE(CONTROL!$C$22, $C$13, 100%, $E$13)</f>
        <v>3.6823000000000001</v>
      </c>
      <c r="L54" s="4"/>
      <c r="M54" s="4"/>
      <c r="N54" s="4"/>
    </row>
    <row r="55" spans="1:14" ht="15">
      <c r="A55" s="13">
        <v>43160</v>
      </c>
      <c r="B55" s="63">
        <f>3.0739 * CHOOSE(CONTROL!$C$22, $C$13, 100%, $E$13)</f>
        <v>3.0739000000000001</v>
      </c>
      <c r="C55" s="63">
        <f>3.0739 * CHOOSE(CONTROL!$C$22, $C$13, 100%, $E$13)</f>
        <v>3.0739000000000001</v>
      </c>
      <c r="D55" s="63">
        <f>3.0739 * CHOOSE(CONTROL!$C$22, $C$13, 100%, $E$13)</f>
        <v>3.0739000000000001</v>
      </c>
      <c r="E55" s="64">
        <f>3.7091 * CHOOSE(CONTROL!$C$22, $C$13, 100%, $E$13)</f>
        <v>3.7090999999999998</v>
      </c>
      <c r="F55" s="64">
        <f>3.7091 * CHOOSE(CONTROL!$C$22, $C$13, 100%, $E$13)</f>
        <v>3.7090999999999998</v>
      </c>
      <c r="G55" s="64">
        <f>3.7092 * CHOOSE(CONTROL!$C$22, $C$13, 100%, $E$13)</f>
        <v>3.7092000000000001</v>
      </c>
      <c r="H55" s="64">
        <f>6.0497* CHOOSE(CONTROL!$C$22, $C$13, 100%, $E$13)</f>
        <v>6.0496999999999996</v>
      </c>
      <c r="I55" s="64">
        <f>6.0498 * CHOOSE(CONTROL!$C$22, $C$13, 100%, $E$13)</f>
        <v>6.0498000000000003</v>
      </c>
      <c r="J55" s="64">
        <f>3.7091 * CHOOSE(CONTROL!$C$22, $C$13, 100%, $E$13)</f>
        <v>3.7090999999999998</v>
      </c>
      <c r="K55" s="64">
        <f>3.7092 * CHOOSE(CONTROL!$C$22, $C$13, 100%, $E$13)</f>
        <v>3.7092000000000001</v>
      </c>
      <c r="L55" s="4"/>
      <c r="M55" s="4"/>
      <c r="N55" s="4"/>
    </row>
    <row r="56" spans="1:14" ht="15">
      <c r="A56" s="13">
        <v>43191</v>
      </c>
      <c r="B56" s="63">
        <f>3.0705 * CHOOSE(CONTROL!$C$22, $C$13, 100%, $E$13)</f>
        <v>3.0705</v>
      </c>
      <c r="C56" s="63">
        <f>3.0705 * CHOOSE(CONTROL!$C$22, $C$13, 100%, $E$13)</f>
        <v>3.0705</v>
      </c>
      <c r="D56" s="63">
        <f>3.0705 * CHOOSE(CONTROL!$C$22, $C$13, 100%, $E$13)</f>
        <v>3.0705</v>
      </c>
      <c r="E56" s="64">
        <f>3.7359 * CHOOSE(CONTROL!$C$22, $C$13, 100%, $E$13)</f>
        <v>3.7359</v>
      </c>
      <c r="F56" s="64">
        <f>3.7359 * CHOOSE(CONTROL!$C$22, $C$13, 100%, $E$13)</f>
        <v>3.7359</v>
      </c>
      <c r="G56" s="64">
        <f>3.736 * CHOOSE(CONTROL!$C$22, $C$13, 100%, $E$13)</f>
        <v>3.7360000000000002</v>
      </c>
      <c r="H56" s="64">
        <f>6.0623* CHOOSE(CONTROL!$C$22, $C$13, 100%, $E$13)</f>
        <v>6.0622999999999996</v>
      </c>
      <c r="I56" s="64">
        <f>6.0624 * CHOOSE(CONTROL!$C$22, $C$13, 100%, $E$13)</f>
        <v>6.0624000000000002</v>
      </c>
      <c r="J56" s="64">
        <f>3.7359 * CHOOSE(CONTROL!$C$22, $C$13, 100%, $E$13)</f>
        <v>3.7359</v>
      </c>
      <c r="K56" s="64">
        <f>3.736 * CHOOSE(CONTROL!$C$22, $C$13, 100%, $E$13)</f>
        <v>3.7360000000000002</v>
      </c>
      <c r="L56" s="4"/>
      <c r="M56" s="4"/>
      <c r="N56" s="4"/>
    </row>
    <row r="57" spans="1:14" ht="15">
      <c r="A57" s="13">
        <v>43221</v>
      </c>
      <c r="B57" s="63">
        <f>3.0705 * CHOOSE(CONTROL!$C$22, $C$13, 100%, $E$13)</f>
        <v>3.0705</v>
      </c>
      <c r="C57" s="63">
        <f>3.0705 * CHOOSE(CONTROL!$C$22, $C$13, 100%, $E$13)</f>
        <v>3.0705</v>
      </c>
      <c r="D57" s="63">
        <f>3.0789 * CHOOSE(CONTROL!$C$22, $C$13, 100%, $E$13)</f>
        <v>3.0789</v>
      </c>
      <c r="E57" s="64">
        <f>3.7476 * CHOOSE(CONTROL!$C$22, $C$13, 100%, $E$13)</f>
        <v>3.7475999999999998</v>
      </c>
      <c r="F57" s="64">
        <f>3.7476 * CHOOSE(CONTROL!$C$22, $C$13, 100%, $E$13)</f>
        <v>3.7475999999999998</v>
      </c>
      <c r="G57" s="64">
        <f>3.7578 * CHOOSE(CONTROL!$C$22, $C$13, 100%, $E$13)</f>
        <v>3.7578</v>
      </c>
      <c r="H57" s="64">
        <f>6.0749* CHOOSE(CONTROL!$C$22, $C$13, 100%, $E$13)</f>
        <v>6.0749000000000004</v>
      </c>
      <c r="I57" s="64">
        <f>6.0851 * CHOOSE(CONTROL!$C$22, $C$13, 100%, $E$13)</f>
        <v>6.0850999999999997</v>
      </c>
      <c r="J57" s="64">
        <f>3.7476 * CHOOSE(CONTROL!$C$22, $C$13, 100%, $E$13)</f>
        <v>3.7475999999999998</v>
      </c>
      <c r="K57" s="64">
        <f>3.7578 * CHOOSE(CONTROL!$C$22, $C$13, 100%, $E$13)</f>
        <v>3.7578</v>
      </c>
      <c r="L57" s="4"/>
      <c r="M57" s="4"/>
      <c r="N57" s="4"/>
    </row>
    <row r="58" spans="1:14" ht="15">
      <c r="A58" s="13">
        <v>43252</v>
      </c>
      <c r="B58" s="63">
        <f>3.0766 * CHOOSE(CONTROL!$C$22, $C$13, 100%, $E$13)</f>
        <v>3.0766</v>
      </c>
      <c r="C58" s="63">
        <f>3.0766 * CHOOSE(CONTROL!$C$22, $C$13, 100%, $E$13)</f>
        <v>3.0766</v>
      </c>
      <c r="D58" s="63">
        <f>3.085 * CHOOSE(CONTROL!$C$22, $C$13, 100%, $E$13)</f>
        <v>3.085</v>
      </c>
      <c r="E58" s="64">
        <f>3.7402 * CHOOSE(CONTROL!$C$22, $C$13, 100%, $E$13)</f>
        <v>3.7402000000000002</v>
      </c>
      <c r="F58" s="64">
        <f>3.7402 * CHOOSE(CONTROL!$C$22, $C$13, 100%, $E$13)</f>
        <v>3.7402000000000002</v>
      </c>
      <c r="G58" s="64">
        <f>3.7504 * CHOOSE(CONTROL!$C$22, $C$13, 100%, $E$13)</f>
        <v>3.7504</v>
      </c>
      <c r="H58" s="64">
        <f>6.0876* CHOOSE(CONTROL!$C$22, $C$13, 100%, $E$13)</f>
        <v>6.0876000000000001</v>
      </c>
      <c r="I58" s="64">
        <f>6.0978 * CHOOSE(CONTROL!$C$22, $C$13, 100%, $E$13)</f>
        <v>6.0978000000000003</v>
      </c>
      <c r="J58" s="64">
        <f>3.7402 * CHOOSE(CONTROL!$C$22, $C$13, 100%, $E$13)</f>
        <v>3.7402000000000002</v>
      </c>
      <c r="K58" s="64">
        <f>3.7504 * CHOOSE(CONTROL!$C$22, $C$13, 100%, $E$13)</f>
        <v>3.7504</v>
      </c>
      <c r="L58" s="4"/>
      <c r="M58" s="4"/>
      <c r="N58" s="4"/>
    </row>
    <row r="59" spans="1:14" ht="15">
      <c r="A59" s="13">
        <v>43282</v>
      </c>
      <c r="B59" s="63">
        <f>3.1468 * CHOOSE(CONTROL!$C$22, $C$13, 100%, $E$13)</f>
        <v>3.1467999999999998</v>
      </c>
      <c r="C59" s="63">
        <f>3.1468 * CHOOSE(CONTROL!$C$22, $C$13, 100%, $E$13)</f>
        <v>3.1467999999999998</v>
      </c>
      <c r="D59" s="63">
        <f>3.1553 * CHOOSE(CONTROL!$C$22, $C$13, 100%, $E$13)</f>
        <v>3.1553</v>
      </c>
      <c r="E59" s="64">
        <f>3.7912 * CHOOSE(CONTROL!$C$22, $C$13, 100%, $E$13)</f>
        <v>3.7911999999999999</v>
      </c>
      <c r="F59" s="64">
        <f>3.7912 * CHOOSE(CONTROL!$C$22, $C$13, 100%, $E$13)</f>
        <v>3.7911999999999999</v>
      </c>
      <c r="G59" s="64">
        <f>3.8015 * CHOOSE(CONTROL!$C$22, $C$13, 100%, $E$13)</f>
        <v>3.8014999999999999</v>
      </c>
      <c r="H59" s="64">
        <f>6.1003* CHOOSE(CONTROL!$C$22, $C$13, 100%, $E$13)</f>
        <v>6.1002999999999998</v>
      </c>
      <c r="I59" s="64">
        <f>6.1105 * CHOOSE(CONTROL!$C$22, $C$13, 100%, $E$13)</f>
        <v>6.1105</v>
      </c>
      <c r="J59" s="64">
        <f>3.7912 * CHOOSE(CONTROL!$C$22, $C$13, 100%, $E$13)</f>
        <v>3.7911999999999999</v>
      </c>
      <c r="K59" s="64">
        <f>3.8015 * CHOOSE(CONTROL!$C$22, $C$13, 100%, $E$13)</f>
        <v>3.8014999999999999</v>
      </c>
      <c r="L59" s="4"/>
      <c r="M59" s="4"/>
      <c r="N59" s="4"/>
    </row>
    <row r="60" spans="1:14" ht="15">
      <c r="A60" s="13">
        <v>43313</v>
      </c>
      <c r="B60" s="63">
        <f>3.1535 * CHOOSE(CONTROL!$C$22, $C$13, 100%, $E$13)</f>
        <v>3.1535000000000002</v>
      </c>
      <c r="C60" s="63">
        <f>3.1535 * CHOOSE(CONTROL!$C$22, $C$13, 100%, $E$13)</f>
        <v>3.1535000000000002</v>
      </c>
      <c r="D60" s="63">
        <f>3.1619 * CHOOSE(CONTROL!$C$22, $C$13, 100%, $E$13)</f>
        <v>3.1619000000000002</v>
      </c>
      <c r="E60" s="64">
        <f>3.7609 * CHOOSE(CONTROL!$C$22, $C$13, 100%, $E$13)</f>
        <v>3.7608999999999999</v>
      </c>
      <c r="F60" s="64">
        <f>3.7609 * CHOOSE(CONTROL!$C$22, $C$13, 100%, $E$13)</f>
        <v>3.7608999999999999</v>
      </c>
      <c r="G60" s="64">
        <f>3.7712 * CHOOSE(CONTROL!$C$22, $C$13, 100%, $E$13)</f>
        <v>3.7711999999999999</v>
      </c>
      <c r="H60" s="64">
        <f>6.113* CHOOSE(CONTROL!$C$22, $C$13, 100%, $E$13)</f>
        <v>6.1130000000000004</v>
      </c>
      <c r="I60" s="64">
        <f>6.1232 * CHOOSE(CONTROL!$C$22, $C$13, 100%, $E$13)</f>
        <v>6.1231999999999998</v>
      </c>
      <c r="J60" s="64">
        <f>3.7609 * CHOOSE(CONTROL!$C$22, $C$13, 100%, $E$13)</f>
        <v>3.7608999999999999</v>
      </c>
      <c r="K60" s="64">
        <f>3.7712 * CHOOSE(CONTROL!$C$22, $C$13, 100%, $E$13)</f>
        <v>3.7711999999999999</v>
      </c>
      <c r="L60" s="4"/>
      <c r="M60" s="4"/>
      <c r="N60" s="4"/>
    </row>
    <row r="61" spans="1:14" ht="15">
      <c r="A61" s="13">
        <v>43344</v>
      </c>
      <c r="B61" s="63">
        <f>3.1505 * CHOOSE(CONTROL!$C$22, $C$13, 100%, $E$13)</f>
        <v>3.1505000000000001</v>
      </c>
      <c r="C61" s="63">
        <f>3.1505 * CHOOSE(CONTROL!$C$22, $C$13, 100%, $E$13)</f>
        <v>3.1505000000000001</v>
      </c>
      <c r="D61" s="63">
        <f>3.1589 * CHOOSE(CONTROL!$C$22, $C$13, 100%, $E$13)</f>
        <v>3.1589</v>
      </c>
      <c r="E61" s="64">
        <f>3.7549 * CHOOSE(CONTROL!$C$22, $C$13, 100%, $E$13)</f>
        <v>3.7549000000000001</v>
      </c>
      <c r="F61" s="64">
        <f>3.7549 * CHOOSE(CONTROL!$C$22, $C$13, 100%, $E$13)</f>
        <v>3.7549000000000001</v>
      </c>
      <c r="G61" s="64">
        <f>3.7652 * CHOOSE(CONTROL!$C$22, $C$13, 100%, $E$13)</f>
        <v>3.7652000000000001</v>
      </c>
      <c r="H61" s="64">
        <f>6.1257* CHOOSE(CONTROL!$C$22, $C$13, 100%, $E$13)</f>
        <v>6.1257000000000001</v>
      </c>
      <c r="I61" s="64">
        <f>6.1359 * CHOOSE(CONTROL!$C$22, $C$13, 100%, $E$13)</f>
        <v>6.1359000000000004</v>
      </c>
      <c r="J61" s="64">
        <f>3.7549 * CHOOSE(CONTROL!$C$22, $C$13, 100%, $E$13)</f>
        <v>3.7549000000000001</v>
      </c>
      <c r="K61" s="64">
        <f>3.7652 * CHOOSE(CONTROL!$C$22, $C$13, 100%, $E$13)</f>
        <v>3.7652000000000001</v>
      </c>
      <c r="L61" s="4"/>
      <c r="M61" s="4"/>
      <c r="N61" s="4"/>
    </row>
    <row r="62" spans="1:14" ht="15">
      <c r="A62" s="13">
        <v>43374</v>
      </c>
      <c r="B62" s="63">
        <f>3.1419 * CHOOSE(CONTROL!$C$22, $C$13, 100%, $E$13)</f>
        <v>3.1419000000000001</v>
      </c>
      <c r="C62" s="63">
        <f>3.1419 * CHOOSE(CONTROL!$C$22, $C$13, 100%, $E$13)</f>
        <v>3.1419000000000001</v>
      </c>
      <c r="D62" s="63">
        <f>3.1419 * CHOOSE(CONTROL!$C$22, $C$13, 100%, $E$13)</f>
        <v>3.1419000000000001</v>
      </c>
      <c r="E62" s="64">
        <f>3.7571 * CHOOSE(CONTROL!$C$22, $C$13, 100%, $E$13)</f>
        <v>3.7570999999999999</v>
      </c>
      <c r="F62" s="64">
        <f>3.7571 * CHOOSE(CONTROL!$C$22, $C$13, 100%, $E$13)</f>
        <v>3.7570999999999999</v>
      </c>
      <c r="G62" s="64">
        <f>3.7571 * CHOOSE(CONTROL!$C$22, $C$13, 100%, $E$13)</f>
        <v>3.7570999999999999</v>
      </c>
      <c r="H62" s="64">
        <f>6.1385* CHOOSE(CONTROL!$C$22, $C$13, 100%, $E$13)</f>
        <v>6.1384999999999996</v>
      </c>
      <c r="I62" s="64">
        <f>6.1385 * CHOOSE(CONTROL!$C$22, $C$13, 100%, $E$13)</f>
        <v>6.1384999999999996</v>
      </c>
      <c r="J62" s="64">
        <f>3.7571 * CHOOSE(CONTROL!$C$22, $C$13, 100%, $E$13)</f>
        <v>3.7570999999999999</v>
      </c>
      <c r="K62" s="64">
        <f>3.7571 * CHOOSE(CONTROL!$C$22, $C$13, 100%, $E$13)</f>
        <v>3.7570999999999999</v>
      </c>
      <c r="L62" s="4"/>
      <c r="M62" s="4"/>
      <c r="N62" s="4"/>
    </row>
    <row r="63" spans="1:14" ht="15">
      <c r="A63" s="13">
        <v>43405</v>
      </c>
      <c r="B63" s="63">
        <f>3.1449 * CHOOSE(CONTROL!$C$22, $C$13, 100%, $E$13)</f>
        <v>3.1448999999999998</v>
      </c>
      <c r="C63" s="63">
        <f>3.1449 * CHOOSE(CONTROL!$C$22, $C$13, 100%, $E$13)</f>
        <v>3.1448999999999998</v>
      </c>
      <c r="D63" s="63">
        <f>3.1449 * CHOOSE(CONTROL!$C$22, $C$13, 100%, $E$13)</f>
        <v>3.1448999999999998</v>
      </c>
      <c r="E63" s="64">
        <f>3.767 * CHOOSE(CONTROL!$C$22, $C$13, 100%, $E$13)</f>
        <v>3.7669999999999999</v>
      </c>
      <c r="F63" s="64">
        <f>3.767 * CHOOSE(CONTROL!$C$22, $C$13, 100%, $E$13)</f>
        <v>3.7669999999999999</v>
      </c>
      <c r="G63" s="64">
        <f>3.767 * CHOOSE(CONTROL!$C$22, $C$13, 100%, $E$13)</f>
        <v>3.7669999999999999</v>
      </c>
      <c r="H63" s="64">
        <f>6.1513* CHOOSE(CONTROL!$C$22, $C$13, 100%, $E$13)</f>
        <v>6.1513</v>
      </c>
      <c r="I63" s="64">
        <f>6.1513 * CHOOSE(CONTROL!$C$22, $C$13, 100%, $E$13)</f>
        <v>6.1513</v>
      </c>
      <c r="J63" s="64">
        <f>3.767 * CHOOSE(CONTROL!$C$22, $C$13, 100%, $E$13)</f>
        <v>3.7669999999999999</v>
      </c>
      <c r="K63" s="64">
        <f>3.767 * CHOOSE(CONTROL!$C$22, $C$13, 100%, $E$13)</f>
        <v>3.7669999999999999</v>
      </c>
      <c r="L63" s="4"/>
      <c r="M63" s="4"/>
      <c r="N63" s="4"/>
    </row>
    <row r="64" spans="1:14" ht="15">
      <c r="A64" s="13">
        <v>43435</v>
      </c>
      <c r="B64" s="63">
        <f>3.1449 * CHOOSE(CONTROL!$C$22, $C$13, 100%, $E$13)</f>
        <v>3.1448999999999998</v>
      </c>
      <c r="C64" s="63">
        <f>3.1449 * CHOOSE(CONTROL!$C$22, $C$13, 100%, $E$13)</f>
        <v>3.1448999999999998</v>
      </c>
      <c r="D64" s="63">
        <f>3.1449 * CHOOSE(CONTROL!$C$22, $C$13, 100%, $E$13)</f>
        <v>3.1448999999999998</v>
      </c>
      <c r="E64" s="64">
        <f>3.7475 * CHOOSE(CONTROL!$C$22, $C$13, 100%, $E$13)</f>
        <v>3.7475000000000001</v>
      </c>
      <c r="F64" s="64">
        <f>3.7475 * CHOOSE(CONTROL!$C$22, $C$13, 100%, $E$13)</f>
        <v>3.7475000000000001</v>
      </c>
      <c r="G64" s="64">
        <f>3.7476 * CHOOSE(CONTROL!$C$22, $C$13, 100%, $E$13)</f>
        <v>3.7475999999999998</v>
      </c>
      <c r="H64" s="64">
        <f>6.1641* CHOOSE(CONTROL!$C$22, $C$13, 100%, $E$13)</f>
        <v>6.1641000000000004</v>
      </c>
      <c r="I64" s="64">
        <f>6.1642 * CHOOSE(CONTROL!$C$22, $C$13, 100%, $E$13)</f>
        <v>6.1642000000000001</v>
      </c>
      <c r="J64" s="64">
        <f>3.7475 * CHOOSE(CONTROL!$C$22, $C$13, 100%, $E$13)</f>
        <v>3.7475000000000001</v>
      </c>
      <c r="K64" s="64">
        <f>3.7476 * CHOOSE(CONTROL!$C$22, $C$13, 100%, $E$13)</f>
        <v>3.7475999999999998</v>
      </c>
      <c r="L64" s="4"/>
      <c r="M64" s="4"/>
      <c r="N64" s="4"/>
    </row>
    <row r="65" spans="1:14" ht="15">
      <c r="A65" s="13">
        <v>43466</v>
      </c>
      <c r="B65" s="63">
        <f>3.1467 * CHOOSE(CONTROL!$C$22, $C$13, 100%, $E$13)</f>
        <v>3.1467000000000001</v>
      </c>
      <c r="C65" s="63">
        <f>3.1467 * CHOOSE(CONTROL!$C$22, $C$13, 100%, $E$13)</f>
        <v>3.1467000000000001</v>
      </c>
      <c r="D65" s="63">
        <f>3.1467 * CHOOSE(CONTROL!$C$22, $C$13, 100%, $E$13)</f>
        <v>3.1467000000000001</v>
      </c>
      <c r="E65" s="64">
        <f>3.844 * CHOOSE(CONTROL!$C$22, $C$13, 100%, $E$13)</f>
        <v>3.8439999999999999</v>
      </c>
      <c r="F65" s="64">
        <f>3.844 * CHOOSE(CONTROL!$C$22, $C$13, 100%, $E$13)</f>
        <v>3.8439999999999999</v>
      </c>
      <c r="G65" s="64">
        <f>3.8441 * CHOOSE(CONTROL!$C$22, $C$13, 100%, $E$13)</f>
        <v>3.8441000000000001</v>
      </c>
      <c r="H65" s="64">
        <f>6.1769* CHOOSE(CONTROL!$C$22, $C$13, 100%, $E$13)</f>
        <v>6.1768999999999998</v>
      </c>
      <c r="I65" s="64">
        <f>6.177 * CHOOSE(CONTROL!$C$22, $C$13, 100%, $E$13)</f>
        <v>6.1769999999999996</v>
      </c>
      <c r="J65" s="64">
        <f>3.844 * CHOOSE(CONTROL!$C$22, $C$13, 100%, $E$13)</f>
        <v>3.8439999999999999</v>
      </c>
      <c r="K65" s="64">
        <f>3.8441 * CHOOSE(CONTROL!$C$22, $C$13, 100%, $E$13)</f>
        <v>3.8441000000000001</v>
      </c>
      <c r="L65" s="4"/>
      <c r="M65" s="4"/>
      <c r="N65" s="4"/>
    </row>
    <row r="66" spans="1:14" ht="15">
      <c r="A66" s="13">
        <v>43497</v>
      </c>
      <c r="B66" s="63">
        <f>3.1437 * CHOOSE(CONTROL!$C$22, $C$13, 100%, $E$13)</f>
        <v>3.1436999999999999</v>
      </c>
      <c r="C66" s="63">
        <f>3.1437 * CHOOSE(CONTROL!$C$22, $C$13, 100%, $E$13)</f>
        <v>3.1436999999999999</v>
      </c>
      <c r="D66" s="63">
        <f>3.1437 * CHOOSE(CONTROL!$C$22, $C$13, 100%, $E$13)</f>
        <v>3.1436999999999999</v>
      </c>
      <c r="E66" s="64">
        <f>3.7978 * CHOOSE(CONTROL!$C$22, $C$13, 100%, $E$13)</f>
        <v>3.7978000000000001</v>
      </c>
      <c r="F66" s="64">
        <f>3.7978 * CHOOSE(CONTROL!$C$22, $C$13, 100%, $E$13)</f>
        <v>3.7978000000000001</v>
      </c>
      <c r="G66" s="64">
        <f>3.7979 * CHOOSE(CONTROL!$C$22, $C$13, 100%, $E$13)</f>
        <v>3.7978999999999998</v>
      </c>
      <c r="H66" s="64">
        <f>6.1898* CHOOSE(CONTROL!$C$22, $C$13, 100%, $E$13)</f>
        <v>6.1898</v>
      </c>
      <c r="I66" s="64">
        <f>6.1899 * CHOOSE(CONTROL!$C$22, $C$13, 100%, $E$13)</f>
        <v>6.1898999999999997</v>
      </c>
      <c r="J66" s="64">
        <f>3.7978 * CHOOSE(CONTROL!$C$22, $C$13, 100%, $E$13)</f>
        <v>3.7978000000000001</v>
      </c>
      <c r="K66" s="64">
        <f>3.7979 * CHOOSE(CONTROL!$C$22, $C$13, 100%, $E$13)</f>
        <v>3.7978999999999998</v>
      </c>
      <c r="L66" s="4"/>
      <c r="M66" s="4"/>
      <c r="N66" s="4"/>
    </row>
    <row r="67" spans="1:14" ht="15">
      <c r="A67" s="13">
        <v>43525</v>
      </c>
      <c r="B67" s="63">
        <f>3.1407 * CHOOSE(CONTROL!$C$22, $C$13, 100%, $E$13)</f>
        <v>3.1406999999999998</v>
      </c>
      <c r="C67" s="63">
        <f>3.1407 * CHOOSE(CONTROL!$C$22, $C$13, 100%, $E$13)</f>
        <v>3.1406999999999998</v>
      </c>
      <c r="D67" s="63">
        <f>3.1407 * CHOOSE(CONTROL!$C$22, $C$13, 100%, $E$13)</f>
        <v>3.1406999999999998</v>
      </c>
      <c r="E67" s="64">
        <f>3.8304 * CHOOSE(CONTROL!$C$22, $C$13, 100%, $E$13)</f>
        <v>3.8304</v>
      </c>
      <c r="F67" s="64">
        <f>3.8304 * CHOOSE(CONTROL!$C$22, $C$13, 100%, $E$13)</f>
        <v>3.8304</v>
      </c>
      <c r="G67" s="64">
        <f>3.8305 * CHOOSE(CONTROL!$C$22, $C$13, 100%, $E$13)</f>
        <v>3.8304999999999998</v>
      </c>
      <c r="H67" s="64">
        <f>6.2027* CHOOSE(CONTROL!$C$22, $C$13, 100%, $E$13)</f>
        <v>6.2027000000000001</v>
      </c>
      <c r="I67" s="64">
        <f>6.2028 * CHOOSE(CONTROL!$C$22, $C$13, 100%, $E$13)</f>
        <v>6.2027999999999999</v>
      </c>
      <c r="J67" s="64">
        <f>3.8304 * CHOOSE(CONTROL!$C$22, $C$13, 100%, $E$13)</f>
        <v>3.8304</v>
      </c>
      <c r="K67" s="64">
        <f>3.8305 * CHOOSE(CONTROL!$C$22, $C$13, 100%, $E$13)</f>
        <v>3.8304999999999998</v>
      </c>
      <c r="L67" s="4"/>
      <c r="M67" s="4"/>
      <c r="N67" s="4"/>
    </row>
    <row r="68" spans="1:14" ht="15">
      <c r="A68" s="13">
        <v>43556</v>
      </c>
      <c r="B68" s="63">
        <f>3.1374 * CHOOSE(CONTROL!$C$22, $C$13, 100%, $E$13)</f>
        <v>3.1374</v>
      </c>
      <c r="C68" s="63">
        <f>3.1374 * CHOOSE(CONTROL!$C$22, $C$13, 100%, $E$13)</f>
        <v>3.1374</v>
      </c>
      <c r="D68" s="63">
        <f>3.1374 * CHOOSE(CONTROL!$C$22, $C$13, 100%, $E$13)</f>
        <v>3.1374</v>
      </c>
      <c r="E68" s="64">
        <f>3.8635 * CHOOSE(CONTROL!$C$22, $C$13, 100%, $E$13)</f>
        <v>3.8635000000000002</v>
      </c>
      <c r="F68" s="64">
        <f>3.8635 * CHOOSE(CONTROL!$C$22, $C$13, 100%, $E$13)</f>
        <v>3.8635000000000002</v>
      </c>
      <c r="G68" s="64">
        <f>3.8636 * CHOOSE(CONTROL!$C$22, $C$13, 100%, $E$13)</f>
        <v>3.8635999999999999</v>
      </c>
      <c r="H68" s="64">
        <f>6.2156* CHOOSE(CONTROL!$C$22, $C$13, 100%, $E$13)</f>
        <v>6.2156000000000002</v>
      </c>
      <c r="I68" s="64">
        <f>6.2157 * CHOOSE(CONTROL!$C$22, $C$13, 100%, $E$13)</f>
        <v>6.2157</v>
      </c>
      <c r="J68" s="64">
        <f>3.8635 * CHOOSE(CONTROL!$C$22, $C$13, 100%, $E$13)</f>
        <v>3.8635000000000002</v>
      </c>
      <c r="K68" s="64">
        <f>3.8636 * CHOOSE(CONTROL!$C$22, $C$13, 100%, $E$13)</f>
        <v>3.8635999999999999</v>
      </c>
      <c r="L68" s="4"/>
      <c r="M68" s="4"/>
      <c r="N68" s="4"/>
    </row>
    <row r="69" spans="1:14" ht="15">
      <c r="A69" s="13">
        <v>43586</v>
      </c>
      <c r="B69" s="63">
        <f>3.1374 * CHOOSE(CONTROL!$C$22, $C$13, 100%, $E$13)</f>
        <v>3.1374</v>
      </c>
      <c r="C69" s="63">
        <f>3.1374 * CHOOSE(CONTROL!$C$22, $C$13, 100%, $E$13)</f>
        <v>3.1374</v>
      </c>
      <c r="D69" s="63">
        <f>3.1458 * CHOOSE(CONTROL!$C$22, $C$13, 100%, $E$13)</f>
        <v>3.1457999999999999</v>
      </c>
      <c r="E69" s="64">
        <f>3.8775 * CHOOSE(CONTROL!$C$22, $C$13, 100%, $E$13)</f>
        <v>3.8774999999999999</v>
      </c>
      <c r="F69" s="64">
        <f>3.8775 * CHOOSE(CONTROL!$C$22, $C$13, 100%, $E$13)</f>
        <v>3.8774999999999999</v>
      </c>
      <c r="G69" s="64">
        <f>3.8878 * CHOOSE(CONTROL!$C$22, $C$13, 100%, $E$13)</f>
        <v>3.8877999999999999</v>
      </c>
      <c r="H69" s="64">
        <f>6.2286* CHOOSE(CONTROL!$C$22, $C$13, 100%, $E$13)</f>
        <v>6.2286000000000001</v>
      </c>
      <c r="I69" s="64">
        <f>6.2388 * CHOOSE(CONTROL!$C$22, $C$13, 100%, $E$13)</f>
        <v>6.2388000000000003</v>
      </c>
      <c r="J69" s="64">
        <f>3.8775 * CHOOSE(CONTROL!$C$22, $C$13, 100%, $E$13)</f>
        <v>3.8774999999999999</v>
      </c>
      <c r="K69" s="64">
        <f>3.8878 * CHOOSE(CONTROL!$C$22, $C$13, 100%, $E$13)</f>
        <v>3.8877999999999999</v>
      </c>
      <c r="L69" s="4"/>
      <c r="M69" s="4"/>
      <c r="N69" s="4"/>
    </row>
    <row r="70" spans="1:14" ht="15">
      <c r="A70" s="13">
        <v>43617</v>
      </c>
      <c r="B70" s="63">
        <f>3.1435 * CHOOSE(CONTROL!$C$22, $C$13, 100%, $E$13)</f>
        <v>3.1435</v>
      </c>
      <c r="C70" s="63">
        <f>3.1435 * CHOOSE(CONTROL!$C$22, $C$13, 100%, $E$13)</f>
        <v>3.1435</v>
      </c>
      <c r="D70" s="63">
        <f>3.1519 * CHOOSE(CONTROL!$C$22, $C$13, 100%, $E$13)</f>
        <v>3.1518999999999999</v>
      </c>
      <c r="E70" s="64">
        <f>3.8678 * CHOOSE(CONTROL!$C$22, $C$13, 100%, $E$13)</f>
        <v>3.8677999999999999</v>
      </c>
      <c r="F70" s="64">
        <f>3.8678 * CHOOSE(CONTROL!$C$22, $C$13, 100%, $E$13)</f>
        <v>3.8677999999999999</v>
      </c>
      <c r="G70" s="64">
        <f>3.878 * CHOOSE(CONTROL!$C$22, $C$13, 100%, $E$13)</f>
        <v>3.8780000000000001</v>
      </c>
      <c r="H70" s="64">
        <f>6.2415* CHOOSE(CONTROL!$C$22, $C$13, 100%, $E$13)</f>
        <v>6.2415000000000003</v>
      </c>
      <c r="I70" s="64">
        <f>6.2517 * CHOOSE(CONTROL!$C$22, $C$13, 100%, $E$13)</f>
        <v>6.2516999999999996</v>
      </c>
      <c r="J70" s="64">
        <f>3.8678 * CHOOSE(CONTROL!$C$22, $C$13, 100%, $E$13)</f>
        <v>3.8677999999999999</v>
      </c>
      <c r="K70" s="64">
        <f>3.878 * CHOOSE(CONTROL!$C$22, $C$13, 100%, $E$13)</f>
        <v>3.8780000000000001</v>
      </c>
      <c r="L70" s="4"/>
      <c r="M70" s="4"/>
      <c r="N70" s="4"/>
    </row>
    <row r="71" spans="1:14" ht="15">
      <c r="A71" s="13">
        <v>43647</v>
      </c>
      <c r="B71" s="63">
        <f>3.1331 * CHOOSE(CONTROL!$C$22, $C$13, 100%, $E$13)</f>
        <v>3.1331000000000002</v>
      </c>
      <c r="C71" s="63">
        <f>3.1331 * CHOOSE(CONTROL!$C$22, $C$13, 100%, $E$13)</f>
        <v>3.1331000000000002</v>
      </c>
      <c r="D71" s="63">
        <f>3.1415 * CHOOSE(CONTROL!$C$22, $C$13, 100%, $E$13)</f>
        <v>3.1415000000000002</v>
      </c>
      <c r="E71" s="64">
        <f>3.901 * CHOOSE(CONTROL!$C$22, $C$13, 100%, $E$13)</f>
        <v>3.9009999999999998</v>
      </c>
      <c r="F71" s="64">
        <f>3.901 * CHOOSE(CONTROL!$C$22, $C$13, 100%, $E$13)</f>
        <v>3.9009999999999998</v>
      </c>
      <c r="G71" s="64">
        <f>3.9112 * CHOOSE(CONTROL!$C$22, $C$13, 100%, $E$13)</f>
        <v>3.9112</v>
      </c>
      <c r="H71" s="64">
        <f>6.2545* CHOOSE(CONTROL!$C$22, $C$13, 100%, $E$13)</f>
        <v>6.2545000000000002</v>
      </c>
      <c r="I71" s="64">
        <f>6.2647 * CHOOSE(CONTROL!$C$22, $C$13, 100%, $E$13)</f>
        <v>6.2647000000000004</v>
      </c>
      <c r="J71" s="64">
        <f>3.901 * CHOOSE(CONTROL!$C$22, $C$13, 100%, $E$13)</f>
        <v>3.9009999999999998</v>
      </c>
      <c r="K71" s="64">
        <f>3.9112 * CHOOSE(CONTROL!$C$22, $C$13, 100%, $E$13)</f>
        <v>3.9112</v>
      </c>
      <c r="L71" s="4"/>
      <c r="M71" s="4"/>
      <c r="N71" s="4"/>
    </row>
    <row r="72" spans="1:14" ht="15">
      <c r="A72" s="13">
        <v>43678</v>
      </c>
      <c r="B72" s="63">
        <f>3.1398 * CHOOSE(CONTROL!$C$22, $C$13, 100%, $E$13)</f>
        <v>3.1398000000000001</v>
      </c>
      <c r="C72" s="63">
        <f>3.1398 * CHOOSE(CONTROL!$C$22, $C$13, 100%, $E$13)</f>
        <v>3.1398000000000001</v>
      </c>
      <c r="D72" s="63">
        <f>3.1482 * CHOOSE(CONTROL!$C$22, $C$13, 100%, $E$13)</f>
        <v>3.1482000000000001</v>
      </c>
      <c r="E72" s="64">
        <f>3.8637 * CHOOSE(CONTROL!$C$22, $C$13, 100%, $E$13)</f>
        <v>3.8637000000000001</v>
      </c>
      <c r="F72" s="64">
        <f>3.8637 * CHOOSE(CONTROL!$C$22, $C$13, 100%, $E$13)</f>
        <v>3.8637000000000001</v>
      </c>
      <c r="G72" s="64">
        <f>3.8739 * CHOOSE(CONTROL!$C$22, $C$13, 100%, $E$13)</f>
        <v>3.8738999999999999</v>
      </c>
      <c r="H72" s="64">
        <f>6.2676* CHOOSE(CONTROL!$C$22, $C$13, 100%, $E$13)</f>
        <v>6.2675999999999998</v>
      </c>
      <c r="I72" s="64">
        <f>6.2778 * CHOOSE(CONTROL!$C$22, $C$13, 100%, $E$13)</f>
        <v>6.2778</v>
      </c>
      <c r="J72" s="64">
        <f>3.8637 * CHOOSE(CONTROL!$C$22, $C$13, 100%, $E$13)</f>
        <v>3.8637000000000001</v>
      </c>
      <c r="K72" s="64">
        <f>3.8739 * CHOOSE(CONTROL!$C$22, $C$13, 100%, $E$13)</f>
        <v>3.8738999999999999</v>
      </c>
      <c r="L72" s="4"/>
      <c r="M72" s="4"/>
      <c r="N72" s="4"/>
    </row>
    <row r="73" spans="1:14" ht="15">
      <c r="A73" s="13">
        <v>43709</v>
      </c>
      <c r="B73" s="63">
        <f>3.1367 * CHOOSE(CONTROL!$C$22, $C$13, 100%, $E$13)</f>
        <v>3.1366999999999998</v>
      </c>
      <c r="C73" s="63">
        <f>3.1367 * CHOOSE(CONTROL!$C$22, $C$13, 100%, $E$13)</f>
        <v>3.1366999999999998</v>
      </c>
      <c r="D73" s="63">
        <f>3.1452 * CHOOSE(CONTROL!$C$22, $C$13, 100%, $E$13)</f>
        <v>3.1452</v>
      </c>
      <c r="E73" s="64">
        <f>3.8569 * CHOOSE(CONTROL!$C$22, $C$13, 100%, $E$13)</f>
        <v>3.8569</v>
      </c>
      <c r="F73" s="64">
        <f>3.8569 * CHOOSE(CONTROL!$C$22, $C$13, 100%, $E$13)</f>
        <v>3.8569</v>
      </c>
      <c r="G73" s="64">
        <f>3.8671 * CHOOSE(CONTROL!$C$22, $C$13, 100%, $E$13)</f>
        <v>3.8671000000000002</v>
      </c>
      <c r="H73" s="64">
        <f>6.2806* CHOOSE(CONTROL!$C$22, $C$13, 100%, $E$13)</f>
        <v>6.2805999999999997</v>
      </c>
      <c r="I73" s="64">
        <f>6.2908 * CHOOSE(CONTROL!$C$22, $C$13, 100%, $E$13)</f>
        <v>6.2907999999999999</v>
      </c>
      <c r="J73" s="64">
        <f>3.8569 * CHOOSE(CONTROL!$C$22, $C$13, 100%, $E$13)</f>
        <v>3.8569</v>
      </c>
      <c r="K73" s="64">
        <f>3.8671 * CHOOSE(CONTROL!$C$22, $C$13, 100%, $E$13)</f>
        <v>3.8671000000000002</v>
      </c>
      <c r="L73" s="4"/>
      <c r="M73" s="4"/>
      <c r="N73" s="4"/>
    </row>
    <row r="74" spans="1:14" ht="15">
      <c r="A74" s="13">
        <v>43739</v>
      </c>
      <c r="B74" s="63">
        <f>3.1284 * CHOOSE(CONTROL!$C$22, $C$13, 100%, $E$13)</f>
        <v>3.1284000000000001</v>
      </c>
      <c r="C74" s="63">
        <f>3.1284 * CHOOSE(CONTROL!$C$22, $C$13, 100%, $E$13)</f>
        <v>3.1284000000000001</v>
      </c>
      <c r="D74" s="63">
        <f>3.1284 * CHOOSE(CONTROL!$C$22, $C$13, 100%, $E$13)</f>
        <v>3.1284000000000001</v>
      </c>
      <c r="E74" s="64">
        <f>3.8621 * CHOOSE(CONTROL!$C$22, $C$13, 100%, $E$13)</f>
        <v>3.8620999999999999</v>
      </c>
      <c r="F74" s="64">
        <f>3.8621 * CHOOSE(CONTROL!$C$22, $C$13, 100%, $E$13)</f>
        <v>3.8620999999999999</v>
      </c>
      <c r="G74" s="64">
        <f>3.8622 * CHOOSE(CONTROL!$C$22, $C$13, 100%, $E$13)</f>
        <v>3.8622000000000001</v>
      </c>
      <c r="H74" s="64">
        <f>6.2937* CHOOSE(CONTROL!$C$22, $C$13, 100%, $E$13)</f>
        <v>6.2937000000000003</v>
      </c>
      <c r="I74" s="64">
        <f>6.2938 * CHOOSE(CONTROL!$C$22, $C$13, 100%, $E$13)</f>
        <v>6.2938000000000001</v>
      </c>
      <c r="J74" s="64">
        <f>3.8621 * CHOOSE(CONTROL!$C$22, $C$13, 100%, $E$13)</f>
        <v>3.8620999999999999</v>
      </c>
      <c r="K74" s="64">
        <f>3.8622 * CHOOSE(CONTROL!$C$22, $C$13, 100%, $E$13)</f>
        <v>3.8622000000000001</v>
      </c>
      <c r="L74" s="4"/>
      <c r="M74" s="4"/>
      <c r="N74" s="4"/>
    </row>
    <row r="75" spans="1:14" ht="15">
      <c r="A75" s="13">
        <v>43770</v>
      </c>
      <c r="B75" s="63">
        <f>3.1314 * CHOOSE(CONTROL!$C$22, $C$13, 100%, $E$13)</f>
        <v>3.1314000000000002</v>
      </c>
      <c r="C75" s="63">
        <f>3.1314 * CHOOSE(CONTROL!$C$22, $C$13, 100%, $E$13)</f>
        <v>3.1314000000000002</v>
      </c>
      <c r="D75" s="63">
        <f>3.1314 * CHOOSE(CONTROL!$C$22, $C$13, 100%, $E$13)</f>
        <v>3.1314000000000002</v>
      </c>
      <c r="E75" s="64">
        <f>3.8736 * CHOOSE(CONTROL!$C$22, $C$13, 100%, $E$13)</f>
        <v>3.8736000000000002</v>
      </c>
      <c r="F75" s="64">
        <f>3.8736 * CHOOSE(CONTROL!$C$22, $C$13, 100%, $E$13)</f>
        <v>3.8736000000000002</v>
      </c>
      <c r="G75" s="64">
        <f>3.8737 * CHOOSE(CONTROL!$C$22, $C$13, 100%, $E$13)</f>
        <v>3.8736999999999999</v>
      </c>
      <c r="H75" s="64">
        <f>6.3068* CHOOSE(CONTROL!$C$22, $C$13, 100%, $E$13)</f>
        <v>6.3068</v>
      </c>
      <c r="I75" s="64">
        <f>6.3069 * CHOOSE(CONTROL!$C$22, $C$13, 100%, $E$13)</f>
        <v>6.3068999999999997</v>
      </c>
      <c r="J75" s="64">
        <f>3.8736 * CHOOSE(CONTROL!$C$22, $C$13, 100%, $E$13)</f>
        <v>3.8736000000000002</v>
      </c>
      <c r="K75" s="64">
        <f>3.8737 * CHOOSE(CONTROL!$C$22, $C$13, 100%, $E$13)</f>
        <v>3.8736999999999999</v>
      </c>
      <c r="L75" s="4"/>
      <c r="M75" s="4"/>
      <c r="N75" s="4"/>
    </row>
    <row r="76" spans="1:14" ht="15">
      <c r="A76" s="13">
        <v>43800</v>
      </c>
      <c r="B76" s="63">
        <f>3.1314 * CHOOSE(CONTROL!$C$22, $C$13, 100%, $E$13)</f>
        <v>3.1314000000000002</v>
      </c>
      <c r="C76" s="63">
        <f>3.1314 * CHOOSE(CONTROL!$C$22, $C$13, 100%, $E$13)</f>
        <v>3.1314000000000002</v>
      </c>
      <c r="D76" s="63">
        <f>3.1314 * CHOOSE(CONTROL!$C$22, $C$13, 100%, $E$13)</f>
        <v>3.1314000000000002</v>
      </c>
      <c r="E76" s="64">
        <f>3.8503 * CHOOSE(CONTROL!$C$22, $C$13, 100%, $E$13)</f>
        <v>3.8502999999999998</v>
      </c>
      <c r="F76" s="64">
        <f>3.8503 * CHOOSE(CONTROL!$C$22, $C$13, 100%, $E$13)</f>
        <v>3.8502999999999998</v>
      </c>
      <c r="G76" s="64">
        <f>3.8503 * CHOOSE(CONTROL!$C$22, $C$13, 100%, $E$13)</f>
        <v>3.8502999999999998</v>
      </c>
      <c r="H76" s="64">
        <f>6.32* CHOOSE(CONTROL!$C$22, $C$13, 100%, $E$13)</f>
        <v>6.32</v>
      </c>
      <c r="I76" s="64">
        <f>6.32 * CHOOSE(CONTROL!$C$22, $C$13, 100%, $E$13)</f>
        <v>6.32</v>
      </c>
      <c r="J76" s="64">
        <f>3.8503 * CHOOSE(CONTROL!$C$22, $C$13, 100%, $E$13)</f>
        <v>3.8502999999999998</v>
      </c>
      <c r="K76" s="64">
        <f>3.8503 * CHOOSE(CONTROL!$C$22, $C$13, 100%, $E$13)</f>
        <v>3.8502999999999998</v>
      </c>
      <c r="L76" s="4"/>
      <c r="M76" s="4"/>
      <c r="N76" s="4"/>
    </row>
    <row r="77" spans="1:14" ht="15">
      <c r="A77" s="13">
        <v>43831</v>
      </c>
      <c r="B77" s="63">
        <f>3.167 * CHOOSE(CONTROL!$C$22, $C$13, 100%, $E$13)</f>
        <v>3.1669999999999998</v>
      </c>
      <c r="C77" s="63">
        <f>3.167 * CHOOSE(CONTROL!$C$22, $C$13, 100%, $E$13)</f>
        <v>3.1669999999999998</v>
      </c>
      <c r="D77" s="63">
        <f>3.167 * CHOOSE(CONTROL!$C$22, $C$13, 100%, $E$13)</f>
        <v>3.1669999999999998</v>
      </c>
      <c r="E77" s="64">
        <f>3.8608 * CHOOSE(CONTROL!$C$22, $C$13, 100%, $E$13)</f>
        <v>3.8607999999999998</v>
      </c>
      <c r="F77" s="64">
        <f>3.8608 * CHOOSE(CONTROL!$C$22, $C$13, 100%, $E$13)</f>
        <v>3.8607999999999998</v>
      </c>
      <c r="G77" s="64">
        <f>3.8609 * CHOOSE(CONTROL!$C$22, $C$13, 100%, $E$13)</f>
        <v>3.8609</v>
      </c>
      <c r="H77" s="64">
        <f>6.3331* CHOOSE(CONTROL!$C$22, $C$13, 100%, $E$13)</f>
        <v>6.3331</v>
      </c>
      <c r="I77" s="64">
        <f>6.3332 * CHOOSE(CONTROL!$C$22, $C$13, 100%, $E$13)</f>
        <v>6.3331999999999997</v>
      </c>
      <c r="J77" s="64">
        <f>3.8608 * CHOOSE(CONTROL!$C$22, $C$13, 100%, $E$13)</f>
        <v>3.8607999999999998</v>
      </c>
      <c r="K77" s="64">
        <f>3.8609 * CHOOSE(CONTROL!$C$22, $C$13, 100%, $E$13)</f>
        <v>3.8609</v>
      </c>
      <c r="L77" s="4"/>
      <c r="M77" s="4"/>
      <c r="N77" s="4"/>
    </row>
    <row r="78" spans="1:14" ht="15">
      <c r="A78" s="13">
        <v>43862</v>
      </c>
      <c r="B78" s="63">
        <f>3.164 * CHOOSE(CONTROL!$C$22, $C$13, 100%, $E$13)</f>
        <v>3.1640000000000001</v>
      </c>
      <c r="C78" s="63">
        <f>3.164 * CHOOSE(CONTROL!$C$22, $C$13, 100%, $E$13)</f>
        <v>3.1640000000000001</v>
      </c>
      <c r="D78" s="63">
        <f>3.164 * CHOOSE(CONTROL!$C$22, $C$13, 100%, $E$13)</f>
        <v>3.1640000000000001</v>
      </c>
      <c r="E78" s="64">
        <f>3.8041 * CHOOSE(CONTROL!$C$22, $C$13, 100%, $E$13)</f>
        <v>3.8041</v>
      </c>
      <c r="F78" s="64">
        <f>3.8041 * CHOOSE(CONTROL!$C$22, $C$13, 100%, $E$13)</f>
        <v>3.8041</v>
      </c>
      <c r="G78" s="64">
        <f>3.8041 * CHOOSE(CONTROL!$C$22, $C$13, 100%, $E$13)</f>
        <v>3.8041</v>
      </c>
      <c r="H78" s="64">
        <f>6.3463* CHOOSE(CONTROL!$C$22, $C$13, 100%, $E$13)</f>
        <v>6.3463000000000003</v>
      </c>
      <c r="I78" s="64">
        <f>6.3464 * CHOOSE(CONTROL!$C$22, $C$13, 100%, $E$13)</f>
        <v>6.3464</v>
      </c>
      <c r="J78" s="64">
        <f>3.8041 * CHOOSE(CONTROL!$C$22, $C$13, 100%, $E$13)</f>
        <v>3.8041</v>
      </c>
      <c r="K78" s="64">
        <f>3.8041 * CHOOSE(CONTROL!$C$22, $C$13, 100%, $E$13)</f>
        <v>3.8041</v>
      </c>
      <c r="L78" s="4"/>
      <c r="M78" s="4"/>
      <c r="N78" s="4"/>
    </row>
    <row r="79" spans="1:14" ht="15">
      <c r="A79" s="13">
        <v>43891</v>
      </c>
      <c r="B79" s="63">
        <f>3.1609 * CHOOSE(CONTROL!$C$22, $C$13, 100%, $E$13)</f>
        <v>3.1608999999999998</v>
      </c>
      <c r="C79" s="63">
        <f>3.1609 * CHOOSE(CONTROL!$C$22, $C$13, 100%, $E$13)</f>
        <v>3.1608999999999998</v>
      </c>
      <c r="D79" s="63">
        <f>3.1609 * CHOOSE(CONTROL!$C$22, $C$13, 100%, $E$13)</f>
        <v>3.1608999999999998</v>
      </c>
      <c r="E79" s="64">
        <f>3.845 * CHOOSE(CONTROL!$C$22, $C$13, 100%, $E$13)</f>
        <v>3.8450000000000002</v>
      </c>
      <c r="F79" s="64">
        <f>3.845 * CHOOSE(CONTROL!$C$22, $C$13, 100%, $E$13)</f>
        <v>3.8450000000000002</v>
      </c>
      <c r="G79" s="64">
        <f>3.8451 * CHOOSE(CONTROL!$C$22, $C$13, 100%, $E$13)</f>
        <v>3.8451</v>
      </c>
      <c r="H79" s="64">
        <f>6.3595* CHOOSE(CONTROL!$C$22, $C$13, 100%, $E$13)</f>
        <v>6.3594999999999997</v>
      </c>
      <c r="I79" s="64">
        <f>6.3596 * CHOOSE(CONTROL!$C$22, $C$13, 100%, $E$13)</f>
        <v>6.3596000000000004</v>
      </c>
      <c r="J79" s="64">
        <f>3.845 * CHOOSE(CONTROL!$C$22, $C$13, 100%, $E$13)</f>
        <v>3.8450000000000002</v>
      </c>
      <c r="K79" s="64">
        <f>3.8451 * CHOOSE(CONTROL!$C$22, $C$13, 100%, $E$13)</f>
        <v>3.8451</v>
      </c>
      <c r="L79" s="4"/>
      <c r="M79" s="4"/>
      <c r="N79" s="4"/>
    </row>
    <row r="80" spans="1:14" ht="15">
      <c r="A80" s="13">
        <v>43922</v>
      </c>
      <c r="B80" s="63">
        <f>3.1577 * CHOOSE(CONTROL!$C$22, $C$13, 100%, $E$13)</f>
        <v>3.1577000000000002</v>
      </c>
      <c r="C80" s="63">
        <f>3.1577 * CHOOSE(CONTROL!$C$22, $C$13, 100%, $E$13)</f>
        <v>3.1577000000000002</v>
      </c>
      <c r="D80" s="63">
        <f>3.1577 * CHOOSE(CONTROL!$C$22, $C$13, 100%, $E$13)</f>
        <v>3.1577000000000002</v>
      </c>
      <c r="E80" s="64">
        <f>3.8871 * CHOOSE(CONTROL!$C$22, $C$13, 100%, $E$13)</f>
        <v>3.8871000000000002</v>
      </c>
      <c r="F80" s="64">
        <f>3.8871 * CHOOSE(CONTROL!$C$22, $C$13, 100%, $E$13)</f>
        <v>3.8871000000000002</v>
      </c>
      <c r="G80" s="64">
        <f>3.8872 * CHOOSE(CONTROL!$C$22, $C$13, 100%, $E$13)</f>
        <v>3.8872</v>
      </c>
      <c r="H80" s="64">
        <f>6.3728* CHOOSE(CONTROL!$C$22, $C$13, 100%, $E$13)</f>
        <v>6.3727999999999998</v>
      </c>
      <c r="I80" s="64">
        <f>6.3729 * CHOOSE(CONTROL!$C$22, $C$13, 100%, $E$13)</f>
        <v>6.3728999999999996</v>
      </c>
      <c r="J80" s="64">
        <f>3.8871 * CHOOSE(CONTROL!$C$22, $C$13, 100%, $E$13)</f>
        <v>3.8871000000000002</v>
      </c>
      <c r="K80" s="64">
        <f>3.8872 * CHOOSE(CONTROL!$C$22, $C$13, 100%, $E$13)</f>
        <v>3.8872</v>
      </c>
      <c r="L80" s="4"/>
      <c r="M80" s="4"/>
      <c r="N80" s="4"/>
    </row>
    <row r="81" spans="1:14" ht="15">
      <c r="A81" s="13">
        <v>43952</v>
      </c>
      <c r="B81" s="63">
        <f>3.1577 * CHOOSE(CONTROL!$C$22, $C$13, 100%, $E$13)</f>
        <v>3.1577000000000002</v>
      </c>
      <c r="C81" s="63">
        <f>3.1577 * CHOOSE(CONTROL!$C$22, $C$13, 100%, $E$13)</f>
        <v>3.1577000000000002</v>
      </c>
      <c r="D81" s="63">
        <f>3.1662 * CHOOSE(CONTROL!$C$22, $C$13, 100%, $E$13)</f>
        <v>3.1661999999999999</v>
      </c>
      <c r="E81" s="64">
        <f>3.9044 * CHOOSE(CONTROL!$C$22, $C$13, 100%, $E$13)</f>
        <v>3.9043999999999999</v>
      </c>
      <c r="F81" s="64">
        <f>3.9044 * CHOOSE(CONTROL!$C$22, $C$13, 100%, $E$13)</f>
        <v>3.9043999999999999</v>
      </c>
      <c r="G81" s="64">
        <f>3.9147 * CHOOSE(CONTROL!$C$22, $C$13, 100%, $E$13)</f>
        <v>3.9146999999999998</v>
      </c>
      <c r="H81" s="64">
        <f>6.3861* CHOOSE(CONTROL!$C$22, $C$13, 100%, $E$13)</f>
        <v>6.3860999999999999</v>
      </c>
      <c r="I81" s="64">
        <f>6.3963 * CHOOSE(CONTROL!$C$22, $C$13, 100%, $E$13)</f>
        <v>6.3963000000000001</v>
      </c>
      <c r="J81" s="64">
        <f>3.9044 * CHOOSE(CONTROL!$C$22, $C$13, 100%, $E$13)</f>
        <v>3.9043999999999999</v>
      </c>
      <c r="K81" s="64">
        <f>3.9147 * CHOOSE(CONTROL!$C$22, $C$13, 100%, $E$13)</f>
        <v>3.9146999999999998</v>
      </c>
      <c r="L81" s="4"/>
      <c r="M81" s="4"/>
      <c r="N81" s="4"/>
    </row>
    <row r="82" spans="1:14" ht="15">
      <c r="A82" s="13">
        <v>43983</v>
      </c>
      <c r="B82" s="63">
        <f>3.1638 * CHOOSE(CONTROL!$C$22, $C$13, 100%, $E$13)</f>
        <v>3.1638000000000002</v>
      </c>
      <c r="C82" s="63">
        <f>3.1638 * CHOOSE(CONTROL!$C$22, $C$13, 100%, $E$13)</f>
        <v>3.1638000000000002</v>
      </c>
      <c r="D82" s="63">
        <f>3.1722 * CHOOSE(CONTROL!$C$22, $C$13, 100%, $E$13)</f>
        <v>3.1722000000000001</v>
      </c>
      <c r="E82" s="64">
        <f>3.8913 * CHOOSE(CONTROL!$C$22, $C$13, 100%, $E$13)</f>
        <v>3.8913000000000002</v>
      </c>
      <c r="F82" s="64">
        <f>3.8913 * CHOOSE(CONTROL!$C$22, $C$13, 100%, $E$13)</f>
        <v>3.8913000000000002</v>
      </c>
      <c r="G82" s="64">
        <f>3.9015 * CHOOSE(CONTROL!$C$22, $C$13, 100%, $E$13)</f>
        <v>3.9015</v>
      </c>
      <c r="H82" s="64">
        <f>6.3994* CHOOSE(CONTROL!$C$22, $C$13, 100%, $E$13)</f>
        <v>6.3994</v>
      </c>
      <c r="I82" s="64">
        <f>6.4096 * CHOOSE(CONTROL!$C$22, $C$13, 100%, $E$13)</f>
        <v>6.4096000000000002</v>
      </c>
      <c r="J82" s="64">
        <f>3.8913 * CHOOSE(CONTROL!$C$22, $C$13, 100%, $E$13)</f>
        <v>3.8913000000000002</v>
      </c>
      <c r="K82" s="64">
        <f>3.9015 * CHOOSE(CONTROL!$C$22, $C$13, 100%, $E$13)</f>
        <v>3.9015</v>
      </c>
      <c r="L82" s="4"/>
      <c r="M82" s="4"/>
      <c r="N82" s="4"/>
    </row>
    <row r="83" spans="1:14" ht="15">
      <c r="A83" s="13">
        <v>44013</v>
      </c>
      <c r="B83" s="63">
        <f>3.2348 * CHOOSE(CONTROL!$C$22, $C$13, 100%, $E$13)</f>
        <v>3.2347999999999999</v>
      </c>
      <c r="C83" s="63">
        <f>3.2348 * CHOOSE(CONTROL!$C$22, $C$13, 100%, $E$13)</f>
        <v>3.2347999999999999</v>
      </c>
      <c r="D83" s="63">
        <f>3.2432 * CHOOSE(CONTROL!$C$22, $C$13, 100%, $E$13)</f>
        <v>3.2431999999999999</v>
      </c>
      <c r="E83" s="64">
        <f>3.6313 * CHOOSE(CONTROL!$C$22, $C$13, 100%, $E$13)</f>
        <v>3.6313</v>
      </c>
      <c r="F83" s="64">
        <f>3.6313 * CHOOSE(CONTROL!$C$22, $C$13, 100%, $E$13)</f>
        <v>3.6313</v>
      </c>
      <c r="G83" s="64">
        <f>3.6415 * CHOOSE(CONTROL!$C$22, $C$13, 100%, $E$13)</f>
        <v>3.6415000000000002</v>
      </c>
      <c r="H83" s="64">
        <f>6.4127* CHOOSE(CONTROL!$C$22, $C$13, 100%, $E$13)</f>
        <v>6.4127000000000001</v>
      </c>
      <c r="I83" s="64">
        <f>6.4229 * CHOOSE(CONTROL!$C$22, $C$13, 100%, $E$13)</f>
        <v>6.4229000000000003</v>
      </c>
      <c r="J83" s="64">
        <f>3.6313 * CHOOSE(CONTROL!$C$22, $C$13, 100%, $E$13)</f>
        <v>3.6313</v>
      </c>
      <c r="K83" s="64">
        <f>3.6415 * CHOOSE(CONTROL!$C$22, $C$13, 100%, $E$13)</f>
        <v>3.6415000000000002</v>
      </c>
      <c r="L83" s="4"/>
      <c r="M83" s="4"/>
      <c r="N83" s="4"/>
    </row>
    <row r="84" spans="1:14" ht="15">
      <c r="A84" s="13">
        <v>44044</v>
      </c>
      <c r="B84" s="63">
        <f>3.2415 * CHOOSE(CONTROL!$C$22, $C$13, 100%, $E$13)</f>
        <v>3.2414999999999998</v>
      </c>
      <c r="C84" s="63">
        <f>3.2415 * CHOOSE(CONTROL!$C$22, $C$13, 100%, $E$13)</f>
        <v>3.2414999999999998</v>
      </c>
      <c r="D84" s="63">
        <f>3.2499 * CHOOSE(CONTROL!$C$22, $C$13, 100%, $E$13)</f>
        <v>3.2498999999999998</v>
      </c>
      <c r="E84" s="64">
        <f>3.5839 * CHOOSE(CONTROL!$C$22, $C$13, 100%, $E$13)</f>
        <v>3.5838999999999999</v>
      </c>
      <c r="F84" s="64">
        <f>3.5839 * CHOOSE(CONTROL!$C$22, $C$13, 100%, $E$13)</f>
        <v>3.5838999999999999</v>
      </c>
      <c r="G84" s="64">
        <f>3.5941 * CHOOSE(CONTROL!$C$22, $C$13, 100%, $E$13)</f>
        <v>3.5941000000000001</v>
      </c>
      <c r="H84" s="64">
        <f>6.4261* CHOOSE(CONTROL!$C$22, $C$13, 100%, $E$13)</f>
        <v>6.4260999999999999</v>
      </c>
      <c r="I84" s="64">
        <f>6.4363 * CHOOSE(CONTROL!$C$22, $C$13, 100%, $E$13)</f>
        <v>6.4363000000000001</v>
      </c>
      <c r="J84" s="64">
        <f>3.5839 * CHOOSE(CONTROL!$C$22, $C$13, 100%, $E$13)</f>
        <v>3.5838999999999999</v>
      </c>
      <c r="K84" s="64">
        <f>3.5941 * CHOOSE(CONTROL!$C$22, $C$13, 100%, $E$13)</f>
        <v>3.5941000000000001</v>
      </c>
      <c r="L84" s="4"/>
      <c r="M84" s="4"/>
      <c r="N84" s="4"/>
    </row>
    <row r="85" spans="1:14" ht="15">
      <c r="A85" s="13">
        <v>44075</v>
      </c>
      <c r="B85" s="63">
        <f>3.2384 * CHOOSE(CONTROL!$C$22, $C$13, 100%, $E$13)</f>
        <v>3.2383999999999999</v>
      </c>
      <c r="C85" s="63">
        <f>3.2384 * CHOOSE(CONTROL!$C$22, $C$13, 100%, $E$13)</f>
        <v>3.2383999999999999</v>
      </c>
      <c r="D85" s="63">
        <f>3.2469 * CHOOSE(CONTROL!$C$22, $C$13, 100%, $E$13)</f>
        <v>3.2469000000000001</v>
      </c>
      <c r="E85" s="64">
        <f>3.576 * CHOOSE(CONTROL!$C$22, $C$13, 100%, $E$13)</f>
        <v>3.5760000000000001</v>
      </c>
      <c r="F85" s="64">
        <f>3.576 * CHOOSE(CONTROL!$C$22, $C$13, 100%, $E$13)</f>
        <v>3.5760000000000001</v>
      </c>
      <c r="G85" s="64">
        <f>3.5862 * CHOOSE(CONTROL!$C$22, $C$13, 100%, $E$13)</f>
        <v>3.5861999999999998</v>
      </c>
      <c r="H85" s="64">
        <f>6.4394* CHOOSE(CONTROL!$C$22, $C$13, 100%, $E$13)</f>
        <v>6.4394</v>
      </c>
      <c r="I85" s="64">
        <f>6.4497 * CHOOSE(CONTROL!$C$22, $C$13, 100%, $E$13)</f>
        <v>6.4497</v>
      </c>
      <c r="J85" s="64">
        <f>3.576 * CHOOSE(CONTROL!$C$22, $C$13, 100%, $E$13)</f>
        <v>3.5760000000000001</v>
      </c>
      <c r="K85" s="64">
        <f>3.5862 * CHOOSE(CONTROL!$C$22, $C$13, 100%, $E$13)</f>
        <v>3.5861999999999998</v>
      </c>
      <c r="L85" s="4"/>
      <c r="M85" s="4"/>
      <c r="N85" s="4"/>
    </row>
    <row r="86" spans="1:14" ht="15">
      <c r="A86" s="13">
        <v>44105</v>
      </c>
      <c r="B86" s="63">
        <f>3.2304 * CHOOSE(CONTROL!$C$22, $C$13, 100%, $E$13)</f>
        <v>3.2303999999999999</v>
      </c>
      <c r="C86" s="63">
        <f>3.2304 * CHOOSE(CONTROL!$C$22, $C$13, 100%, $E$13)</f>
        <v>3.2303999999999999</v>
      </c>
      <c r="D86" s="63">
        <f>3.2304 * CHOOSE(CONTROL!$C$22, $C$13, 100%, $E$13)</f>
        <v>3.2303999999999999</v>
      </c>
      <c r="E86" s="64">
        <f>3.5857 * CHOOSE(CONTROL!$C$22, $C$13, 100%, $E$13)</f>
        <v>3.5857000000000001</v>
      </c>
      <c r="F86" s="64">
        <f>3.5857 * CHOOSE(CONTROL!$C$22, $C$13, 100%, $E$13)</f>
        <v>3.5857000000000001</v>
      </c>
      <c r="G86" s="64">
        <f>3.5858 * CHOOSE(CONTROL!$C$22, $C$13, 100%, $E$13)</f>
        <v>3.5857999999999999</v>
      </c>
      <c r="H86" s="64">
        <f>6.4529* CHOOSE(CONTROL!$C$22, $C$13, 100%, $E$13)</f>
        <v>6.4528999999999996</v>
      </c>
      <c r="I86" s="64">
        <f>6.4529 * CHOOSE(CONTROL!$C$22, $C$13, 100%, $E$13)</f>
        <v>6.4528999999999996</v>
      </c>
      <c r="J86" s="64">
        <f>3.5857 * CHOOSE(CONTROL!$C$22, $C$13, 100%, $E$13)</f>
        <v>3.5857000000000001</v>
      </c>
      <c r="K86" s="64">
        <f>3.5858 * CHOOSE(CONTROL!$C$22, $C$13, 100%, $E$13)</f>
        <v>3.5857999999999999</v>
      </c>
      <c r="L86" s="4"/>
      <c r="M86" s="4"/>
      <c r="N86" s="4"/>
    </row>
    <row r="87" spans="1:14" ht="15">
      <c r="A87" s="13">
        <v>44136</v>
      </c>
      <c r="B87" s="63">
        <f>3.2335 * CHOOSE(CONTROL!$C$22, $C$13, 100%, $E$13)</f>
        <v>3.2334999999999998</v>
      </c>
      <c r="C87" s="63">
        <f>3.2335 * CHOOSE(CONTROL!$C$22, $C$13, 100%, $E$13)</f>
        <v>3.2334999999999998</v>
      </c>
      <c r="D87" s="63">
        <f>3.2335 * CHOOSE(CONTROL!$C$22, $C$13, 100%, $E$13)</f>
        <v>3.2334999999999998</v>
      </c>
      <c r="E87" s="64">
        <f>3.5994 * CHOOSE(CONTROL!$C$22, $C$13, 100%, $E$13)</f>
        <v>3.5994000000000002</v>
      </c>
      <c r="F87" s="64">
        <f>3.5994 * CHOOSE(CONTROL!$C$22, $C$13, 100%, $E$13)</f>
        <v>3.5994000000000002</v>
      </c>
      <c r="G87" s="64">
        <f>3.5995 * CHOOSE(CONTROL!$C$22, $C$13, 100%, $E$13)</f>
        <v>3.5994999999999999</v>
      </c>
      <c r="H87" s="64">
        <f>6.4663* CHOOSE(CONTROL!$C$22, $C$13, 100%, $E$13)</f>
        <v>6.4663000000000004</v>
      </c>
      <c r="I87" s="64">
        <f>6.4664 * CHOOSE(CONTROL!$C$22, $C$13, 100%, $E$13)</f>
        <v>6.4664000000000001</v>
      </c>
      <c r="J87" s="64">
        <f>3.5994 * CHOOSE(CONTROL!$C$22, $C$13, 100%, $E$13)</f>
        <v>3.5994000000000002</v>
      </c>
      <c r="K87" s="64">
        <f>3.5995 * CHOOSE(CONTROL!$C$22, $C$13, 100%, $E$13)</f>
        <v>3.5994999999999999</v>
      </c>
      <c r="L87" s="4"/>
      <c r="M87" s="4"/>
      <c r="N87" s="4"/>
    </row>
    <row r="88" spans="1:14" ht="15">
      <c r="A88" s="13">
        <v>44166</v>
      </c>
      <c r="B88" s="63">
        <f>3.2335 * CHOOSE(CONTROL!$C$22, $C$13, 100%, $E$13)</f>
        <v>3.2334999999999998</v>
      </c>
      <c r="C88" s="63">
        <f>3.2335 * CHOOSE(CONTROL!$C$22, $C$13, 100%, $E$13)</f>
        <v>3.2334999999999998</v>
      </c>
      <c r="D88" s="63">
        <f>3.2335 * CHOOSE(CONTROL!$C$22, $C$13, 100%, $E$13)</f>
        <v>3.2334999999999998</v>
      </c>
      <c r="E88" s="64">
        <f>3.5704 * CHOOSE(CONTROL!$C$22, $C$13, 100%, $E$13)</f>
        <v>3.5703999999999998</v>
      </c>
      <c r="F88" s="64">
        <f>3.5704 * CHOOSE(CONTROL!$C$22, $C$13, 100%, $E$13)</f>
        <v>3.5703999999999998</v>
      </c>
      <c r="G88" s="64">
        <f>3.5705 * CHOOSE(CONTROL!$C$22, $C$13, 100%, $E$13)</f>
        <v>3.5705</v>
      </c>
      <c r="H88" s="64">
        <f>6.4798* CHOOSE(CONTROL!$C$22, $C$13, 100%, $E$13)</f>
        <v>6.4798</v>
      </c>
      <c r="I88" s="64">
        <f>6.4799 * CHOOSE(CONTROL!$C$22, $C$13, 100%, $E$13)</f>
        <v>6.4798999999999998</v>
      </c>
      <c r="J88" s="64">
        <f>3.5704 * CHOOSE(CONTROL!$C$22, $C$13, 100%, $E$13)</f>
        <v>3.5703999999999998</v>
      </c>
      <c r="K88" s="64">
        <f>3.5705 * CHOOSE(CONTROL!$C$22, $C$13, 100%, $E$13)</f>
        <v>3.5705</v>
      </c>
      <c r="L88" s="4"/>
      <c r="M88" s="4"/>
      <c r="N88" s="4"/>
    </row>
    <row r="89" spans="1:14" ht="15">
      <c r="A89" s="13">
        <v>44197</v>
      </c>
      <c r="B89" s="63">
        <f>3.2543 * CHOOSE(CONTROL!$C$22, $C$13, 100%, $E$13)</f>
        <v>3.2543000000000002</v>
      </c>
      <c r="C89" s="63">
        <f>3.2543 * CHOOSE(CONTROL!$C$22, $C$13, 100%, $E$13)</f>
        <v>3.2543000000000002</v>
      </c>
      <c r="D89" s="63">
        <f>3.2543 * CHOOSE(CONTROL!$C$22, $C$13, 100%, $E$13)</f>
        <v>3.2543000000000002</v>
      </c>
      <c r="E89" s="64">
        <f>3.6909 * CHOOSE(CONTROL!$C$22, $C$13, 100%, $E$13)</f>
        <v>3.6909000000000001</v>
      </c>
      <c r="F89" s="64">
        <f>3.6909 * CHOOSE(CONTROL!$C$22, $C$13, 100%, $E$13)</f>
        <v>3.6909000000000001</v>
      </c>
      <c r="G89" s="64">
        <f>3.6909 * CHOOSE(CONTROL!$C$22, $C$13, 100%, $E$13)</f>
        <v>3.6909000000000001</v>
      </c>
      <c r="H89" s="64">
        <f>6.4933* CHOOSE(CONTROL!$C$22, $C$13, 100%, $E$13)</f>
        <v>6.4932999999999996</v>
      </c>
      <c r="I89" s="64">
        <f>6.4934 * CHOOSE(CONTROL!$C$22, $C$13, 100%, $E$13)</f>
        <v>6.4934000000000003</v>
      </c>
      <c r="J89" s="64">
        <f>3.6909 * CHOOSE(CONTROL!$C$22, $C$13, 100%, $E$13)</f>
        <v>3.6909000000000001</v>
      </c>
      <c r="K89" s="64">
        <f>3.6909 * CHOOSE(CONTROL!$C$22, $C$13, 100%, $E$13)</f>
        <v>3.6909000000000001</v>
      </c>
      <c r="L89" s="4"/>
      <c r="M89" s="4"/>
      <c r="N89" s="4"/>
    </row>
    <row r="90" spans="1:14" ht="15">
      <c r="A90" s="13">
        <v>44228</v>
      </c>
      <c r="B90" s="63">
        <f>3.2513 * CHOOSE(CONTROL!$C$22, $C$13, 100%, $E$13)</f>
        <v>3.2513000000000001</v>
      </c>
      <c r="C90" s="63">
        <f>3.2513 * CHOOSE(CONTROL!$C$22, $C$13, 100%, $E$13)</f>
        <v>3.2513000000000001</v>
      </c>
      <c r="D90" s="63">
        <f>3.2513 * CHOOSE(CONTROL!$C$22, $C$13, 100%, $E$13)</f>
        <v>3.2513000000000001</v>
      </c>
      <c r="E90" s="64">
        <f>3.6298 * CHOOSE(CONTROL!$C$22, $C$13, 100%, $E$13)</f>
        <v>3.6297999999999999</v>
      </c>
      <c r="F90" s="64">
        <f>3.6298 * CHOOSE(CONTROL!$C$22, $C$13, 100%, $E$13)</f>
        <v>3.6297999999999999</v>
      </c>
      <c r="G90" s="64">
        <f>3.6299 * CHOOSE(CONTROL!$C$22, $C$13, 100%, $E$13)</f>
        <v>3.6299000000000001</v>
      </c>
      <c r="H90" s="64">
        <f>6.5068* CHOOSE(CONTROL!$C$22, $C$13, 100%, $E$13)</f>
        <v>6.5068000000000001</v>
      </c>
      <c r="I90" s="64">
        <f>6.5069 * CHOOSE(CONTROL!$C$22, $C$13, 100%, $E$13)</f>
        <v>6.5068999999999999</v>
      </c>
      <c r="J90" s="64">
        <f>3.6298 * CHOOSE(CONTROL!$C$22, $C$13, 100%, $E$13)</f>
        <v>3.6297999999999999</v>
      </c>
      <c r="K90" s="64">
        <f>3.6299 * CHOOSE(CONTROL!$C$22, $C$13, 100%, $E$13)</f>
        <v>3.6299000000000001</v>
      </c>
      <c r="L90" s="4"/>
      <c r="M90" s="4"/>
      <c r="N90" s="4"/>
    </row>
    <row r="91" spans="1:14" ht="15">
      <c r="A91" s="13">
        <v>44256</v>
      </c>
      <c r="B91" s="63">
        <f>3.2482 * CHOOSE(CONTROL!$C$22, $C$13, 100%, $E$13)</f>
        <v>3.2482000000000002</v>
      </c>
      <c r="C91" s="63">
        <f>3.2482 * CHOOSE(CONTROL!$C$22, $C$13, 100%, $E$13)</f>
        <v>3.2482000000000002</v>
      </c>
      <c r="D91" s="63">
        <f>3.2482 * CHOOSE(CONTROL!$C$22, $C$13, 100%, $E$13)</f>
        <v>3.2482000000000002</v>
      </c>
      <c r="E91" s="64">
        <f>3.6741 * CHOOSE(CONTROL!$C$22, $C$13, 100%, $E$13)</f>
        <v>3.6741000000000001</v>
      </c>
      <c r="F91" s="64">
        <f>3.6741 * CHOOSE(CONTROL!$C$22, $C$13, 100%, $E$13)</f>
        <v>3.6741000000000001</v>
      </c>
      <c r="G91" s="64">
        <f>3.6742 * CHOOSE(CONTROL!$C$22, $C$13, 100%, $E$13)</f>
        <v>3.6741999999999999</v>
      </c>
      <c r="H91" s="64">
        <f>6.5204* CHOOSE(CONTROL!$C$22, $C$13, 100%, $E$13)</f>
        <v>6.5204000000000004</v>
      </c>
      <c r="I91" s="64">
        <f>6.5204 * CHOOSE(CONTROL!$C$22, $C$13, 100%, $E$13)</f>
        <v>6.5204000000000004</v>
      </c>
      <c r="J91" s="64">
        <f>3.6741 * CHOOSE(CONTROL!$C$22, $C$13, 100%, $E$13)</f>
        <v>3.6741000000000001</v>
      </c>
      <c r="K91" s="64">
        <f>3.6742 * CHOOSE(CONTROL!$C$22, $C$13, 100%, $E$13)</f>
        <v>3.6741999999999999</v>
      </c>
      <c r="L91" s="4"/>
      <c r="M91" s="4"/>
      <c r="N91" s="4"/>
    </row>
    <row r="92" spans="1:14" ht="15">
      <c r="A92" s="13">
        <v>44287</v>
      </c>
      <c r="B92" s="63">
        <f>3.2451 * CHOOSE(CONTROL!$C$22, $C$13, 100%, $E$13)</f>
        <v>3.2450999999999999</v>
      </c>
      <c r="C92" s="63">
        <f>3.2451 * CHOOSE(CONTROL!$C$22, $C$13, 100%, $E$13)</f>
        <v>3.2450999999999999</v>
      </c>
      <c r="D92" s="63">
        <f>3.2451 * CHOOSE(CONTROL!$C$22, $C$13, 100%, $E$13)</f>
        <v>3.2450999999999999</v>
      </c>
      <c r="E92" s="64">
        <f>3.7198 * CHOOSE(CONTROL!$C$22, $C$13, 100%, $E$13)</f>
        <v>3.7198000000000002</v>
      </c>
      <c r="F92" s="64">
        <f>3.7198 * CHOOSE(CONTROL!$C$22, $C$13, 100%, $E$13)</f>
        <v>3.7198000000000002</v>
      </c>
      <c r="G92" s="64">
        <f>3.7199 * CHOOSE(CONTROL!$C$22, $C$13, 100%, $E$13)</f>
        <v>3.7199</v>
      </c>
      <c r="H92" s="64">
        <f>6.5339* CHOOSE(CONTROL!$C$22, $C$13, 100%, $E$13)</f>
        <v>6.5339</v>
      </c>
      <c r="I92" s="64">
        <f>6.534 * CHOOSE(CONTROL!$C$22, $C$13, 100%, $E$13)</f>
        <v>6.5339999999999998</v>
      </c>
      <c r="J92" s="64">
        <f>3.7198 * CHOOSE(CONTROL!$C$22, $C$13, 100%, $E$13)</f>
        <v>3.7198000000000002</v>
      </c>
      <c r="K92" s="64">
        <f>3.7199 * CHOOSE(CONTROL!$C$22, $C$13, 100%, $E$13)</f>
        <v>3.7199</v>
      </c>
      <c r="L92" s="4"/>
      <c r="M92" s="4"/>
      <c r="N92" s="4"/>
    </row>
    <row r="93" spans="1:14" ht="15">
      <c r="A93" s="13">
        <v>44317</v>
      </c>
      <c r="B93" s="63">
        <f>3.2451 * CHOOSE(CONTROL!$C$22, $C$13, 100%, $E$13)</f>
        <v>3.2450999999999999</v>
      </c>
      <c r="C93" s="63">
        <f>3.2451 * CHOOSE(CONTROL!$C$22, $C$13, 100%, $E$13)</f>
        <v>3.2450999999999999</v>
      </c>
      <c r="D93" s="63">
        <f>3.2535 * CHOOSE(CONTROL!$C$22, $C$13, 100%, $E$13)</f>
        <v>3.2534999999999998</v>
      </c>
      <c r="E93" s="64">
        <f>3.7385 * CHOOSE(CONTROL!$C$22, $C$13, 100%, $E$13)</f>
        <v>3.7385000000000002</v>
      </c>
      <c r="F93" s="64">
        <f>3.7385 * CHOOSE(CONTROL!$C$22, $C$13, 100%, $E$13)</f>
        <v>3.7385000000000002</v>
      </c>
      <c r="G93" s="64">
        <f>3.7487 * CHOOSE(CONTROL!$C$22, $C$13, 100%, $E$13)</f>
        <v>3.7486999999999999</v>
      </c>
      <c r="H93" s="64">
        <f>6.5476* CHOOSE(CONTROL!$C$22, $C$13, 100%, $E$13)</f>
        <v>6.5476000000000001</v>
      </c>
      <c r="I93" s="64">
        <f>6.5578 * CHOOSE(CONTROL!$C$22, $C$13, 100%, $E$13)</f>
        <v>6.5578000000000003</v>
      </c>
      <c r="J93" s="64">
        <f>3.7385 * CHOOSE(CONTROL!$C$22, $C$13, 100%, $E$13)</f>
        <v>3.7385000000000002</v>
      </c>
      <c r="K93" s="64">
        <f>3.7487 * CHOOSE(CONTROL!$C$22, $C$13, 100%, $E$13)</f>
        <v>3.7486999999999999</v>
      </c>
      <c r="L93" s="4"/>
      <c r="M93" s="4"/>
      <c r="N93" s="4"/>
    </row>
    <row r="94" spans="1:14" ht="15">
      <c r="A94" s="13">
        <v>44348</v>
      </c>
      <c r="B94" s="63">
        <f>3.2512 * CHOOSE(CONTROL!$C$22, $C$13, 100%, $E$13)</f>
        <v>3.2511999999999999</v>
      </c>
      <c r="C94" s="63">
        <f>3.2512 * CHOOSE(CONTROL!$C$22, $C$13, 100%, $E$13)</f>
        <v>3.2511999999999999</v>
      </c>
      <c r="D94" s="63">
        <f>3.2596 * CHOOSE(CONTROL!$C$22, $C$13, 100%, $E$13)</f>
        <v>3.2595999999999998</v>
      </c>
      <c r="E94" s="64">
        <f>3.724 * CHOOSE(CONTROL!$C$22, $C$13, 100%, $E$13)</f>
        <v>3.7240000000000002</v>
      </c>
      <c r="F94" s="64">
        <f>3.724 * CHOOSE(CONTROL!$C$22, $C$13, 100%, $E$13)</f>
        <v>3.7240000000000002</v>
      </c>
      <c r="G94" s="64">
        <f>3.7343 * CHOOSE(CONTROL!$C$22, $C$13, 100%, $E$13)</f>
        <v>3.7343000000000002</v>
      </c>
      <c r="H94" s="64">
        <f>6.5612* CHOOSE(CONTROL!$C$22, $C$13, 100%, $E$13)</f>
        <v>6.5612000000000004</v>
      </c>
      <c r="I94" s="64">
        <f>6.5714 * CHOOSE(CONTROL!$C$22, $C$13, 100%, $E$13)</f>
        <v>6.5713999999999997</v>
      </c>
      <c r="J94" s="64">
        <f>3.724 * CHOOSE(CONTROL!$C$22, $C$13, 100%, $E$13)</f>
        <v>3.7240000000000002</v>
      </c>
      <c r="K94" s="64">
        <f>3.7343 * CHOOSE(CONTROL!$C$22, $C$13, 100%, $E$13)</f>
        <v>3.7343000000000002</v>
      </c>
      <c r="L94" s="4"/>
      <c r="M94" s="4"/>
      <c r="N94" s="4"/>
    </row>
    <row r="95" spans="1:14" ht="15">
      <c r="A95" s="13">
        <v>44378</v>
      </c>
      <c r="B95" s="63">
        <f>3.2867 * CHOOSE(CONTROL!$C$22, $C$13, 100%, $E$13)</f>
        <v>3.2867000000000002</v>
      </c>
      <c r="C95" s="63">
        <f>3.2867 * CHOOSE(CONTROL!$C$22, $C$13, 100%, $E$13)</f>
        <v>3.2867000000000002</v>
      </c>
      <c r="D95" s="63">
        <f>3.2951 * CHOOSE(CONTROL!$C$22, $C$13, 100%, $E$13)</f>
        <v>3.2951000000000001</v>
      </c>
      <c r="E95" s="64">
        <f>3.8884 * CHOOSE(CONTROL!$C$22, $C$13, 100%, $E$13)</f>
        <v>3.8883999999999999</v>
      </c>
      <c r="F95" s="64">
        <f>3.8884 * CHOOSE(CONTROL!$C$22, $C$13, 100%, $E$13)</f>
        <v>3.8883999999999999</v>
      </c>
      <c r="G95" s="64">
        <f>3.8986 * CHOOSE(CONTROL!$C$22, $C$13, 100%, $E$13)</f>
        <v>3.8986000000000001</v>
      </c>
      <c r="H95" s="64">
        <f>6.5749* CHOOSE(CONTROL!$C$22, $C$13, 100%, $E$13)</f>
        <v>6.5749000000000004</v>
      </c>
      <c r="I95" s="64">
        <f>6.5851 * CHOOSE(CONTROL!$C$22, $C$13, 100%, $E$13)</f>
        <v>6.5850999999999997</v>
      </c>
      <c r="J95" s="64">
        <f>3.8884 * CHOOSE(CONTROL!$C$22, $C$13, 100%, $E$13)</f>
        <v>3.8883999999999999</v>
      </c>
      <c r="K95" s="64">
        <f>3.8986 * CHOOSE(CONTROL!$C$22, $C$13, 100%, $E$13)</f>
        <v>3.8986000000000001</v>
      </c>
      <c r="L95" s="4"/>
      <c r="M95" s="4"/>
      <c r="N95" s="4"/>
    </row>
    <row r="96" spans="1:14" ht="15">
      <c r="A96" s="13">
        <v>44409</v>
      </c>
      <c r="B96" s="63">
        <f>3.2934 * CHOOSE(CONTROL!$C$22, $C$13, 100%, $E$13)</f>
        <v>3.2934000000000001</v>
      </c>
      <c r="C96" s="63">
        <f>3.2934 * CHOOSE(CONTROL!$C$22, $C$13, 100%, $E$13)</f>
        <v>3.2934000000000001</v>
      </c>
      <c r="D96" s="63">
        <f>3.3018 * CHOOSE(CONTROL!$C$22, $C$13, 100%, $E$13)</f>
        <v>3.3018000000000001</v>
      </c>
      <c r="E96" s="64">
        <f>3.8369 * CHOOSE(CONTROL!$C$22, $C$13, 100%, $E$13)</f>
        <v>3.8369</v>
      </c>
      <c r="F96" s="64">
        <f>3.8369 * CHOOSE(CONTROL!$C$22, $C$13, 100%, $E$13)</f>
        <v>3.8369</v>
      </c>
      <c r="G96" s="64">
        <f>3.8471 * CHOOSE(CONTROL!$C$22, $C$13, 100%, $E$13)</f>
        <v>3.8471000000000002</v>
      </c>
      <c r="H96" s="64">
        <f>6.5886* CHOOSE(CONTROL!$C$22, $C$13, 100%, $E$13)</f>
        <v>6.5885999999999996</v>
      </c>
      <c r="I96" s="64">
        <f>6.5988 * CHOOSE(CONTROL!$C$22, $C$13, 100%, $E$13)</f>
        <v>6.5987999999999998</v>
      </c>
      <c r="J96" s="64">
        <f>3.8369 * CHOOSE(CONTROL!$C$22, $C$13, 100%, $E$13)</f>
        <v>3.8369</v>
      </c>
      <c r="K96" s="64">
        <f>3.8471 * CHOOSE(CONTROL!$C$22, $C$13, 100%, $E$13)</f>
        <v>3.8471000000000002</v>
      </c>
      <c r="L96" s="4"/>
      <c r="M96" s="4"/>
      <c r="N96" s="4"/>
    </row>
    <row r="97" spans="1:14" ht="15">
      <c r="A97" s="13">
        <v>44440</v>
      </c>
      <c r="B97" s="63">
        <f>3.2903 * CHOOSE(CONTROL!$C$22, $C$13, 100%, $E$13)</f>
        <v>3.2902999999999998</v>
      </c>
      <c r="C97" s="63">
        <f>3.2903 * CHOOSE(CONTROL!$C$22, $C$13, 100%, $E$13)</f>
        <v>3.2902999999999998</v>
      </c>
      <c r="D97" s="63">
        <f>3.2988 * CHOOSE(CONTROL!$C$22, $C$13, 100%, $E$13)</f>
        <v>3.2988</v>
      </c>
      <c r="E97" s="64">
        <f>3.8285 * CHOOSE(CONTROL!$C$22, $C$13, 100%, $E$13)</f>
        <v>3.8285</v>
      </c>
      <c r="F97" s="64">
        <f>3.8285 * CHOOSE(CONTROL!$C$22, $C$13, 100%, $E$13)</f>
        <v>3.8285</v>
      </c>
      <c r="G97" s="64">
        <f>3.8388 * CHOOSE(CONTROL!$C$22, $C$13, 100%, $E$13)</f>
        <v>3.8388</v>
      </c>
      <c r="H97" s="64">
        <f>6.6023* CHOOSE(CONTROL!$C$22, $C$13, 100%, $E$13)</f>
        <v>6.6022999999999996</v>
      </c>
      <c r="I97" s="64">
        <f>6.6125 * CHOOSE(CONTROL!$C$22, $C$13, 100%, $E$13)</f>
        <v>6.6124999999999998</v>
      </c>
      <c r="J97" s="64">
        <f>3.8285 * CHOOSE(CONTROL!$C$22, $C$13, 100%, $E$13)</f>
        <v>3.8285</v>
      </c>
      <c r="K97" s="64">
        <f>3.8388 * CHOOSE(CONTROL!$C$22, $C$13, 100%, $E$13)</f>
        <v>3.8388</v>
      </c>
      <c r="L97" s="4"/>
      <c r="M97" s="4"/>
      <c r="N97" s="4"/>
    </row>
    <row r="98" spans="1:14" ht="15">
      <c r="A98" s="13">
        <v>44470</v>
      </c>
      <c r="B98" s="63">
        <f>3.2826 * CHOOSE(CONTROL!$C$22, $C$13, 100%, $E$13)</f>
        <v>3.2826</v>
      </c>
      <c r="C98" s="63">
        <f>3.2826 * CHOOSE(CONTROL!$C$22, $C$13, 100%, $E$13)</f>
        <v>3.2826</v>
      </c>
      <c r="D98" s="63">
        <f>3.2826 * CHOOSE(CONTROL!$C$22, $C$13, 100%, $E$13)</f>
        <v>3.2826</v>
      </c>
      <c r="E98" s="64">
        <f>3.8401 * CHOOSE(CONTROL!$C$22, $C$13, 100%, $E$13)</f>
        <v>3.8401000000000001</v>
      </c>
      <c r="F98" s="64">
        <f>3.8401 * CHOOSE(CONTROL!$C$22, $C$13, 100%, $E$13)</f>
        <v>3.8401000000000001</v>
      </c>
      <c r="G98" s="64">
        <f>3.8402 * CHOOSE(CONTROL!$C$22, $C$13, 100%, $E$13)</f>
        <v>3.8401999999999998</v>
      </c>
      <c r="H98" s="64">
        <f>6.616* CHOOSE(CONTROL!$C$22, $C$13, 100%, $E$13)</f>
        <v>6.6159999999999997</v>
      </c>
      <c r="I98" s="64">
        <f>6.6161 * CHOOSE(CONTROL!$C$22, $C$13, 100%, $E$13)</f>
        <v>6.6161000000000003</v>
      </c>
      <c r="J98" s="64">
        <f>3.8401 * CHOOSE(CONTROL!$C$22, $C$13, 100%, $E$13)</f>
        <v>3.8401000000000001</v>
      </c>
      <c r="K98" s="64">
        <f>3.8402 * CHOOSE(CONTROL!$C$22, $C$13, 100%, $E$13)</f>
        <v>3.8401999999999998</v>
      </c>
      <c r="L98" s="4"/>
      <c r="M98" s="4"/>
      <c r="N98" s="4"/>
    </row>
    <row r="99" spans="1:14" ht="15">
      <c r="A99" s="13">
        <v>44501</v>
      </c>
      <c r="B99" s="63">
        <f>3.2856 * CHOOSE(CONTROL!$C$22, $C$13, 100%, $E$13)</f>
        <v>3.2856000000000001</v>
      </c>
      <c r="C99" s="63">
        <f>3.2856 * CHOOSE(CONTROL!$C$22, $C$13, 100%, $E$13)</f>
        <v>3.2856000000000001</v>
      </c>
      <c r="D99" s="63">
        <f>3.2856 * CHOOSE(CONTROL!$C$22, $C$13, 100%, $E$13)</f>
        <v>3.2856000000000001</v>
      </c>
      <c r="E99" s="64">
        <f>3.8547 * CHOOSE(CONTROL!$C$22, $C$13, 100%, $E$13)</f>
        <v>3.8546999999999998</v>
      </c>
      <c r="F99" s="64">
        <f>3.8547 * CHOOSE(CONTROL!$C$22, $C$13, 100%, $E$13)</f>
        <v>3.8546999999999998</v>
      </c>
      <c r="G99" s="64">
        <f>3.8547 * CHOOSE(CONTROL!$C$22, $C$13, 100%, $E$13)</f>
        <v>3.8546999999999998</v>
      </c>
      <c r="H99" s="64">
        <f>6.6298* CHOOSE(CONTROL!$C$22, $C$13, 100%, $E$13)</f>
        <v>6.6298000000000004</v>
      </c>
      <c r="I99" s="64">
        <f>6.6299 * CHOOSE(CONTROL!$C$22, $C$13, 100%, $E$13)</f>
        <v>6.6299000000000001</v>
      </c>
      <c r="J99" s="64">
        <f>3.8547 * CHOOSE(CONTROL!$C$22, $C$13, 100%, $E$13)</f>
        <v>3.8546999999999998</v>
      </c>
      <c r="K99" s="64">
        <f>3.8547 * CHOOSE(CONTROL!$C$22, $C$13, 100%, $E$13)</f>
        <v>3.8546999999999998</v>
      </c>
      <c r="L99" s="4"/>
      <c r="M99" s="4"/>
      <c r="N99" s="4"/>
    </row>
    <row r="100" spans="1:14" ht="15">
      <c r="A100" s="13">
        <v>44531</v>
      </c>
      <c r="B100" s="63">
        <f>3.2856 * CHOOSE(CONTROL!$C$22, $C$13, 100%, $E$13)</f>
        <v>3.2856000000000001</v>
      </c>
      <c r="C100" s="63">
        <f>3.2856 * CHOOSE(CONTROL!$C$22, $C$13, 100%, $E$13)</f>
        <v>3.2856000000000001</v>
      </c>
      <c r="D100" s="63">
        <f>3.2856 * CHOOSE(CONTROL!$C$22, $C$13, 100%, $E$13)</f>
        <v>3.2856000000000001</v>
      </c>
      <c r="E100" s="64">
        <f>3.8235 * CHOOSE(CONTROL!$C$22, $C$13, 100%, $E$13)</f>
        <v>3.8235000000000001</v>
      </c>
      <c r="F100" s="64">
        <f>3.8235 * CHOOSE(CONTROL!$C$22, $C$13, 100%, $E$13)</f>
        <v>3.8235000000000001</v>
      </c>
      <c r="G100" s="64">
        <f>3.8236 * CHOOSE(CONTROL!$C$22, $C$13, 100%, $E$13)</f>
        <v>3.8235999999999999</v>
      </c>
      <c r="H100" s="64">
        <f>6.6436* CHOOSE(CONTROL!$C$22, $C$13, 100%, $E$13)</f>
        <v>6.6436000000000002</v>
      </c>
      <c r="I100" s="64">
        <f>6.6437 * CHOOSE(CONTROL!$C$22, $C$13, 100%, $E$13)</f>
        <v>6.6436999999999999</v>
      </c>
      <c r="J100" s="64">
        <f>3.8235 * CHOOSE(CONTROL!$C$22, $C$13, 100%, $E$13)</f>
        <v>3.8235000000000001</v>
      </c>
      <c r="K100" s="64">
        <f>3.8236 * CHOOSE(CONTROL!$C$22, $C$13, 100%, $E$13)</f>
        <v>3.8235999999999999</v>
      </c>
      <c r="L100" s="4"/>
      <c r="M100" s="4"/>
      <c r="N100" s="4"/>
    </row>
    <row r="101" spans="1:14" ht="15">
      <c r="A101" s="13">
        <v>44562</v>
      </c>
      <c r="B101" s="63">
        <f>3.315 * CHOOSE(CONTROL!$C$22, $C$13, 100%, $E$13)</f>
        <v>3.3149999999999999</v>
      </c>
      <c r="C101" s="63">
        <f>3.315 * CHOOSE(CONTROL!$C$22, $C$13, 100%, $E$13)</f>
        <v>3.3149999999999999</v>
      </c>
      <c r="D101" s="63">
        <f>3.3151 * CHOOSE(CONTROL!$C$22, $C$13, 100%, $E$13)</f>
        <v>3.3151000000000002</v>
      </c>
      <c r="E101" s="64">
        <f>3.9024 * CHOOSE(CONTROL!$C$22, $C$13, 100%, $E$13)</f>
        <v>3.9024000000000001</v>
      </c>
      <c r="F101" s="64">
        <f>3.9024 * CHOOSE(CONTROL!$C$22, $C$13, 100%, $E$13)</f>
        <v>3.9024000000000001</v>
      </c>
      <c r="G101" s="64">
        <f>3.9025 * CHOOSE(CONTROL!$C$22, $C$13, 100%, $E$13)</f>
        <v>3.9024999999999999</v>
      </c>
      <c r="H101" s="64">
        <f>6.6575* CHOOSE(CONTROL!$C$22, $C$13, 100%, $E$13)</f>
        <v>6.6574999999999998</v>
      </c>
      <c r="I101" s="64">
        <f>6.6576 * CHOOSE(CONTROL!$C$22, $C$13, 100%, $E$13)</f>
        <v>6.6576000000000004</v>
      </c>
      <c r="J101" s="64">
        <f>3.9024 * CHOOSE(CONTROL!$C$22, $C$13, 100%, $E$13)</f>
        <v>3.9024000000000001</v>
      </c>
      <c r="K101" s="64">
        <f>3.9025 * CHOOSE(CONTROL!$C$22, $C$13, 100%, $E$13)</f>
        <v>3.9024999999999999</v>
      </c>
      <c r="L101" s="4"/>
      <c r="M101" s="4"/>
      <c r="N101" s="4"/>
    </row>
    <row r="102" spans="1:14" ht="15">
      <c r="A102" s="13">
        <v>44593</v>
      </c>
      <c r="B102" s="63">
        <f>3.312 * CHOOSE(CONTROL!$C$22, $C$13, 100%, $E$13)</f>
        <v>3.3119999999999998</v>
      </c>
      <c r="C102" s="63">
        <f>3.312 * CHOOSE(CONTROL!$C$22, $C$13, 100%, $E$13)</f>
        <v>3.3119999999999998</v>
      </c>
      <c r="D102" s="63">
        <f>3.312 * CHOOSE(CONTROL!$C$22, $C$13, 100%, $E$13)</f>
        <v>3.3119999999999998</v>
      </c>
      <c r="E102" s="64">
        <f>3.8381 * CHOOSE(CONTROL!$C$22, $C$13, 100%, $E$13)</f>
        <v>3.8380999999999998</v>
      </c>
      <c r="F102" s="64">
        <f>3.8381 * CHOOSE(CONTROL!$C$22, $C$13, 100%, $E$13)</f>
        <v>3.8380999999999998</v>
      </c>
      <c r="G102" s="64">
        <f>3.8382 * CHOOSE(CONTROL!$C$22, $C$13, 100%, $E$13)</f>
        <v>3.8382000000000001</v>
      </c>
      <c r="H102" s="64">
        <f>6.6713* CHOOSE(CONTROL!$C$22, $C$13, 100%, $E$13)</f>
        <v>6.6712999999999996</v>
      </c>
      <c r="I102" s="64">
        <f>6.6714 * CHOOSE(CONTROL!$C$22, $C$13, 100%, $E$13)</f>
        <v>6.6714000000000002</v>
      </c>
      <c r="J102" s="64">
        <f>3.8381 * CHOOSE(CONTROL!$C$22, $C$13, 100%, $E$13)</f>
        <v>3.8380999999999998</v>
      </c>
      <c r="K102" s="64">
        <f>3.8382 * CHOOSE(CONTROL!$C$22, $C$13, 100%, $E$13)</f>
        <v>3.8382000000000001</v>
      </c>
      <c r="L102" s="4"/>
      <c r="M102" s="4"/>
      <c r="N102" s="4"/>
    </row>
    <row r="103" spans="1:14" ht="15">
      <c r="A103" s="13">
        <v>44621</v>
      </c>
      <c r="B103" s="63">
        <f>3.309 * CHOOSE(CONTROL!$C$22, $C$13, 100%, $E$13)</f>
        <v>3.3090000000000002</v>
      </c>
      <c r="C103" s="63">
        <f>3.309 * CHOOSE(CONTROL!$C$22, $C$13, 100%, $E$13)</f>
        <v>3.3090000000000002</v>
      </c>
      <c r="D103" s="63">
        <f>3.309 * CHOOSE(CONTROL!$C$22, $C$13, 100%, $E$13)</f>
        <v>3.3090000000000002</v>
      </c>
      <c r="E103" s="64">
        <f>3.885 * CHOOSE(CONTROL!$C$22, $C$13, 100%, $E$13)</f>
        <v>3.8849999999999998</v>
      </c>
      <c r="F103" s="64">
        <f>3.885 * CHOOSE(CONTROL!$C$22, $C$13, 100%, $E$13)</f>
        <v>3.8849999999999998</v>
      </c>
      <c r="G103" s="64">
        <f>3.8851 * CHOOSE(CONTROL!$C$22, $C$13, 100%, $E$13)</f>
        <v>3.8851</v>
      </c>
      <c r="H103" s="64">
        <f>6.6852* CHOOSE(CONTROL!$C$22, $C$13, 100%, $E$13)</f>
        <v>6.6852</v>
      </c>
      <c r="I103" s="64">
        <f>6.6853 * CHOOSE(CONTROL!$C$22, $C$13, 100%, $E$13)</f>
        <v>6.6852999999999998</v>
      </c>
      <c r="J103" s="64">
        <f>3.885 * CHOOSE(CONTROL!$C$22, $C$13, 100%, $E$13)</f>
        <v>3.8849999999999998</v>
      </c>
      <c r="K103" s="64">
        <f>3.8851 * CHOOSE(CONTROL!$C$22, $C$13, 100%, $E$13)</f>
        <v>3.8851</v>
      </c>
      <c r="L103" s="4"/>
      <c r="M103" s="4"/>
      <c r="N103" s="4"/>
    </row>
    <row r="104" spans="1:14" ht="15">
      <c r="A104" s="13">
        <v>44652</v>
      </c>
      <c r="B104" s="63">
        <f>3.3059 * CHOOSE(CONTROL!$C$22, $C$13, 100%, $E$13)</f>
        <v>3.3058999999999998</v>
      </c>
      <c r="C104" s="63">
        <f>3.3059 * CHOOSE(CONTROL!$C$22, $C$13, 100%, $E$13)</f>
        <v>3.3058999999999998</v>
      </c>
      <c r="D104" s="63">
        <f>3.3059 * CHOOSE(CONTROL!$C$22, $C$13, 100%, $E$13)</f>
        <v>3.3058999999999998</v>
      </c>
      <c r="E104" s="64">
        <f>3.9334 * CHOOSE(CONTROL!$C$22, $C$13, 100%, $E$13)</f>
        <v>3.9333999999999998</v>
      </c>
      <c r="F104" s="64">
        <f>3.9334 * CHOOSE(CONTROL!$C$22, $C$13, 100%, $E$13)</f>
        <v>3.9333999999999998</v>
      </c>
      <c r="G104" s="64">
        <f>3.9335 * CHOOSE(CONTROL!$C$22, $C$13, 100%, $E$13)</f>
        <v>3.9335</v>
      </c>
      <c r="H104" s="64">
        <f>6.6992* CHOOSE(CONTROL!$C$22, $C$13, 100%, $E$13)</f>
        <v>6.6992000000000003</v>
      </c>
      <c r="I104" s="64">
        <f>6.6993 * CHOOSE(CONTROL!$C$22, $C$13, 100%, $E$13)</f>
        <v>6.6993</v>
      </c>
      <c r="J104" s="64">
        <f>3.9334 * CHOOSE(CONTROL!$C$22, $C$13, 100%, $E$13)</f>
        <v>3.9333999999999998</v>
      </c>
      <c r="K104" s="64">
        <f>3.9335 * CHOOSE(CONTROL!$C$22, $C$13, 100%, $E$13)</f>
        <v>3.9335</v>
      </c>
      <c r="L104" s="4"/>
      <c r="M104" s="4"/>
      <c r="N104" s="4"/>
    </row>
    <row r="105" spans="1:14" ht="15">
      <c r="A105" s="13">
        <v>44682</v>
      </c>
      <c r="B105" s="63">
        <f>3.3059 * CHOOSE(CONTROL!$C$22, $C$13, 100%, $E$13)</f>
        <v>3.3058999999999998</v>
      </c>
      <c r="C105" s="63">
        <f>3.3059 * CHOOSE(CONTROL!$C$22, $C$13, 100%, $E$13)</f>
        <v>3.3058999999999998</v>
      </c>
      <c r="D105" s="63">
        <f>3.3143 * CHOOSE(CONTROL!$C$22, $C$13, 100%, $E$13)</f>
        <v>3.3142999999999998</v>
      </c>
      <c r="E105" s="64">
        <f>3.9531 * CHOOSE(CONTROL!$C$22, $C$13, 100%, $E$13)</f>
        <v>3.9531000000000001</v>
      </c>
      <c r="F105" s="64">
        <f>3.9531 * CHOOSE(CONTROL!$C$22, $C$13, 100%, $E$13)</f>
        <v>3.9531000000000001</v>
      </c>
      <c r="G105" s="64">
        <f>3.9634 * CHOOSE(CONTROL!$C$22, $C$13, 100%, $E$13)</f>
        <v>3.9634</v>
      </c>
      <c r="H105" s="64">
        <f>6.7131* CHOOSE(CONTROL!$C$22, $C$13, 100%, $E$13)</f>
        <v>6.7130999999999998</v>
      </c>
      <c r="I105" s="64">
        <f>6.7234 * CHOOSE(CONTROL!$C$22, $C$13, 100%, $E$13)</f>
        <v>6.7233999999999998</v>
      </c>
      <c r="J105" s="64">
        <f>3.9531 * CHOOSE(CONTROL!$C$22, $C$13, 100%, $E$13)</f>
        <v>3.9531000000000001</v>
      </c>
      <c r="K105" s="64">
        <f>3.9634 * CHOOSE(CONTROL!$C$22, $C$13, 100%, $E$13)</f>
        <v>3.9634</v>
      </c>
      <c r="L105" s="4"/>
      <c r="M105" s="4"/>
      <c r="N105" s="4"/>
    </row>
    <row r="106" spans="1:14" ht="15">
      <c r="A106" s="13">
        <v>44713</v>
      </c>
      <c r="B106" s="63">
        <f>3.312 * CHOOSE(CONTROL!$C$22, $C$13, 100%, $E$13)</f>
        <v>3.3119999999999998</v>
      </c>
      <c r="C106" s="63">
        <f>3.312 * CHOOSE(CONTROL!$C$22, $C$13, 100%, $E$13)</f>
        <v>3.3119999999999998</v>
      </c>
      <c r="D106" s="63">
        <f>3.3204 * CHOOSE(CONTROL!$C$22, $C$13, 100%, $E$13)</f>
        <v>3.3203999999999998</v>
      </c>
      <c r="E106" s="64">
        <f>3.9376 * CHOOSE(CONTROL!$C$22, $C$13, 100%, $E$13)</f>
        <v>3.9376000000000002</v>
      </c>
      <c r="F106" s="64">
        <f>3.9376 * CHOOSE(CONTROL!$C$22, $C$13, 100%, $E$13)</f>
        <v>3.9376000000000002</v>
      </c>
      <c r="G106" s="64">
        <f>3.9479 * CHOOSE(CONTROL!$C$22, $C$13, 100%, $E$13)</f>
        <v>3.9479000000000002</v>
      </c>
      <c r="H106" s="64">
        <f>6.7271* CHOOSE(CONTROL!$C$22, $C$13, 100%, $E$13)</f>
        <v>6.7271000000000001</v>
      </c>
      <c r="I106" s="64">
        <f>6.7373 * CHOOSE(CONTROL!$C$22, $C$13, 100%, $E$13)</f>
        <v>6.7373000000000003</v>
      </c>
      <c r="J106" s="64">
        <f>3.9376 * CHOOSE(CONTROL!$C$22, $C$13, 100%, $E$13)</f>
        <v>3.9376000000000002</v>
      </c>
      <c r="K106" s="64">
        <f>3.9479 * CHOOSE(CONTROL!$C$22, $C$13, 100%, $E$13)</f>
        <v>3.9479000000000002</v>
      </c>
      <c r="L106" s="4"/>
      <c r="M106" s="4"/>
      <c r="N106" s="4"/>
    </row>
    <row r="107" spans="1:14" ht="15">
      <c r="A107" s="13">
        <v>44743</v>
      </c>
      <c r="B107" s="63">
        <f>3.3675 * CHOOSE(CONTROL!$C$22, $C$13, 100%, $E$13)</f>
        <v>3.3675000000000002</v>
      </c>
      <c r="C107" s="63">
        <f>3.3675 * CHOOSE(CONTROL!$C$22, $C$13, 100%, $E$13)</f>
        <v>3.3675000000000002</v>
      </c>
      <c r="D107" s="63">
        <f>3.3759 * CHOOSE(CONTROL!$C$22, $C$13, 100%, $E$13)</f>
        <v>3.3759000000000001</v>
      </c>
      <c r="E107" s="64">
        <f>4.0252 * CHOOSE(CONTROL!$C$22, $C$13, 100%, $E$13)</f>
        <v>4.0251999999999999</v>
      </c>
      <c r="F107" s="64">
        <f>4.0252 * CHOOSE(CONTROL!$C$22, $C$13, 100%, $E$13)</f>
        <v>4.0251999999999999</v>
      </c>
      <c r="G107" s="64">
        <f>4.0354 * CHOOSE(CONTROL!$C$22, $C$13, 100%, $E$13)</f>
        <v>4.0354000000000001</v>
      </c>
      <c r="H107" s="64">
        <f>6.7411* CHOOSE(CONTROL!$C$22, $C$13, 100%, $E$13)</f>
        <v>6.7411000000000003</v>
      </c>
      <c r="I107" s="64">
        <f>6.7514 * CHOOSE(CONTROL!$C$22, $C$13, 100%, $E$13)</f>
        <v>6.7514000000000003</v>
      </c>
      <c r="J107" s="64">
        <f>4.0252 * CHOOSE(CONTROL!$C$22, $C$13, 100%, $E$13)</f>
        <v>4.0251999999999999</v>
      </c>
      <c r="K107" s="64">
        <f>4.0354 * CHOOSE(CONTROL!$C$22, $C$13, 100%, $E$13)</f>
        <v>4.0354000000000001</v>
      </c>
      <c r="L107" s="4"/>
      <c r="M107" s="4"/>
      <c r="N107" s="4"/>
    </row>
    <row r="108" spans="1:14" ht="15">
      <c r="A108" s="13">
        <v>44774</v>
      </c>
      <c r="B108" s="63">
        <f>3.3742 * CHOOSE(CONTROL!$C$22, $C$13, 100%, $E$13)</f>
        <v>3.3742000000000001</v>
      </c>
      <c r="C108" s="63">
        <f>3.3742 * CHOOSE(CONTROL!$C$22, $C$13, 100%, $E$13)</f>
        <v>3.3742000000000001</v>
      </c>
      <c r="D108" s="63">
        <f>3.3826 * CHOOSE(CONTROL!$C$22, $C$13, 100%, $E$13)</f>
        <v>3.3826000000000001</v>
      </c>
      <c r="E108" s="64">
        <f>3.9706 * CHOOSE(CONTROL!$C$22, $C$13, 100%, $E$13)</f>
        <v>3.9706000000000001</v>
      </c>
      <c r="F108" s="64">
        <f>3.9706 * CHOOSE(CONTROL!$C$22, $C$13, 100%, $E$13)</f>
        <v>3.9706000000000001</v>
      </c>
      <c r="G108" s="64">
        <f>3.9808 * CHOOSE(CONTROL!$C$22, $C$13, 100%, $E$13)</f>
        <v>3.9807999999999999</v>
      </c>
      <c r="H108" s="64">
        <f>6.7552* CHOOSE(CONTROL!$C$22, $C$13, 100%, $E$13)</f>
        <v>6.7552000000000003</v>
      </c>
      <c r="I108" s="64">
        <f>6.7654 * CHOOSE(CONTROL!$C$22, $C$13, 100%, $E$13)</f>
        <v>6.7653999999999996</v>
      </c>
      <c r="J108" s="64">
        <f>3.9706 * CHOOSE(CONTROL!$C$22, $C$13, 100%, $E$13)</f>
        <v>3.9706000000000001</v>
      </c>
      <c r="K108" s="64">
        <f>3.9808 * CHOOSE(CONTROL!$C$22, $C$13, 100%, $E$13)</f>
        <v>3.9807999999999999</v>
      </c>
      <c r="L108" s="4"/>
      <c r="M108" s="4"/>
      <c r="N108" s="4"/>
    </row>
    <row r="109" spans="1:14" ht="15">
      <c r="A109" s="13">
        <v>44805</v>
      </c>
      <c r="B109" s="63">
        <f>3.3711 * CHOOSE(CONTROL!$C$22, $C$13, 100%, $E$13)</f>
        <v>3.3711000000000002</v>
      </c>
      <c r="C109" s="63">
        <f>3.3711 * CHOOSE(CONTROL!$C$22, $C$13, 100%, $E$13)</f>
        <v>3.3711000000000002</v>
      </c>
      <c r="D109" s="63">
        <f>3.3796 * CHOOSE(CONTROL!$C$22, $C$13, 100%, $E$13)</f>
        <v>3.3795999999999999</v>
      </c>
      <c r="E109" s="64">
        <f>3.9619 * CHOOSE(CONTROL!$C$22, $C$13, 100%, $E$13)</f>
        <v>3.9619</v>
      </c>
      <c r="F109" s="64">
        <f>3.9619 * CHOOSE(CONTROL!$C$22, $C$13, 100%, $E$13)</f>
        <v>3.9619</v>
      </c>
      <c r="G109" s="64">
        <f>3.9721 * CHOOSE(CONTROL!$C$22, $C$13, 100%, $E$13)</f>
        <v>3.9721000000000002</v>
      </c>
      <c r="H109" s="64">
        <f>6.7692* CHOOSE(CONTROL!$C$22, $C$13, 100%, $E$13)</f>
        <v>6.7691999999999997</v>
      </c>
      <c r="I109" s="64">
        <f>6.7795 * CHOOSE(CONTROL!$C$22, $C$13, 100%, $E$13)</f>
        <v>6.7794999999999996</v>
      </c>
      <c r="J109" s="64">
        <f>3.9619 * CHOOSE(CONTROL!$C$22, $C$13, 100%, $E$13)</f>
        <v>3.9619</v>
      </c>
      <c r="K109" s="64">
        <f>3.9721 * CHOOSE(CONTROL!$C$22, $C$13, 100%, $E$13)</f>
        <v>3.9721000000000002</v>
      </c>
      <c r="L109" s="4"/>
      <c r="M109" s="4"/>
      <c r="N109" s="4"/>
    </row>
    <row r="110" spans="1:14" ht="15">
      <c r="A110" s="13">
        <v>44835</v>
      </c>
      <c r="B110" s="63">
        <f>3.3637 * CHOOSE(CONTROL!$C$22, $C$13, 100%, $E$13)</f>
        <v>3.3637000000000001</v>
      </c>
      <c r="C110" s="63">
        <f>3.3637 * CHOOSE(CONTROL!$C$22, $C$13, 100%, $E$13)</f>
        <v>3.3637000000000001</v>
      </c>
      <c r="D110" s="63">
        <f>3.3637 * CHOOSE(CONTROL!$C$22, $C$13, 100%, $E$13)</f>
        <v>3.3637000000000001</v>
      </c>
      <c r="E110" s="64">
        <f>3.9748 * CHOOSE(CONTROL!$C$22, $C$13, 100%, $E$13)</f>
        <v>3.9748000000000001</v>
      </c>
      <c r="F110" s="64">
        <f>3.9748 * CHOOSE(CONTROL!$C$22, $C$13, 100%, $E$13)</f>
        <v>3.9748000000000001</v>
      </c>
      <c r="G110" s="64">
        <f>3.9749 * CHOOSE(CONTROL!$C$22, $C$13, 100%, $E$13)</f>
        <v>3.9748999999999999</v>
      </c>
      <c r="H110" s="64">
        <f>6.7834* CHOOSE(CONTROL!$C$22, $C$13, 100%, $E$13)</f>
        <v>6.7834000000000003</v>
      </c>
      <c r="I110" s="64">
        <f>6.7834 * CHOOSE(CONTROL!$C$22, $C$13, 100%, $E$13)</f>
        <v>6.7834000000000003</v>
      </c>
      <c r="J110" s="64">
        <f>3.9748 * CHOOSE(CONTROL!$C$22, $C$13, 100%, $E$13)</f>
        <v>3.9748000000000001</v>
      </c>
      <c r="K110" s="64">
        <f>3.9749 * CHOOSE(CONTROL!$C$22, $C$13, 100%, $E$13)</f>
        <v>3.9748999999999999</v>
      </c>
      <c r="L110" s="4"/>
      <c r="M110" s="4"/>
      <c r="N110" s="4"/>
    </row>
    <row r="111" spans="1:14" ht="15">
      <c r="A111" s="13">
        <v>44866</v>
      </c>
      <c r="B111" s="63">
        <f>3.3667 * CHOOSE(CONTROL!$C$22, $C$13, 100%, $E$13)</f>
        <v>3.3666999999999998</v>
      </c>
      <c r="C111" s="63">
        <f>3.3667 * CHOOSE(CONTROL!$C$22, $C$13, 100%, $E$13)</f>
        <v>3.3666999999999998</v>
      </c>
      <c r="D111" s="63">
        <f>3.3667 * CHOOSE(CONTROL!$C$22, $C$13, 100%, $E$13)</f>
        <v>3.3666999999999998</v>
      </c>
      <c r="E111" s="64">
        <f>3.9901 * CHOOSE(CONTROL!$C$22, $C$13, 100%, $E$13)</f>
        <v>3.9901</v>
      </c>
      <c r="F111" s="64">
        <f>3.9901 * CHOOSE(CONTROL!$C$22, $C$13, 100%, $E$13)</f>
        <v>3.9901</v>
      </c>
      <c r="G111" s="64">
        <f>3.9902 * CHOOSE(CONTROL!$C$22, $C$13, 100%, $E$13)</f>
        <v>3.9902000000000002</v>
      </c>
      <c r="H111" s="64">
        <f>6.7975* CHOOSE(CONTROL!$C$22, $C$13, 100%, $E$13)</f>
        <v>6.7975000000000003</v>
      </c>
      <c r="I111" s="64">
        <f>6.7976 * CHOOSE(CONTROL!$C$22, $C$13, 100%, $E$13)</f>
        <v>6.7976000000000001</v>
      </c>
      <c r="J111" s="64">
        <f>3.9901 * CHOOSE(CONTROL!$C$22, $C$13, 100%, $E$13)</f>
        <v>3.9901</v>
      </c>
      <c r="K111" s="64">
        <f>3.9902 * CHOOSE(CONTROL!$C$22, $C$13, 100%, $E$13)</f>
        <v>3.9902000000000002</v>
      </c>
      <c r="L111" s="4"/>
      <c r="M111" s="4"/>
      <c r="N111" s="4"/>
    </row>
    <row r="112" spans="1:14" ht="15">
      <c r="A112" s="13">
        <v>44896</v>
      </c>
      <c r="B112" s="63">
        <f>3.3667 * CHOOSE(CONTROL!$C$22, $C$13, 100%, $E$13)</f>
        <v>3.3666999999999998</v>
      </c>
      <c r="C112" s="63">
        <f>3.3667 * CHOOSE(CONTROL!$C$22, $C$13, 100%, $E$13)</f>
        <v>3.3666999999999998</v>
      </c>
      <c r="D112" s="63">
        <f>3.3667 * CHOOSE(CONTROL!$C$22, $C$13, 100%, $E$13)</f>
        <v>3.3666999999999998</v>
      </c>
      <c r="E112" s="64">
        <f>3.9572 * CHOOSE(CONTROL!$C$22, $C$13, 100%, $E$13)</f>
        <v>3.9571999999999998</v>
      </c>
      <c r="F112" s="64">
        <f>3.9572 * CHOOSE(CONTROL!$C$22, $C$13, 100%, $E$13)</f>
        <v>3.9571999999999998</v>
      </c>
      <c r="G112" s="64">
        <f>3.9573 * CHOOSE(CONTROL!$C$22, $C$13, 100%, $E$13)</f>
        <v>3.9573</v>
      </c>
      <c r="H112" s="64">
        <f>6.8116* CHOOSE(CONTROL!$C$22, $C$13, 100%, $E$13)</f>
        <v>6.8116000000000003</v>
      </c>
      <c r="I112" s="64">
        <f>6.8117 * CHOOSE(CONTROL!$C$22, $C$13, 100%, $E$13)</f>
        <v>6.8117000000000001</v>
      </c>
      <c r="J112" s="64">
        <f>3.9572 * CHOOSE(CONTROL!$C$22, $C$13, 100%, $E$13)</f>
        <v>3.9571999999999998</v>
      </c>
      <c r="K112" s="64">
        <f>3.9573 * CHOOSE(CONTROL!$C$22, $C$13, 100%, $E$13)</f>
        <v>3.9573</v>
      </c>
      <c r="L112" s="4"/>
      <c r="M112" s="4"/>
      <c r="N112" s="4"/>
    </row>
    <row r="113" spans="1:14" ht="15">
      <c r="A113" s="13">
        <v>44927</v>
      </c>
      <c r="B113" s="63">
        <f>3.3924 * CHOOSE(CONTROL!$C$22, $C$13, 100%, $E$13)</f>
        <v>3.3923999999999999</v>
      </c>
      <c r="C113" s="63">
        <f>3.3924 * CHOOSE(CONTROL!$C$22, $C$13, 100%, $E$13)</f>
        <v>3.3923999999999999</v>
      </c>
      <c r="D113" s="63">
        <f>3.3924 * CHOOSE(CONTROL!$C$22, $C$13, 100%, $E$13)</f>
        <v>3.3923999999999999</v>
      </c>
      <c r="E113" s="64">
        <f>4.0337 * CHOOSE(CONTROL!$C$22, $C$13, 100%, $E$13)</f>
        <v>4.0336999999999996</v>
      </c>
      <c r="F113" s="64">
        <f>4.0337 * CHOOSE(CONTROL!$C$22, $C$13, 100%, $E$13)</f>
        <v>4.0336999999999996</v>
      </c>
      <c r="G113" s="64">
        <f>4.0338 * CHOOSE(CONTROL!$C$22, $C$13, 100%, $E$13)</f>
        <v>4.0338000000000003</v>
      </c>
      <c r="H113" s="64">
        <f>6.8258* CHOOSE(CONTROL!$C$22, $C$13, 100%, $E$13)</f>
        <v>6.8258000000000001</v>
      </c>
      <c r="I113" s="64">
        <f>6.8259 * CHOOSE(CONTROL!$C$22, $C$13, 100%, $E$13)</f>
        <v>6.8258999999999999</v>
      </c>
      <c r="J113" s="64">
        <f>4.0337 * CHOOSE(CONTROL!$C$22, $C$13, 100%, $E$13)</f>
        <v>4.0336999999999996</v>
      </c>
      <c r="K113" s="64">
        <f>4.0338 * CHOOSE(CONTROL!$C$22, $C$13, 100%, $E$13)</f>
        <v>4.0338000000000003</v>
      </c>
      <c r="L113" s="4"/>
      <c r="M113" s="4"/>
      <c r="N113" s="4"/>
    </row>
    <row r="114" spans="1:14" ht="15">
      <c r="A114" s="13">
        <v>44958</v>
      </c>
      <c r="B114" s="63">
        <f>3.3894 * CHOOSE(CONTROL!$C$22, $C$13, 100%, $E$13)</f>
        <v>3.3894000000000002</v>
      </c>
      <c r="C114" s="63">
        <f>3.3894 * CHOOSE(CONTROL!$C$22, $C$13, 100%, $E$13)</f>
        <v>3.3894000000000002</v>
      </c>
      <c r="D114" s="63">
        <f>3.3894 * CHOOSE(CONTROL!$C$22, $C$13, 100%, $E$13)</f>
        <v>3.3894000000000002</v>
      </c>
      <c r="E114" s="64">
        <f>3.9661 * CHOOSE(CONTROL!$C$22, $C$13, 100%, $E$13)</f>
        <v>3.9661</v>
      </c>
      <c r="F114" s="64">
        <f>3.9661 * CHOOSE(CONTROL!$C$22, $C$13, 100%, $E$13)</f>
        <v>3.9661</v>
      </c>
      <c r="G114" s="64">
        <f>3.9662 * CHOOSE(CONTROL!$C$22, $C$13, 100%, $E$13)</f>
        <v>3.9662000000000002</v>
      </c>
      <c r="H114" s="64">
        <f>6.8401* CHOOSE(CONTROL!$C$22, $C$13, 100%, $E$13)</f>
        <v>6.8400999999999996</v>
      </c>
      <c r="I114" s="64">
        <f>6.8401 * CHOOSE(CONTROL!$C$22, $C$13, 100%, $E$13)</f>
        <v>6.8400999999999996</v>
      </c>
      <c r="J114" s="64">
        <f>3.9661 * CHOOSE(CONTROL!$C$22, $C$13, 100%, $E$13)</f>
        <v>3.9661</v>
      </c>
      <c r="K114" s="64">
        <f>3.9662 * CHOOSE(CONTROL!$C$22, $C$13, 100%, $E$13)</f>
        <v>3.9662000000000002</v>
      </c>
      <c r="L114" s="4"/>
      <c r="M114" s="4"/>
      <c r="N114" s="4"/>
    </row>
    <row r="115" spans="1:14" ht="15">
      <c r="A115" s="13">
        <v>44986</v>
      </c>
      <c r="B115" s="63">
        <f>3.3863 * CHOOSE(CONTROL!$C$22, $C$13, 100%, $E$13)</f>
        <v>3.3862999999999999</v>
      </c>
      <c r="C115" s="63">
        <f>3.3863 * CHOOSE(CONTROL!$C$22, $C$13, 100%, $E$13)</f>
        <v>3.3862999999999999</v>
      </c>
      <c r="D115" s="63">
        <f>3.3863 * CHOOSE(CONTROL!$C$22, $C$13, 100%, $E$13)</f>
        <v>3.3862999999999999</v>
      </c>
      <c r="E115" s="64">
        <f>4.0156 * CHOOSE(CONTROL!$C$22, $C$13, 100%, $E$13)</f>
        <v>4.0156000000000001</v>
      </c>
      <c r="F115" s="64">
        <f>4.0156 * CHOOSE(CONTROL!$C$22, $C$13, 100%, $E$13)</f>
        <v>4.0156000000000001</v>
      </c>
      <c r="G115" s="64">
        <f>4.0157 * CHOOSE(CONTROL!$C$22, $C$13, 100%, $E$13)</f>
        <v>4.0156999999999998</v>
      </c>
      <c r="H115" s="64">
        <f>6.8543* CHOOSE(CONTROL!$C$22, $C$13, 100%, $E$13)</f>
        <v>6.8543000000000003</v>
      </c>
      <c r="I115" s="64">
        <f>6.8544 * CHOOSE(CONTROL!$C$22, $C$13, 100%, $E$13)</f>
        <v>6.8544</v>
      </c>
      <c r="J115" s="64">
        <f>4.0156 * CHOOSE(CONTROL!$C$22, $C$13, 100%, $E$13)</f>
        <v>4.0156000000000001</v>
      </c>
      <c r="K115" s="64">
        <f>4.0157 * CHOOSE(CONTROL!$C$22, $C$13, 100%, $E$13)</f>
        <v>4.0156999999999998</v>
      </c>
      <c r="L115" s="4"/>
      <c r="M115" s="4"/>
      <c r="N115" s="4"/>
    </row>
    <row r="116" spans="1:14" ht="15">
      <c r="A116" s="13">
        <v>45017</v>
      </c>
      <c r="B116" s="63">
        <f>3.3833 * CHOOSE(CONTROL!$C$22, $C$13, 100%, $E$13)</f>
        <v>3.3833000000000002</v>
      </c>
      <c r="C116" s="63">
        <f>3.3833 * CHOOSE(CONTROL!$C$22, $C$13, 100%, $E$13)</f>
        <v>3.3833000000000002</v>
      </c>
      <c r="D116" s="63">
        <f>3.3833 * CHOOSE(CONTROL!$C$22, $C$13, 100%, $E$13)</f>
        <v>3.3833000000000002</v>
      </c>
      <c r="E116" s="64">
        <f>4.0669 * CHOOSE(CONTROL!$C$22, $C$13, 100%, $E$13)</f>
        <v>4.0669000000000004</v>
      </c>
      <c r="F116" s="64">
        <f>4.0669 * CHOOSE(CONTROL!$C$22, $C$13, 100%, $E$13)</f>
        <v>4.0669000000000004</v>
      </c>
      <c r="G116" s="64">
        <f>4.067 * CHOOSE(CONTROL!$C$22, $C$13, 100%, $E$13)</f>
        <v>4.0670000000000002</v>
      </c>
      <c r="H116" s="64">
        <f>6.8686* CHOOSE(CONTROL!$C$22, $C$13, 100%, $E$13)</f>
        <v>6.8685999999999998</v>
      </c>
      <c r="I116" s="64">
        <f>6.8687 * CHOOSE(CONTROL!$C$22, $C$13, 100%, $E$13)</f>
        <v>6.8686999999999996</v>
      </c>
      <c r="J116" s="64">
        <f>4.0669 * CHOOSE(CONTROL!$C$22, $C$13, 100%, $E$13)</f>
        <v>4.0669000000000004</v>
      </c>
      <c r="K116" s="64">
        <f>4.067 * CHOOSE(CONTROL!$C$22, $C$13, 100%, $E$13)</f>
        <v>4.0670000000000002</v>
      </c>
      <c r="L116" s="4"/>
      <c r="M116" s="4"/>
      <c r="N116" s="4"/>
    </row>
    <row r="117" spans="1:14" ht="15">
      <c r="A117" s="13">
        <v>45047</v>
      </c>
      <c r="B117" s="63">
        <f>3.3833 * CHOOSE(CONTROL!$C$22, $C$13, 100%, $E$13)</f>
        <v>3.3833000000000002</v>
      </c>
      <c r="C117" s="63">
        <f>3.3833 * CHOOSE(CONTROL!$C$22, $C$13, 100%, $E$13)</f>
        <v>3.3833000000000002</v>
      </c>
      <c r="D117" s="63">
        <f>3.3918 * CHOOSE(CONTROL!$C$22, $C$13, 100%, $E$13)</f>
        <v>3.3917999999999999</v>
      </c>
      <c r="E117" s="64">
        <f>4.0877 * CHOOSE(CONTROL!$C$22, $C$13, 100%, $E$13)</f>
        <v>4.0876999999999999</v>
      </c>
      <c r="F117" s="64">
        <f>4.0877 * CHOOSE(CONTROL!$C$22, $C$13, 100%, $E$13)</f>
        <v>4.0876999999999999</v>
      </c>
      <c r="G117" s="64">
        <f>4.0979 * CHOOSE(CONTROL!$C$22, $C$13, 100%, $E$13)</f>
        <v>4.0979000000000001</v>
      </c>
      <c r="H117" s="64">
        <f>6.8829* CHOOSE(CONTROL!$C$22, $C$13, 100%, $E$13)</f>
        <v>6.8829000000000002</v>
      </c>
      <c r="I117" s="64">
        <f>6.8931 * CHOOSE(CONTROL!$C$22, $C$13, 100%, $E$13)</f>
        <v>6.8930999999999996</v>
      </c>
      <c r="J117" s="64">
        <f>4.0877 * CHOOSE(CONTROL!$C$22, $C$13, 100%, $E$13)</f>
        <v>4.0876999999999999</v>
      </c>
      <c r="K117" s="64">
        <f>4.0979 * CHOOSE(CONTROL!$C$22, $C$13, 100%, $E$13)</f>
        <v>4.0979000000000001</v>
      </c>
      <c r="L117" s="4"/>
      <c r="M117" s="4"/>
      <c r="N117" s="4"/>
    </row>
    <row r="118" spans="1:14" ht="15">
      <c r="A118" s="13">
        <v>45078</v>
      </c>
      <c r="B118" s="63">
        <f>3.3894 * CHOOSE(CONTROL!$C$22, $C$13, 100%, $E$13)</f>
        <v>3.3894000000000002</v>
      </c>
      <c r="C118" s="63">
        <f>3.3894 * CHOOSE(CONTROL!$C$22, $C$13, 100%, $E$13)</f>
        <v>3.3894000000000002</v>
      </c>
      <c r="D118" s="63">
        <f>3.3978 * CHOOSE(CONTROL!$C$22, $C$13, 100%, $E$13)</f>
        <v>3.3978000000000002</v>
      </c>
      <c r="E118" s="64">
        <f>4.0711 * CHOOSE(CONTROL!$C$22, $C$13, 100%, $E$13)</f>
        <v>4.0711000000000004</v>
      </c>
      <c r="F118" s="64">
        <f>4.0711 * CHOOSE(CONTROL!$C$22, $C$13, 100%, $E$13)</f>
        <v>4.0711000000000004</v>
      </c>
      <c r="G118" s="64">
        <f>4.0813 * CHOOSE(CONTROL!$C$22, $C$13, 100%, $E$13)</f>
        <v>4.0812999999999997</v>
      </c>
      <c r="H118" s="64">
        <f>6.8972* CHOOSE(CONTROL!$C$22, $C$13, 100%, $E$13)</f>
        <v>6.8971999999999998</v>
      </c>
      <c r="I118" s="64">
        <f>6.9075 * CHOOSE(CONTROL!$C$22, $C$13, 100%, $E$13)</f>
        <v>6.9074999999999998</v>
      </c>
      <c r="J118" s="64">
        <f>4.0711 * CHOOSE(CONTROL!$C$22, $C$13, 100%, $E$13)</f>
        <v>4.0711000000000004</v>
      </c>
      <c r="K118" s="64">
        <f>4.0813 * CHOOSE(CONTROL!$C$22, $C$13, 100%, $E$13)</f>
        <v>4.0812999999999997</v>
      </c>
      <c r="L118" s="4"/>
      <c r="M118" s="4"/>
      <c r="N118" s="4"/>
    </row>
    <row r="119" spans="1:14" ht="15">
      <c r="A119" s="13">
        <v>45108</v>
      </c>
      <c r="B119" s="63">
        <f>3.4356 * CHOOSE(CONTROL!$C$22, $C$13, 100%, $E$13)</f>
        <v>3.4356</v>
      </c>
      <c r="C119" s="63">
        <f>3.4356 * CHOOSE(CONTROL!$C$22, $C$13, 100%, $E$13)</f>
        <v>3.4356</v>
      </c>
      <c r="D119" s="63">
        <f>3.4441 * CHOOSE(CONTROL!$C$22, $C$13, 100%, $E$13)</f>
        <v>3.4441000000000002</v>
      </c>
      <c r="E119" s="64">
        <f>4.1492 * CHOOSE(CONTROL!$C$22, $C$13, 100%, $E$13)</f>
        <v>4.1492000000000004</v>
      </c>
      <c r="F119" s="64">
        <f>4.1492 * CHOOSE(CONTROL!$C$22, $C$13, 100%, $E$13)</f>
        <v>4.1492000000000004</v>
      </c>
      <c r="G119" s="64">
        <f>4.1595 * CHOOSE(CONTROL!$C$22, $C$13, 100%, $E$13)</f>
        <v>4.1595000000000004</v>
      </c>
      <c r="H119" s="64">
        <f>6.9116* CHOOSE(CONTROL!$C$22, $C$13, 100%, $E$13)</f>
        <v>6.9116</v>
      </c>
      <c r="I119" s="64">
        <f>6.9218 * CHOOSE(CONTROL!$C$22, $C$13, 100%, $E$13)</f>
        <v>6.9218000000000002</v>
      </c>
      <c r="J119" s="64">
        <f>4.1492 * CHOOSE(CONTROL!$C$22, $C$13, 100%, $E$13)</f>
        <v>4.1492000000000004</v>
      </c>
      <c r="K119" s="64">
        <f>4.1595 * CHOOSE(CONTROL!$C$22, $C$13, 100%, $E$13)</f>
        <v>4.1595000000000004</v>
      </c>
      <c r="L119" s="4"/>
      <c r="M119" s="4"/>
      <c r="N119" s="4"/>
    </row>
    <row r="120" spans="1:14" ht="15">
      <c r="A120" s="13">
        <v>45139</v>
      </c>
      <c r="B120" s="63">
        <f>3.4423 * CHOOSE(CONTROL!$C$22, $C$13, 100%, $E$13)</f>
        <v>3.4422999999999999</v>
      </c>
      <c r="C120" s="63">
        <f>3.4423 * CHOOSE(CONTROL!$C$22, $C$13, 100%, $E$13)</f>
        <v>3.4422999999999999</v>
      </c>
      <c r="D120" s="63">
        <f>3.4508 * CHOOSE(CONTROL!$C$22, $C$13, 100%, $E$13)</f>
        <v>3.4508000000000001</v>
      </c>
      <c r="E120" s="64">
        <f>4.0915 * CHOOSE(CONTROL!$C$22, $C$13, 100%, $E$13)</f>
        <v>4.0914999999999999</v>
      </c>
      <c r="F120" s="64">
        <f>4.0915 * CHOOSE(CONTROL!$C$22, $C$13, 100%, $E$13)</f>
        <v>4.0914999999999999</v>
      </c>
      <c r="G120" s="64">
        <f>4.1017 * CHOOSE(CONTROL!$C$22, $C$13, 100%, $E$13)</f>
        <v>4.1017000000000001</v>
      </c>
      <c r="H120" s="64">
        <f>6.926* CHOOSE(CONTROL!$C$22, $C$13, 100%, $E$13)</f>
        <v>6.9260000000000002</v>
      </c>
      <c r="I120" s="64">
        <f>6.9362 * CHOOSE(CONTROL!$C$22, $C$13, 100%, $E$13)</f>
        <v>6.9362000000000004</v>
      </c>
      <c r="J120" s="64">
        <f>4.0915 * CHOOSE(CONTROL!$C$22, $C$13, 100%, $E$13)</f>
        <v>4.0914999999999999</v>
      </c>
      <c r="K120" s="64">
        <f>4.1017 * CHOOSE(CONTROL!$C$22, $C$13, 100%, $E$13)</f>
        <v>4.1017000000000001</v>
      </c>
      <c r="L120" s="4"/>
      <c r="M120" s="4"/>
      <c r="N120" s="4"/>
    </row>
    <row r="121" spans="1:14" ht="15">
      <c r="A121" s="13">
        <v>45170</v>
      </c>
      <c r="B121" s="63">
        <f>3.4393 * CHOOSE(CONTROL!$C$22, $C$13, 100%, $E$13)</f>
        <v>3.4392999999999998</v>
      </c>
      <c r="C121" s="63">
        <f>3.4393 * CHOOSE(CONTROL!$C$22, $C$13, 100%, $E$13)</f>
        <v>3.4392999999999998</v>
      </c>
      <c r="D121" s="63">
        <f>3.4477 * CHOOSE(CONTROL!$C$22, $C$13, 100%, $E$13)</f>
        <v>3.4477000000000002</v>
      </c>
      <c r="E121" s="64">
        <f>4.0824 * CHOOSE(CONTROL!$C$22, $C$13, 100%, $E$13)</f>
        <v>4.0823999999999998</v>
      </c>
      <c r="F121" s="64">
        <f>4.0824 * CHOOSE(CONTROL!$C$22, $C$13, 100%, $E$13)</f>
        <v>4.0823999999999998</v>
      </c>
      <c r="G121" s="64">
        <f>4.0927 * CHOOSE(CONTROL!$C$22, $C$13, 100%, $E$13)</f>
        <v>4.0926999999999998</v>
      </c>
      <c r="H121" s="64">
        <f>6.9404* CHOOSE(CONTROL!$C$22, $C$13, 100%, $E$13)</f>
        <v>6.9404000000000003</v>
      </c>
      <c r="I121" s="64">
        <f>6.9507 * CHOOSE(CONTROL!$C$22, $C$13, 100%, $E$13)</f>
        <v>6.9507000000000003</v>
      </c>
      <c r="J121" s="64">
        <f>4.0824 * CHOOSE(CONTROL!$C$22, $C$13, 100%, $E$13)</f>
        <v>4.0823999999999998</v>
      </c>
      <c r="K121" s="64">
        <f>4.0927 * CHOOSE(CONTROL!$C$22, $C$13, 100%, $E$13)</f>
        <v>4.0926999999999998</v>
      </c>
      <c r="L121" s="4"/>
      <c r="M121" s="4"/>
      <c r="N121" s="4"/>
    </row>
    <row r="122" spans="1:14" ht="15">
      <c r="A122" s="13">
        <v>45200</v>
      </c>
      <c r="B122" s="63">
        <f>3.4321 * CHOOSE(CONTROL!$C$22, $C$13, 100%, $E$13)</f>
        <v>3.4321000000000002</v>
      </c>
      <c r="C122" s="63">
        <f>3.4321 * CHOOSE(CONTROL!$C$22, $C$13, 100%, $E$13)</f>
        <v>3.4321000000000002</v>
      </c>
      <c r="D122" s="63">
        <f>3.4321 * CHOOSE(CONTROL!$C$22, $C$13, 100%, $E$13)</f>
        <v>3.4321000000000002</v>
      </c>
      <c r="E122" s="64">
        <f>4.0968 * CHOOSE(CONTROL!$C$22, $C$13, 100%, $E$13)</f>
        <v>4.0968</v>
      </c>
      <c r="F122" s="64">
        <f>4.0968 * CHOOSE(CONTROL!$C$22, $C$13, 100%, $E$13)</f>
        <v>4.0968</v>
      </c>
      <c r="G122" s="64">
        <f>4.0968 * CHOOSE(CONTROL!$C$22, $C$13, 100%, $E$13)</f>
        <v>4.0968</v>
      </c>
      <c r="H122" s="64">
        <f>6.9549* CHOOSE(CONTROL!$C$22, $C$13, 100%, $E$13)</f>
        <v>6.9549000000000003</v>
      </c>
      <c r="I122" s="64">
        <f>6.955 * CHOOSE(CONTROL!$C$22, $C$13, 100%, $E$13)</f>
        <v>6.9550000000000001</v>
      </c>
      <c r="J122" s="64">
        <f>4.0968 * CHOOSE(CONTROL!$C$22, $C$13, 100%, $E$13)</f>
        <v>4.0968</v>
      </c>
      <c r="K122" s="64">
        <f>4.0968 * CHOOSE(CONTROL!$C$22, $C$13, 100%, $E$13)</f>
        <v>4.0968</v>
      </c>
      <c r="L122" s="4"/>
      <c r="M122" s="4"/>
      <c r="N122" s="4"/>
    </row>
    <row r="123" spans="1:14" ht="15">
      <c r="A123" s="13">
        <v>45231</v>
      </c>
      <c r="B123" s="63">
        <f>3.4352 * CHOOSE(CONTROL!$C$22, $C$13, 100%, $E$13)</f>
        <v>3.4352</v>
      </c>
      <c r="C123" s="63">
        <f>3.4352 * CHOOSE(CONTROL!$C$22, $C$13, 100%, $E$13)</f>
        <v>3.4352</v>
      </c>
      <c r="D123" s="63">
        <f>3.4352 * CHOOSE(CONTROL!$C$22, $C$13, 100%, $E$13)</f>
        <v>3.4352</v>
      </c>
      <c r="E123" s="64">
        <f>4.1127 * CHOOSE(CONTROL!$C$22, $C$13, 100%, $E$13)</f>
        <v>4.1127000000000002</v>
      </c>
      <c r="F123" s="64">
        <f>4.1127 * CHOOSE(CONTROL!$C$22, $C$13, 100%, $E$13)</f>
        <v>4.1127000000000002</v>
      </c>
      <c r="G123" s="64">
        <f>4.1128 * CHOOSE(CONTROL!$C$22, $C$13, 100%, $E$13)</f>
        <v>4.1128</v>
      </c>
      <c r="H123" s="64">
        <f>6.9694* CHOOSE(CONTROL!$C$22, $C$13, 100%, $E$13)</f>
        <v>6.9694000000000003</v>
      </c>
      <c r="I123" s="64">
        <f>6.9695 * CHOOSE(CONTROL!$C$22, $C$13, 100%, $E$13)</f>
        <v>6.9695</v>
      </c>
      <c r="J123" s="64">
        <f>4.1127 * CHOOSE(CONTROL!$C$22, $C$13, 100%, $E$13)</f>
        <v>4.1127000000000002</v>
      </c>
      <c r="K123" s="64">
        <f>4.1128 * CHOOSE(CONTROL!$C$22, $C$13, 100%, $E$13)</f>
        <v>4.1128</v>
      </c>
      <c r="L123" s="4"/>
      <c r="M123" s="4"/>
      <c r="N123" s="4"/>
    </row>
    <row r="124" spans="1:14" ht="15">
      <c r="A124" s="13">
        <v>45261</v>
      </c>
      <c r="B124" s="63">
        <f>3.4352 * CHOOSE(CONTROL!$C$22, $C$13, 100%, $E$13)</f>
        <v>3.4352</v>
      </c>
      <c r="C124" s="63">
        <f>3.4352 * CHOOSE(CONTROL!$C$22, $C$13, 100%, $E$13)</f>
        <v>3.4352</v>
      </c>
      <c r="D124" s="63">
        <f>3.4352 * CHOOSE(CONTROL!$C$22, $C$13, 100%, $E$13)</f>
        <v>3.4352</v>
      </c>
      <c r="E124" s="64">
        <f>4.0781 * CHOOSE(CONTROL!$C$22, $C$13, 100%, $E$13)</f>
        <v>4.0781000000000001</v>
      </c>
      <c r="F124" s="64">
        <f>4.0781 * CHOOSE(CONTROL!$C$22, $C$13, 100%, $E$13)</f>
        <v>4.0781000000000001</v>
      </c>
      <c r="G124" s="64">
        <f>4.0782 * CHOOSE(CONTROL!$C$22, $C$13, 100%, $E$13)</f>
        <v>4.0781999999999998</v>
      </c>
      <c r="H124" s="64">
        <f>6.9839* CHOOSE(CONTROL!$C$22, $C$13, 100%, $E$13)</f>
        <v>6.9839000000000002</v>
      </c>
      <c r="I124" s="64">
        <f>6.984 * CHOOSE(CONTROL!$C$22, $C$13, 100%, $E$13)</f>
        <v>6.984</v>
      </c>
      <c r="J124" s="64">
        <f>4.0781 * CHOOSE(CONTROL!$C$22, $C$13, 100%, $E$13)</f>
        <v>4.0781000000000001</v>
      </c>
      <c r="K124" s="64">
        <f>4.0782 * CHOOSE(CONTROL!$C$22, $C$13, 100%, $E$13)</f>
        <v>4.0781999999999998</v>
      </c>
      <c r="L124" s="4"/>
      <c r="M124" s="4"/>
      <c r="N124" s="4"/>
    </row>
    <row r="125" spans="1:14" ht="15">
      <c r="A125" s="13">
        <v>45292</v>
      </c>
      <c r="B125" s="63">
        <f>3.4652 * CHOOSE(CONTROL!$C$22, $C$13, 100%, $E$13)</f>
        <v>3.4651999999999998</v>
      </c>
      <c r="C125" s="63">
        <f>3.4652 * CHOOSE(CONTROL!$C$22, $C$13, 100%, $E$13)</f>
        <v>3.4651999999999998</v>
      </c>
      <c r="D125" s="63">
        <f>3.4652 * CHOOSE(CONTROL!$C$22, $C$13, 100%, $E$13)</f>
        <v>3.4651999999999998</v>
      </c>
      <c r="E125" s="64">
        <f>4.1228 * CHOOSE(CONTROL!$C$22, $C$13, 100%, $E$13)</f>
        <v>4.1227999999999998</v>
      </c>
      <c r="F125" s="64">
        <f>4.1228 * CHOOSE(CONTROL!$C$22, $C$13, 100%, $E$13)</f>
        <v>4.1227999999999998</v>
      </c>
      <c r="G125" s="64">
        <f>4.1229 * CHOOSE(CONTROL!$C$22, $C$13, 100%, $E$13)</f>
        <v>4.1228999999999996</v>
      </c>
      <c r="H125" s="64">
        <f>6.9985* CHOOSE(CONTROL!$C$22, $C$13, 100%, $E$13)</f>
        <v>6.9984999999999999</v>
      </c>
      <c r="I125" s="64">
        <f>6.9985 * CHOOSE(CONTROL!$C$22, $C$13, 100%, $E$13)</f>
        <v>6.9984999999999999</v>
      </c>
      <c r="J125" s="64">
        <f>4.1228 * CHOOSE(CONTROL!$C$22, $C$13, 100%, $E$13)</f>
        <v>4.1227999999999998</v>
      </c>
      <c r="K125" s="64">
        <f>4.1229 * CHOOSE(CONTROL!$C$22, $C$13, 100%, $E$13)</f>
        <v>4.1228999999999996</v>
      </c>
      <c r="L125" s="4"/>
      <c r="M125" s="4"/>
      <c r="N125" s="4"/>
    </row>
    <row r="126" spans="1:14" ht="15">
      <c r="A126" s="13">
        <v>45323</v>
      </c>
      <c r="B126" s="63">
        <f>3.4621 * CHOOSE(CONTROL!$C$22, $C$13, 100%, $E$13)</f>
        <v>3.4621</v>
      </c>
      <c r="C126" s="63">
        <f>3.4621 * CHOOSE(CONTROL!$C$22, $C$13, 100%, $E$13)</f>
        <v>3.4621</v>
      </c>
      <c r="D126" s="63">
        <f>3.4621 * CHOOSE(CONTROL!$C$22, $C$13, 100%, $E$13)</f>
        <v>3.4621</v>
      </c>
      <c r="E126" s="64">
        <f>4.0546 * CHOOSE(CONTROL!$C$22, $C$13, 100%, $E$13)</f>
        <v>4.0545999999999998</v>
      </c>
      <c r="F126" s="64">
        <f>4.0546 * CHOOSE(CONTROL!$C$22, $C$13, 100%, $E$13)</f>
        <v>4.0545999999999998</v>
      </c>
      <c r="G126" s="64">
        <f>4.0547 * CHOOSE(CONTROL!$C$22, $C$13, 100%, $E$13)</f>
        <v>4.0547000000000004</v>
      </c>
      <c r="H126" s="64">
        <f>7.013* CHOOSE(CONTROL!$C$22, $C$13, 100%, $E$13)</f>
        <v>7.0129999999999999</v>
      </c>
      <c r="I126" s="64">
        <f>7.0131 * CHOOSE(CONTROL!$C$22, $C$13, 100%, $E$13)</f>
        <v>7.0130999999999997</v>
      </c>
      <c r="J126" s="64">
        <f>4.0546 * CHOOSE(CONTROL!$C$22, $C$13, 100%, $E$13)</f>
        <v>4.0545999999999998</v>
      </c>
      <c r="K126" s="64">
        <f>4.0547 * CHOOSE(CONTROL!$C$22, $C$13, 100%, $E$13)</f>
        <v>4.0547000000000004</v>
      </c>
      <c r="L126" s="4"/>
      <c r="M126" s="4"/>
      <c r="N126" s="4"/>
    </row>
    <row r="127" spans="1:14" ht="15">
      <c r="A127" s="13">
        <v>45352</v>
      </c>
      <c r="B127" s="63">
        <f>3.4591 * CHOOSE(CONTROL!$C$22, $C$13, 100%, $E$13)</f>
        <v>3.4590999999999998</v>
      </c>
      <c r="C127" s="63">
        <f>3.4591 * CHOOSE(CONTROL!$C$22, $C$13, 100%, $E$13)</f>
        <v>3.4590999999999998</v>
      </c>
      <c r="D127" s="63">
        <f>3.4591 * CHOOSE(CONTROL!$C$22, $C$13, 100%, $E$13)</f>
        <v>3.4590999999999998</v>
      </c>
      <c r="E127" s="64">
        <f>4.1046 * CHOOSE(CONTROL!$C$22, $C$13, 100%, $E$13)</f>
        <v>4.1045999999999996</v>
      </c>
      <c r="F127" s="64">
        <f>4.1046 * CHOOSE(CONTROL!$C$22, $C$13, 100%, $E$13)</f>
        <v>4.1045999999999996</v>
      </c>
      <c r="G127" s="64">
        <f>4.1046 * CHOOSE(CONTROL!$C$22, $C$13, 100%, $E$13)</f>
        <v>4.1045999999999996</v>
      </c>
      <c r="H127" s="64">
        <f>7.0276* CHOOSE(CONTROL!$C$22, $C$13, 100%, $E$13)</f>
        <v>7.0275999999999996</v>
      </c>
      <c r="I127" s="64">
        <f>7.0277 * CHOOSE(CONTROL!$C$22, $C$13, 100%, $E$13)</f>
        <v>7.0277000000000003</v>
      </c>
      <c r="J127" s="64">
        <f>4.1046 * CHOOSE(CONTROL!$C$22, $C$13, 100%, $E$13)</f>
        <v>4.1045999999999996</v>
      </c>
      <c r="K127" s="64">
        <f>4.1046 * CHOOSE(CONTROL!$C$22, $C$13, 100%, $E$13)</f>
        <v>4.1045999999999996</v>
      </c>
      <c r="L127" s="4"/>
      <c r="M127" s="4"/>
      <c r="N127" s="4"/>
    </row>
    <row r="128" spans="1:14" ht="15">
      <c r="A128" s="13">
        <v>45383</v>
      </c>
      <c r="B128" s="63">
        <f>3.4562 * CHOOSE(CONTROL!$C$22, $C$13, 100%, $E$13)</f>
        <v>3.4561999999999999</v>
      </c>
      <c r="C128" s="63">
        <f>3.4562 * CHOOSE(CONTROL!$C$22, $C$13, 100%, $E$13)</f>
        <v>3.4561999999999999</v>
      </c>
      <c r="D128" s="63">
        <f>3.4562 * CHOOSE(CONTROL!$C$22, $C$13, 100%, $E$13)</f>
        <v>3.4561999999999999</v>
      </c>
      <c r="E128" s="64">
        <f>4.1563 * CHOOSE(CONTROL!$C$22, $C$13, 100%, $E$13)</f>
        <v>4.1562999999999999</v>
      </c>
      <c r="F128" s="64">
        <f>4.1563 * CHOOSE(CONTROL!$C$22, $C$13, 100%, $E$13)</f>
        <v>4.1562999999999999</v>
      </c>
      <c r="G128" s="64">
        <f>4.1563 * CHOOSE(CONTROL!$C$22, $C$13, 100%, $E$13)</f>
        <v>4.1562999999999999</v>
      </c>
      <c r="H128" s="64">
        <f>7.0423* CHOOSE(CONTROL!$C$22, $C$13, 100%, $E$13)</f>
        <v>7.0423</v>
      </c>
      <c r="I128" s="64">
        <f>7.0424 * CHOOSE(CONTROL!$C$22, $C$13, 100%, $E$13)</f>
        <v>7.0423999999999998</v>
      </c>
      <c r="J128" s="64">
        <f>4.1563 * CHOOSE(CONTROL!$C$22, $C$13, 100%, $E$13)</f>
        <v>4.1562999999999999</v>
      </c>
      <c r="K128" s="64">
        <f>4.1563 * CHOOSE(CONTROL!$C$22, $C$13, 100%, $E$13)</f>
        <v>4.1562999999999999</v>
      </c>
      <c r="L128" s="4"/>
      <c r="M128" s="4"/>
      <c r="N128" s="4"/>
    </row>
    <row r="129" spans="1:14" ht="15">
      <c r="A129" s="13">
        <v>45413</v>
      </c>
      <c r="B129" s="63">
        <f>3.4562 * CHOOSE(CONTROL!$C$22, $C$13, 100%, $E$13)</f>
        <v>3.4561999999999999</v>
      </c>
      <c r="C129" s="63">
        <f>3.4562 * CHOOSE(CONTROL!$C$22, $C$13, 100%, $E$13)</f>
        <v>3.4561999999999999</v>
      </c>
      <c r="D129" s="63">
        <f>3.4646 * CHOOSE(CONTROL!$C$22, $C$13, 100%, $E$13)</f>
        <v>3.4645999999999999</v>
      </c>
      <c r="E129" s="64">
        <f>4.1772 * CHOOSE(CONTROL!$C$22, $C$13, 100%, $E$13)</f>
        <v>4.1772</v>
      </c>
      <c r="F129" s="64">
        <f>4.1772 * CHOOSE(CONTROL!$C$22, $C$13, 100%, $E$13)</f>
        <v>4.1772</v>
      </c>
      <c r="G129" s="64">
        <f>4.1875 * CHOOSE(CONTROL!$C$22, $C$13, 100%, $E$13)</f>
        <v>4.1875</v>
      </c>
      <c r="H129" s="64">
        <f>7.057* CHOOSE(CONTROL!$C$22, $C$13, 100%, $E$13)</f>
        <v>7.0570000000000004</v>
      </c>
      <c r="I129" s="64">
        <f>7.0672 * CHOOSE(CONTROL!$C$22, $C$13, 100%, $E$13)</f>
        <v>7.0671999999999997</v>
      </c>
      <c r="J129" s="64">
        <f>4.1772 * CHOOSE(CONTROL!$C$22, $C$13, 100%, $E$13)</f>
        <v>4.1772</v>
      </c>
      <c r="K129" s="64">
        <f>4.1875 * CHOOSE(CONTROL!$C$22, $C$13, 100%, $E$13)</f>
        <v>4.1875</v>
      </c>
      <c r="L129" s="4"/>
      <c r="M129" s="4"/>
      <c r="N129" s="4"/>
    </row>
    <row r="130" spans="1:14" ht="15">
      <c r="A130" s="13">
        <v>45444</v>
      </c>
      <c r="B130" s="63">
        <f>3.4623 * CHOOSE(CONTROL!$C$22, $C$13, 100%, $E$13)</f>
        <v>3.4622999999999999</v>
      </c>
      <c r="C130" s="63">
        <f>3.4623 * CHOOSE(CONTROL!$C$22, $C$13, 100%, $E$13)</f>
        <v>3.4622999999999999</v>
      </c>
      <c r="D130" s="63">
        <f>3.4707 * CHOOSE(CONTROL!$C$22, $C$13, 100%, $E$13)</f>
        <v>3.4706999999999999</v>
      </c>
      <c r="E130" s="64">
        <f>4.1605 * CHOOSE(CONTROL!$C$22, $C$13, 100%, $E$13)</f>
        <v>4.1604999999999999</v>
      </c>
      <c r="F130" s="64">
        <f>4.1605 * CHOOSE(CONTROL!$C$22, $C$13, 100%, $E$13)</f>
        <v>4.1604999999999999</v>
      </c>
      <c r="G130" s="64">
        <f>4.1707 * CHOOSE(CONTROL!$C$22, $C$13, 100%, $E$13)</f>
        <v>4.1707000000000001</v>
      </c>
      <c r="H130" s="64">
        <f>7.0717* CHOOSE(CONTROL!$C$22, $C$13, 100%, $E$13)</f>
        <v>7.0716999999999999</v>
      </c>
      <c r="I130" s="64">
        <f>7.0819 * CHOOSE(CONTROL!$C$22, $C$13, 100%, $E$13)</f>
        <v>7.0819000000000001</v>
      </c>
      <c r="J130" s="64">
        <f>4.1605 * CHOOSE(CONTROL!$C$22, $C$13, 100%, $E$13)</f>
        <v>4.1604999999999999</v>
      </c>
      <c r="K130" s="64">
        <f>4.1707 * CHOOSE(CONTROL!$C$22, $C$13, 100%, $E$13)</f>
        <v>4.1707000000000001</v>
      </c>
      <c r="L130" s="4"/>
      <c r="M130" s="4"/>
      <c r="N130" s="4"/>
    </row>
    <row r="131" spans="1:14" ht="15">
      <c r="A131" s="13">
        <v>45474</v>
      </c>
      <c r="B131" s="63">
        <f>3.5185 * CHOOSE(CONTROL!$C$22, $C$13, 100%, $E$13)</f>
        <v>3.5185</v>
      </c>
      <c r="C131" s="63">
        <f>3.5185 * CHOOSE(CONTROL!$C$22, $C$13, 100%, $E$13)</f>
        <v>3.5185</v>
      </c>
      <c r="D131" s="63">
        <f>3.5269 * CHOOSE(CONTROL!$C$22, $C$13, 100%, $E$13)</f>
        <v>3.5268999999999999</v>
      </c>
      <c r="E131" s="64">
        <f>4.2301 * CHOOSE(CONTROL!$C$22, $C$13, 100%, $E$13)</f>
        <v>4.2301000000000002</v>
      </c>
      <c r="F131" s="64">
        <f>4.2301 * CHOOSE(CONTROL!$C$22, $C$13, 100%, $E$13)</f>
        <v>4.2301000000000002</v>
      </c>
      <c r="G131" s="64">
        <f>4.2403 * CHOOSE(CONTROL!$C$22, $C$13, 100%, $E$13)</f>
        <v>4.2403000000000004</v>
      </c>
      <c r="H131" s="64">
        <f>7.0864* CHOOSE(CONTROL!$C$22, $C$13, 100%, $E$13)</f>
        <v>7.0864000000000003</v>
      </c>
      <c r="I131" s="64">
        <f>7.0966 * CHOOSE(CONTROL!$C$22, $C$13, 100%, $E$13)</f>
        <v>7.0965999999999996</v>
      </c>
      <c r="J131" s="64">
        <f>4.2301 * CHOOSE(CONTROL!$C$22, $C$13, 100%, $E$13)</f>
        <v>4.2301000000000002</v>
      </c>
      <c r="K131" s="64">
        <f>4.2403 * CHOOSE(CONTROL!$C$22, $C$13, 100%, $E$13)</f>
        <v>4.2403000000000004</v>
      </c>
      <c r="L131" s="4"/>
      <c r="M131" s="4"/>
      <c r="N131" s="4"/>
    </row>
    <row r="132" spans="1:14" ht="15">
      <c r="A132" s="13">
        <v>45505</v>
      </c>
      <c r="B132" s="63">
        <f>3.5251 * CHOOSE(CONTROL!$C$22, $C$13, 100%, $E$13)</f>
        <v>3.5251000000000001</v>
      </c>
      <c r="C132" s="63">
        <f>3.5251 * CHOOSE(CONTROL!$C$22, $C$13, 100%, $E$13)</f>
        <v>3.5251000000000001</v>
      </c>
      <c r="D132" s="63">
        <f>3.5336 * CHOOSE(CONTROL!$C$22, $C$13, 100%, $E$13)</f>
        <v>3.5335999999999999</v>
      </c>
      <c r="E132" s="64">
        <f>4.1718 * CHOOSE(CONTROL!$C$22, $C$13, 100%, $E$13)</f>
        <v>4.1718000000000002</v>
      </c>
      <c r="F132" s="64">
        <f>4.1718 * CHOOSE(CONTROL!$C$22, $C$13, 100%, $E$13)</f>
        <v>4.1718000000000002</v>
      </c>
      <c r="G132" s="64">
        <f>4.182 * CHOOSE(CONTROL!$C$22, $C$13, 100%, $E$13)</f>
        <v>4.1820000000000004</v>
      </c>
      <c r="H132" s="64">
        <f>7.1012* CHOOSE(CONTROL!$C$22, $C$13, 100%, $E$13)</f>
        <v>7.1012000000000004</v>
      </c>
      <c r="I132" s="64">
        <f>7.1114 * CHOOSE(CONTROL!$C$22, $C$13, 100%, $E$13)</f>
        <v>7.1113999999999997</v>
      </c>
      <c r="J132" s="64">
        <f>4.1718 * CHOOSE(CONTROL!$C$22, $C$13, 100%, $E$13)</f>
        <v>4.1718000000000002</v>
      </c>
      <c r="K132" s="64">
        <f>4.182 * CHOOSE(CONTROL!$C$22, $C$13, 100%, $E$13)</f>
        <v>4.1820000000000004</v>
      </c>
      <c r="L132" s="4"/>
      <c r="M132" s="4"/>
      <c r="N132" s="4"/>
    </row>
    <row r="133" spans="1:14" ht="15">
      <c r="A133" s="13">
        <v>45536</v>
      </c>
      <c r="B133" s="63">
        <f>3.5221 * CHOOSE(CONTROL!$C$22, $C$13, 100%, $E$13)</f>
        <v>3.5221</v>
      </c>
      <c r="C133" s="63">
        <f>3.5221 * CHOOSE(CONTROL!$C$22, $C$13, 100%, $E$13)</f>
        <v>3.5221</v>
      </c>
      <c r="D133" s="63">
        <f>3.5305 * CHOOSE(CONTROL!$C$22, $C$13, 100%, $E$13)</f>
        <v>3.5305</v>
      </c>
      <c r="E133" s="64">
        <f>4.1627 * CHOOSE(CONTROL!$C$22, $C$13, 100%, $E$13)</f>
        <v>4.1627000000000001</v>
      </c>
      <c r="F133" s="64">
        <f>4.1627 * CHOOSE(CONTROL!$C$22, $C$13, 100%, $E$13)</f>
        <v>4.1627000000000001</v>
      </c>
      <c r="G133" s="64">
        <f>4.1729 * CHOOSE(CONTROL!$C$22, $C$13, 100%, $E$13)</f>
        <v>4.1729000000000003</v>
      </c>
      <c r="H133" s="64">
        <f>7.1159* CHOOSE(CONTROL!$C$22, $C$13, 100%, $E$13)</f>
        <v>7.1158999999999999</v>
      </c>
      <c r="I133" s="64">
        <f>7.1262 * CHOOSE(CONTROL!$C$22, $C$13, 100%, $E$13)</f>
        <v>7.1261999999999999</v>
      </c>
      <c r="J133" s="64">
        <f>4.1627 * CHOOSE(CONTROL!$C$22, $C$13, 100%, $E$13)</f>
        <v>4.1627000000000001</v>
      </c>
      <c r="K133" s="64">
        <f>4.1729 * CHOOSE(CONTROL!$C$22, $C$13, 100%, $E$13)</f>
        <v>4.1729000000000003</v>
      </c>
      <c r="L133" s="4"/>
      <c r="M133" s="4"/>
      <c r="N133" s="4"/>
    </row>
    <row r="134" spans="1:14" ht="15">
      <c r="A134" s="13">
        <v>45566</v>
      </c>
      <c r="B134" s="63">
        <f>3.5152 * CHOOSE(CONTROL!$C$22, $C$13, 100%, $E$13)</f>
        <v>3.5152000000000001</v>
      </c>
      <c r="C134" s="63">
        <f>3.5152 * CHOOSE(CONTROL!$C$22, $C$13, 100%, $E$13)</f>
        <v>3.5152000000000001</v>
      </c>
      <c r="D134" s="63">
        <f>3.5153 * CHOOSE(CONTROL!$C$22, $C$13, 100%, $E$13)</f>
        <v>3.5152999999999999</v>
      </c>
      <c r="E134" s="64">
        <f>4.1773 * CHOOSE(CONTROL!$C$22, $C$13, 100%, $E$13)</f>
        <v>4.1772999999999998</v>
      </c>
      <c r="F134" s="64">
        <f>4.1773 * CHOOSE(CONTROL!$C$22, $C$13, 100%, $E$13)</f>
        <v>4.1772999999999998</v>
      </c>
      <c r="G134" s="64">
        <f>4.1773 * CHOOSE(CONTROL!$C$22, $C$13, 100%, $E$13)</f>
        <v>4.1772999999999998</v>
      </c>
      <c r="H134" s="64">
        <f>7.1308* CHOOSE(CONTROL!$C$22, $C$13, 100%, $E$13)</f>
        <v>7.1307999999999998</v>
      </c>
      <c r="I134" s="64">
        <f>7.1309 * CHOOSE(CONTROL!$C$22, $C$13, 100%, $E$13)</f>
        <v>7.1308999999999996</v>
      </c>
      <c r="J134" s="64">
        <f>4.1773 * CHOOSE(CONTROL!$C$22, $C$13, 100%, $E$13)</f>
        <v>4.1772999999999998</v>
      </c>
      <c r="K134" s="64">
        <f>4.1773 * CHOOSE(CONTROL!$C$22, $C$13, 100%, $E$13)</f>
        <v>4.1772999999999998</v>
      </c>
      <c r="L134" s="4"/>
      <c r="M134" s="4"/>
      <c r="N134" s="4"/>
    </row>
    <row r="135" spans="1:14" ht="15">
      <c r="A135" s="13">
        <v>45597</v>
      </c>
      <c r="B135" s="63">
        <f>3.5183 * CHOOSE(CONTROL!$C$22, $C$13, 100%, $E$13)</f>
        <v>3.5183</v>
      </c>
      <c r="C135" s="63">
        <f>3.5183 * CHOOSE(CONTROL!$C$22, $C$13, 100%, $E$13)</f>
        <v>3.5183</v>
      </c>
      <c r="D135" s="63">
        <f>3.5183 * CHOOSE(CONTROL!$C$22, $C$13, 100%, $E$13)</f>
        <v>3.5183</v>
      </c>
      <c r="E135" s="64">
        <f>4.1934 * CHOOSE(CONTROL!$C$22, $C$13, 100%, $E$13)</f>
        <v>4.1933999999999996</v>
      </c>
      <c r="F135" s="64">
        <f>4.1934 * CHOOSE(CONTROL!$C$22, $C$13, 100%, $E$13)</f>
        <v>4.1933999999999996</v>
      </c>
      <c r="G135" s="64">
        <f>4.1934 * CHOOSE(CONTROL!$C$22, $C$13, 100%, $E$13)</f>
        <v>4.1933999999999996</v>
      </c>
      <c r="H135" s="64">
        <f>7.1456* CHOOSE(CONTROL!$C$22, $C$13, 100%, $E$13)</f>
        <v>7.1456</v>
      </c>
      <c r="I135" s="64">
        <f>7.1457 * CHOOSE(CONTROL!$C$22, $C$13, 100%, $E$13)</f>
        <v>7.1456999999999997</v>
      </c>
      <c r="J135" s="64">
        <f>4.1934 * CHOOSE(CONTROL!$C$22, $C$13, 100%, $E$13)</f>
        <v>4.1933999999999996</v>
      </c>
      <c r="K135" s="64">
        <f>4.1934 * CHOOSE(CONTROL!$C$22, $C$13, 100%, $E$13)</f>
        <v>4.1933999999999996</v>
      </c>
      <c r="L135" s="4"/>
      <c r="M135" s="4"/>
      <c r="N135" s="4"/>
    </row>
    <row r="136" spans="1:14" ht="15">
      <c r="A136" s="13">
        <v>45627</v>
      </c>
      <c r="B136" s="63">
        <f>3.5183 * CHOOSE(CONTROL!$C$22, $C$13, 100%, $E$13)</f>
        <v>3.5183</v>
      </c>
      <c r="C136" s="63">
        <f>3.5183 * CHOOSE(CONTROL!$C$22, $C$13, 100%, $E$13)</f>
        <v>3.5183</v>
      </c>
      <c r="D136" s="63">
        <f>3.5183 * CHOOSE(CONTROL!$C$22, $C$13, 100%, $E$13)</f>
        <v>3.5183</v>
      </c>
      <c r="E136" s="64">
        <f>4.1584 * CHOOSE(CONTROL!$C$22, $C$13, 100%, $E$13)</f>
        <v>4.1584000000000003</v>
      </c>
      <c r="F136" s="64">
        <f>4.1584 * CHOOSE(CONTROL!$C$22, $C$13, 100%, $E$13)</f>
        <v>4.1584000000000003</v>
      </c>
      <c r="G136" s="64">
        <f>4.1585 * CHOOSE(CONTROL!$C$22, $C$13, 100%, $E$13)</f>
        <v>4.1585000000000001</v>
      </c>
      <c r="H136" s="64">
        <f>7.1605* CHOOSE(CONTROL!$C$22, $C$13, 100%, $E$13)</f>
        <v>7.1604999999999999</v>
      </c>
      <c r="I136" s="64">
        <f>7.1606 * CHOOSE(CONTROL!$C$22, $C$13, 100%, $E$13)</f>
        <v>7.1605999999999996</v>
      </c>
      <c r="J136" s="64">
        <f>4.1584 * CHOOSE(CONTROL!$C$22, $C$13, 100%, $E$13)</f>
        <v>4.1584000000000003</v>
      </c>
      <c r="K136" s="64">
        <f>4.1585 * CHOOSE(CONTROL!$C$22, $C$13, 100%, $E$13)</f>
        <v>4.1585000000000001</v>
      </c>
      <c r="L136" s="4"/>
      <c r="M136" s="4"/>
      <c r="N136" s="4"/>
    </row>
    <row r="137" spans="1:14" ht="15">
      <c r="A137" s="13">
        <v>45658</v>
      </c>
      <c r="B137" s="63">
        <f>3.5476 * CHOOSE(CONTROL!$C$22, $C$13, 100%, $E$13)</f>
        <v>3.5476000000000001</v>
      </c>
      <c r="C137" s="63">
        <f>3.5476 * CHOOSE(CONTROL!$C$22, $C$13, 100%, $E$13)</f>
        <v>3.5476000000000001</v>
      </c>
      <c r="D137" s="63">
        <f>3.5476 * CHOOSE(CONTROL!$C$22, $C$13, 100%, $E$13)</f>
        <v>3.5476000000000001</v>
      </c>
      <c r="E137" s="64">
        <f>4.2052 * CHOOSE(CONTROL!$C$22, $C$13, 100%, $E$13)</f>
        <v>4.2051999999999996</v>
      </c>
      <c r="F137" s="64">
        <f>4.2052 * CHOOSE(CONTROL!$C$22, $C$13, 100%, $E$13)</f>
        <v>4.2051999999999996</v>
      </c>
      <c r="G137" s="64">
        <f>4.2053 * CHOOSE(CONTROL!$C$22, $C$13, 100%, $E$13)</f>
        <v>4.2053000000000003</v>
      </c>
      <c r="H137" s="64">
        <f>7.1754* CHOOSE(CONTROL!$C$22, $C$13, 100%, $E$13)</f>
        <v>7.1753999999999998</v>
      </c>
      <c r="I137" s="64">
        <f>7.1755 * CHOOSE(CONTROL!$C$22, $C$13, 100%, $E$13)</f>
        <v>7.1755000000000004</v>
      </c>
      <c r="J137" s="64">
        <f>4.2052 * CHOOSE(CONTROL!$C$22, $C$13, 100%, $E$13)</f>
        <v>4.2051999999999996</v>
      </c>
      <c r="K137" s="64">
        <f>4.2053 * CHOOSE(CONTROL!$C$22, $C$13, 100%, $E$13)</f>
        <v>4.2053000000000003</v>
      </c>
      <c r="L137" s="4"/>
      <c r="M137" s="4"/>
      <c r="N137" s="4"/>
    </row>
    <row r="138" spans="1:14" ht="15">
      <c r="A138" s="13">
        <v>45689</v>
      </c>
      <c r="B138" s="63">
        <f>3.5445 * CHOOSE(CONTROL!$C$22, $C$13, 100%, $E$13)</f>
        <v>3.5445000000000002</v>
      </c>
      <c r="C138" s="63">
        <f>3.5445 * CHOOSE(CONTROL!$C$22, $C$13, 100%, $E$13)</f>
        <v>3.5445000000000002</v>
      </c>
      <c r="D138" s="63">
        <f>3.5445 * CHOOSE(CONTROL!$C$22, $C$13, 100%, $E$13)</f>
        <v>3.5445000000000002</v>
      </c>
      <c r="E138" s="64">
        <f>4.1366 * CHOOSE(CONTROL!$C$22, $C$13, 100%, $E$13)</f>
        <v>4.1365999999999996</v>
      </c>
      <c r="F138" s="64">
        <f>4.1366 * CHOOSE(CONTROL!$C$22, $C$13, 100%, $E$13)</f>
        <v>4.1365999999999996</v>
      </c>
      <c r="G138" s="64">
        <f>4.1366 * CHOOSE(CONTROL!$C$22, $C$13, 100%, $E$13)</f>
        <v>4.1365999999999996</v>
      </c>
      <c r="H138" s="64">
        <f>7.1904* CHOOSE(CONTROL!$C$22, $C$13, 100%, $E$13)</f>
        <v>7.1904000000000003</v>
      </c>
      <c r="I138" s="64">
        <f>7.1905 * CHOOSE(CONTROL!$C$22, $C$13, 100%, $E$13)</f>
        <v>7.1905000000000001</v>
      </c>
      <c r="J138" s="64">
        <f>4.1366 * CHOOSE(CONTROL!$C$22, $C$13, 100%, $E$13)</f>
        <v>4.1365999999999996</v>
      </c>
      <c r="K138" s="64">
        <f>4.1366 * CHOOSE(CONTROL!$C$22, $C$13, 100%, $E$13)</f>
        <v>4.1365999999999996</v>
      </c>
      <c r="L138" s="4"/>
      <c r="M138" s="4"/>
      <c r="N138" s="4"/>
    </row>
    <row r="139" spans="1:14" ht="15">
      <c r="A139" s="13">
        <v>45717</v>
      </c>
      <c r="B139" s="63">
        <f>3.5415 * CHOOSE(CONTROL!$C$22, $C$13, 100%, $E$13)</f>
        <v>3.5415000000000001</v>
      </c>
      <c r="C139" s="63">
        <f>3.5415 * CHOOSE(CONTROL!$C$22, $C$13, 100%, $E$13)</f>
        <v>3.5415000000000001</v>
      </c>
      <c r="D139" s="63">
        <f>3.5415 * CHOOSE(CONTROL!$C$22, $C$13, 100%, $E$13)</f>
        <v>3.5415000000000001</v>
      </c>
      <c r="E139" s="64">
        <f>4.1869 * CHOOSE(CONTROL!$C$22, $C$13, 100%, $E$13)</f>
        <v>4.1868999999999996</v>
      </c>
      <c r="F139" s="64">
        <f>4.1869 * CHOOSE(CONTROL!$C$22, $C$13, 100%, $E$13)</f>
        <v>4.1868999999999996</v>
      </c>
      <c r="G139" s="64">
        <f>4.187 * CHOOSE(CONTROL!$C$22, $C$13, 100%, $E$13)</f>
        <v>4.1870000000000003</v>
      </c>
      <c r="H139" s="64">
        <f>7.2054* CHOOSE(CONTROL!$C$22, $C$13, 100%, $E$13)</f>
        <v>7.2054</v>
      </c>
      <c r="I139" s="64">
        <f>7.2054 * CHOOSE(CONTROL!$C$22, $C$13, 100%, $E$13)</f>
        <v>7.2054</v>
      </c>
      <c r="J139" s="64">
        <f>4.1869 * CHOOSE(CONTROL!$C$22, $C$13, 100%, $E$13)</f>
        <v>4.1868999999999996</v>
      </c>
      <c r="K139" s="64">
        <f>4.187 * CHOOSE(CONTROL!$C$22, $C$13, 100%, $E$13)</f>
        <v>4.1870000000000003</v>
      </c>
      <c r="L139" s="4"/>
      <c r="M139" s="4"/>
      <c r="N139" s="4"/>
    </row>
    <row r="140" spans="1:14" ht="15">
      <c r="A140" s="13">
        <v>45748</v>
      </c>
      <c r="B140" s="63">
        <f>3.5386 * CHOOSE(CONTROL!$C$22, $C$13, 100%, $E$13)</f>
        <v>3.5386000000000002</v>
      </c>
      <c r="C140" s="63">
        <f>3.5386 * CHOOSE(CONTROL!$C$22, $C$13, 100%, $E$13)</f>
        <v>3.5386000000000002</v>
      </c>
      <c r="D140" s="63">
        <f>3.5387 * CHOOSE(CONTROL!$C$22, $C$13, 100%, $E$13)</f>
        <v>3.5387</v>
      </c>
      <c r="E140" s="64">
        <f>4.239 * CHOOSE(CONTROL!$C$22, $C$13, 100%, $E$13)</f>
        <v>4.2389999999999999</v>
      </c>
      <c r="F140" s="64">
        <f>4.239 * CHOOSE(CONTROL!$C$22, $C$13, 100%, $E$13)</f>
        <v>4.2389999999999999</v>
      </c>
      <c r="G140" s="64">
        <f>4.2391 * CHOOSE(CONTROL!$C$22, $C$13, 100%, $E$13)</f>
        <v>4.2390999999999996</v>
      </c>
      <c r="H140" s="64">
        <f>7.2204* CHOOSE(CONTROL!$C$22, $C$13, 100%, $E$13)</f>
        <v>7.2203999999999997</v>
      </c>
      <c r="I140" s="64">
        <f>7.2205 * CHOOSE(CONTROL!$C$22, $C$13, 100%, $E$13)</f>
        <v>7.2205000000000004</v>
      </c>
      <c r="J140" s="64">
        <f>4.239 * CHOOSE(CONTROL!$C$22, $C$13, 100%, $E$13)</f>
        <v>4.2389999999999999</v>
      </c>
      <c r="K140" s="64">
        <f>4.2391 * CHOOSE(CONTROL!$C$22, $C$13, 100%, $E$13)</f>
        <v>4.2390999999999996</v>
      </c>
      <c r="L140" s="4"/>
      <c r="M140" s="4"/>
      <c r="N140" s="4"/>
    </row>
    <row r="141" spans="1:14" ht="15">
      <c r="A141" s="13">
        <v>45778</v>
      </c>
      <c r="B141" s="63">
        <f>3.5386 * CHOOSE(CONTROL!$C$22, $C$13, 100%, $E$13)</f>
        <v>3.5386000000000002</v>
      </c>
      <c r="C141" s="63">
        <f>3.5386 * CHOOSE(CONTROL!$C$22, $C$13, 100%, $E$13)</f>
        <v>3.5386000000000002</v>
      </c>
      <c r="D141" s="63">
        <f>3.5471 * CHOOSE(CONTROL!$C$22, $C$13, 100%, $E$13)</f>
        <v>3.5470999999999999</v>
      </c>
      <c r="E141" s="64">
        <f>4.2602 * CHOOSE(CONTROL!$C$22, $C$13, 100%, $E$13)</f>
        <v>4.2602000000000002</v>
      </c>
      <c r="F141" s="64">
        <f>4.2602 * CHOOSE(CONTROL!$C$22, $C$13, 100%, $E$13)</f>
        <v>4.2602000000000002</v>
      </c>
      <c r="G141" s="64">
        <f>4.2704 * CHOOSE(CONTROL!$C$22, $C$13, 100%, $E$13)</f>
        <v>4.2704000000000004</v>
      </c>
      <c r="H141" s="64">
        <f>7.2354* CHOOSE(CONTROL!$C$22, $C$13, 100%, $E$13)</f>
        <v>7.2354000000000003</v>
      </c>
      <c r="I141" s="64">
        <f>7.2456 * CHOOSE(CONTROL!$C$22, $C$13, 100%, $E$13)</f>
        <v>7.2455999999999996</v>
      </c>
      <c r="J141" s="64">
        <f>4.2602 * CHOOSE(CONTROL!$C$22, $C$13, 100%, $E$13)</f>
        <v>4.2602000000000002</v>
      </c>
      <c r="K141" s="64">
        <f>4.2704 * CHOOSE(CONTROL!$C$22, $C$13, 100%, $E$13)</f>
        <v>4.2704000000000004</v>
      </c>
      <c r="L141" s="4"/>
      <c r="M141" s="4"/>
      <c r="N141" s="4"/>
    </row>
    <row r="142" spans="1:14" ht="15">
      <c r="A142" s="13">
        <v>45809</v>
      </c>
      <c r="B142" s="63">
        <f>3.5447 * CHOOSE(CONTROL!$C$22, $C$13, 100%, $E$13)</f>
        <v>3.5447000000000002</v>
      </c>
      <c r="C142" s="63">
        <f>3.5447 * CHOOSE(CONTROL!$C$22, $C$13, 100%, $E$13)</f>
        <v>3.5447000000000002</v>
      </c>
      <c r="D142" s="63">
        <f>3.5532 * CHOOSE(CONTROL!$C$22, $C$13, 100%, $E$13)</f>
        <v>3.5531999999999999</v>
      </c>
      <c r="E142" s="64">
        <f>4.2433 * CHOOSE(CONTROL!$C$22, $C$13, 100%, $E$13)</f>
        <v>4.2432999999999996</v>
      </c>
      <c r="F142" s="64">
        <f>4.2433 * CHOOSE(CONTROL!$C$22, $C$13, 100%, $E$13)</f>
        <v>4.2432999999999996</v>
      </c>
      <c r="G142" s="64">
        <f>4.2535 * CHOOSE(CONTROL!$C$22, $C$13, 100%, $E$13)</f>
        <v>4.2534999999999998</v>
      </c>
      <c r="H142" s="64">
        <f>7.2505* CHOOSE(CONTROL!$C$22, $C$13, 100%, $E$13)</f>
        <v>7.2504999999999997</v>
      </c>
      <c r="I142" s="64">
        <f>7.2607 * CHOOSE(CONTROL!$C$22, $C$13, 100%, $E$13)</f>
        <v>7.2606999999999999</v>
      </c>
      <c r="J142" s="64">
        <f>4.2433 * CHOOSE(CONTROL!$C$22, $C$13, 100%, $E$13)</f>
        <v>4.2432999999999996</v>
      </c>
      <c r="K142" s="64">
        <f>4.2535 * CHOOSE(CONTROL!$C$22, $C$13, 100%, $E$13)</f>
        <v>4.2534999999999998</v>
      </c>
      <c r="L142" s="4"/>
      <c r="M142" s="4"/>
      <c r="N142" s="4"/>
    </row>
    <row r="143" spans="1:14" ht="15">
      <c r="A143" s="13">
        <v>45839</v>
      </c>
      <c r="B143" s="63">
        <f>3.5989 * CHOOSE(CONTROL!$C$22, $C$13, 100%, $E$13)</f>
        <v>3.5989</v>
      </c>
      <c r="C143" s="63">
        <f>3.5989 * CHOOSE(CONTROL!$C$22, $C$13, 100%, $E$13)</f>
        <v>3.5989</v>
      </c>
      <c r="D143" s="63">
        <f>3.6073 * CHOOSE(CONTROL!$C$22, $C$13, 100%, $E$13)</f>
        <v>3.6073</v>
      </c>
      <c r="E143" s="64">
        <f>4.3194 * CHOOSE(CONTROL!$C$22, $C$13, 100%, $E$13)</f>
        <v>4.3193999999999999</v>
      </c>
      <c r="F143" s="64">
        <f>4.3194 * CHOOSE(CONTROL!$C$22, $C$13, 100%, $E$13)</f>
        <v>4.3193999999999999</v>
      </c>
      <c r="G143" s="64">
        <f>4.3297 * CHOOSE(CONTROL!$C$22, $C$13, 100%, $E$13)</f>
        <v>4.3296999999999999</v>
      </c>
      <c r="H143" s="64">
        <f>7.2656* CHOOSE(CONTROL!$C$22, $C$13, 100%, $E$13)</f>
        <v>7.2656000000000001</v>
      </c>
      <c r="I143" s="64">
        <f>7.2758 * CHOOSE(CONTROL!$C$22, $C$13, 100%, $E$13)</f>
        <v>7.2758000000000003</v>
      </c>
      <c r="J143" s="64">
        <f>4.3194 * CHOOSE(CONTROL!$C$22, $C$13, 100%, $E$13)</f>
        <v>4.3193999999999999</v>
      </c>
      <c r="K143" s="64">
        <f>4.3297 * CHOOSE(CONTROL!$C$22, $C$13, 100%, $E$13)</f>
        <v>4.3296999999999999</v>
      </c>
      <c r="L143" s="4"/>
      <c r="M143" s="4"/>
      <c r="N143" s="4"/>
    </row>
    <row r="144" spans="1:14" ht="15">
      <c r="A144" s="13">
        <v>45870</v>
      </c>
      <c r="B144" s="63">
        <f>3.6055 * CHOOSE(CONTROL!$C$22, $C$13, 100%, $E$13)</f>
        <v>3.6055000000000001</v>
      </c>
      <c r="C144" s="63">
        <f>3.6055 * CHOOSE(CONTROL!$C$22, $C$13, 100%, $E$13)</f>
        <v>3.6055000000000001</v>
      </c>
      <c r="D144" s="63">
        <f>3.614 * CHOOSE(CONTROL!$C$22, $C$13, 100%, $E$13)</f>
        <v>3.6139999999999999</v>
      </c>
      <c r="E144" s="64">
        <f>4.2607 * CHOOSE(CONTROL!$C$22, $C$13, 100%, $E$13)</f>
        <v>4.2606999999999999</v>
      </c>
      <c r="F144" s="64">
        <f>4.2607 * CHOOSE(CONTROL!$C$22, $C$13, 100%, $E$13)</f>
        <v>4.2606999999999999</v>
      </c>
      <c r="G144" s="64">
        <f>4.2709 * CHOOSE(CONTROL!$C$22, $C$13, 100%, $E$13)</f>
        <v>4.2709000000000001</v>
      </c>
      <c r="H144" s="64">
        <f>7.2807* CHOOSE(CONTROL!$C$22, $C$13, 100%, $E$13)</f>
        <v>7.2807000000000004</v>
      </c>
      <c r="I144" s="64">
        <f>7.2909 * CHOOSE(CONTROL!$C$22, $C$13, 100%, $E$13)</f>
        <v>7.2908999999999997</v>
      </c>
      <c r="J144" s="64">
        <f>4.2607 * CHOOSE(CONTROL!$C$22, $C$13, 100%, $E$13)</f>
        <v>4.2606999999999999</v>
      </c>
      <c r="K144" s="64">
        <f>4.2709 * CHOOSE(CONTROL!$C$22, $C$13, 100%, $E$13)</f>
        <v>4.2709000000000001</v>
      </c>
      <c r="L144" s="4"/>
      <c r="M144" s="4"/>
      <c r="N144" s="4"/>
    </row>
    <row r="145" spans="1:14" ht="15">
      <c r="A145" s="13">
        <v>45901</v>
      </c>
      <c r="B145" s="63">
        <f>3.6025 * CHOOSE(CONTROL!$C$22, $C$13, 100%, $E$13)</f>
        <v>3.6025</v>
      </c>
      <c r="C145" s="63">
        <f>3.6025 * CHOOSE(CONTROL!$C$22, $C$13, 100%, $E$13)</f>
        <v>3.6025</v>
      </c>
      <c r="D145" s="63">
        <f>3.6109 * CHOOSE(CONTROL!$C$22, $C$13, 100%, $E$13)</f>
        <v>3.6109</v>
      </c>
      <c r="E145" s="64">
        <f>4.2515 * CHOOSE(CONTROL!$C$22, $C$13, 100%, $E$13)</f>
        <v>4.2515000000000001</v>
      </c>
      <c r="F145" s="64">
        <f>4.2515 * CHOOSE(CONTROL!$C$22, $C$13, 100%, $E$13)</f>
        <v>4.2515000000000001</v>
      </c>
      <c r="G145" s="64">
        <f>4.2618 * CHOOSE(CONTROL!$C$22, $C$13, 100%, $E$13)</f>
        <v>4.2618</v>
      </c>
      <c r="H145" s="64">
        <f>7.2959* CHOOSE(CONTROL!$C$22, $C$13, 100%, $E$13)</f>
        <v>7.2958999999999996</v>
      </c>
      <c r="I145" s="64">
        <f>7.3061 * CHOOSE(CONTROL!$C$22, $C$13, 100%, $E$13)</f>
        <v>7.3060999999999998</v>
      </c>
      <c r="J145" s="64">
        <f>4.2515 * CHOOSE(CONTROL!$C$22, $C$13, 100%, $E$13)</f>
        <v>4.2515000000000001</v>
      </c>
      <c r="K145" s="64">
        <f>4.2618 * CHOOSE(CONTROL!$C$22, $C$13, 100%, $E$13)</f>
        <v>4.2618</v>
      </c>
      <c r="L145" s="4"/>
      <c r="M145" s="4"/>
      <c r="N145" s="4"/>
    </row>
    <row r="146" spans="1:14" ht="15">
      <c r="A146" s="13">
        <v>45931</v>
      </c>
      <c r="B146" s="63">
        <f>3.596 * CHOOSE(CONTROL!$C$22, $C$13, 100%, $E$13)</f>
        <v>3.5960000000000001</v>
      </c>
      <c r="C146" s="63">
        <f>3.596 * CHOOSE(CONTROL!$C$22, $C$13, 100%, $E$13)</f>
        <v>3.5960000000000001</v>
      </c>
      <c r="D146" s="63">
        <f>3.596 * CHOOSE(CONTROL!$C$22, $C$13, 100%, $E$13)</f>
        <v>3.5960000000000001</v>
      </c>
      <c r="E146" s="64">
        <f>4.2663 * CHOOSE(CONTROL!$C$22, $C$13, 100%, $E$13)</f>
        <v>4.2663000000000002</v>
      </c>
      <c r="F146" s="64">
        <f>4.2663 * CHOOSE(CONTROL!$C$22, $C$13, 100%, $E$13)</f>
        <v>4.2663000000000002</v>
      </c>
      <c r="G146" s="64">
        <f>4.2664 * CHOOSE(CONTROL!$C$22, $C$13, 100%, $E$13)</f>
        <v>4.2664</v>
      </c>
      <c r="H146" s="64">
        <f>7.3111* CHOOSE(CONTROL!$C$22, $C$13, 100%, $E$13)</f>
        <v>7.3110999999999997</v>
      </c>
      <c r="I146" s="64">
        <f>7.3112 * CHOOSE(CONTROL!$C$22, $C$13, 100%, $E$13)</f>
        <v>7.3112000000000004</v>
      </c>
      <c r="J146" s="64">
        <f>4.2663 * CHOOSE(CONTROL!$C$22, $C$13, 100%, $E$13)</f>
        <v>4.2663000000000002</v>
      </c>
      <c r="K146" s="64">
        <f>4.2664 * CHOOSE(CONTROL!$C$22, $C$13, 100%, $E$13)</f>
        <v>4.2664</v>
      </c>
      <c r="L146" s="4"/>
      <c r="M146" s="4"/>
      <c r="N146" s="4"/>
    </row>
    <row r="147" spans="1:14" ht="15">
      <c r="A147" s="13">
        <v>45962</v>
      </c>
      <c r="B147" s="63">
        <f>3.599 * CHOOSE(CONTROL!$C$22, $C$13, 100%, $E$13)</f>
        <v>3.5990000000000002</v>
      </c>
      <c r="C147" s="63">
        <f>3.599 * CHOOSE(CONTROL!$C$22, $C$13, 100%, $E$13)</f>
        <v>3.5990000000000002</v>
      </c>
      <c r="D147" s="63">
        <f>3.599 * CHOOSE(CONTROL!$C$22, $C$13, 100%, $E$13)</f>
        <v>3.5990000000000002</v>
      </c>
      <c r="E147" s="64">
        <f>4.2825 * CHOOSE(CONTROL!$C$22, $C$13, 100%, $E$13)</f>
        <v>4.2824999999999998</v>
      </c>
      <c r="F147" s="64">
        <f>4.2825 * CHOOSE(CONTROL!$C$22, $C$13, 100%, $E$13)</f>
        <v>4.2824999999999998</v>
      </c>
      <c r="G147" s="64">
        <f>4.2826 * CHOOSE(CONTROL!$C$22, $C$13, 100%, $E$13)</f>
        <v>4.2826000000000004</v>
      </c>
      <c r="H147" s="64">
        <f>7.3263* CHOOSE(CONTROL!$C$22, $C$13, 100%, $E$13)</f>
        <v>7.3262999999999998</v>
      </c>
      <c r="I147" s="64">
        <f>7.3264 * CHOOSE(CONTROL!$C$22, $C$13, 100%, $E$13)</f>
        <v>7.3263999999999996</v>
      </c>
      <c r="J147" s="64">
        <f>4.2825 * CHOOSE(CONTROL!$C$22, $C$13, 100%, $E$13)</f>
        <v>4.2824999999999998</v>
      </c>
      <c r="K147" s="64">
        <f>4.2826 * CHOOSE(CONTROL!$C$22, $C$13, 100%, $E$13)</f>
        <v>4.2826000000000004</v>
      </c>
    </row>
    <row r="148" spans="1:14" ht="15">
      <c r="A148" s="13">
        <v>45992</v>
      </c>
      <c r="B148" s="63">
        <f>3.599 * CHOOSE(CONTROL!$C$22, $C$13, 100%, $E$13)</f>
        <v>3.5990000000000002</v>
      </c>
      <c r="C148" s="63">
        <f>3.599 * CHOOSE(CONTROL!$C$22, $C$13, 100%, $E$13)</f>
        <v>3.5990000000000002</v>
      </c>
      <c r="D148" s="63">
        <f>3.599 * CHOOSE(CONTROL!$C$22, $C$13, 100%, $E$13)</f>
        <v>3.5990000000000002</v>
      </c>
      <c r="E148" s="64">
        <f>4.2473 * CHOOSE(CONTROL!$C$22, $C$13, 100%, $E$13)</f>
        <v>4.2473000000000001</v>
      </c>
      <c r="F148" s="64">
        <f>4.2473 * CHOOSE(CONTROL!$C$22, $C$13, 100%, $E$13)</f>
        <v>4.2473000000000001</v>
      </c>
      <c r="G148" s="64">
        <f>4.2474 * CHOOSE(CONTROL!$C$22, $C$13, 100%, $E$13)</f>
        <v>4.2473999999999998</v>
      </c>
      <c r="H148" s="64">
        <f>7.3416* CHOOSE(CONTROL!$C$22, $C$13, 100%, $E$13)</f>
        <v>7.3415999999999997</v>
      </c>
      <c r="I148" s="64">
        <f>7.3417 * CHOOSE(CONTROL!$C$22, $C$13, 100%, $E$13)</f>
        <v>7.3417000000000003</v>
      </c>
      <c r="J148" s="64">
        <f>4.2473 * CHOOSE(CONTROL!$C$22, $C$13, 100%, $E$13)</f>
        <v>4.2473000000000001</v>
      </c>
      <c r="K148" s="64">
        <f>4.2474 * CHOOSE(CONTROL!$C$22, $C$13, 100%, $E$13)</f>
        <v>4.2473999999999998</v>
      </c>
    </row>
    <row r="149" spans="1:14" ht="15">
      <c r="A149" s="13">
        <v>46023</v>
      </c>
      <c r="B149" s="63">
        <f>3.6288 * CHOOSE(CONTROL!$C$22, $C$13, 100%, $E$13)</f>
        <v>3.6288</v>
      </c>
      <c r="C149" s="63">
        <f>3.6288 * CHOOSE(CONTROL!$C$22, $C$13, 100%, $E$13)</f>
        <v>3.6288</v>
      </c>
      <c r="D149" s="63">
        <f>3.6288 * CHOOSE(CONTROL!$C$22, $C$13, 100%, $E$13)</f>
        <v>3.6288</v>
      </c>
      <c r="E149" s="64">
        <f>4.3063 * CHOOSE(CONTROL!$C$22, $C$13, 100%, $E$13)</f>
        <v>4.3063000000000002</v>
      </c>
      <c r="F149" s="64">
        <f>4.3063 * CHOOSE(CONTROL!$C$22, $C$13, 100%, $E$13)</f>
        <v>4.3063000000000002</v>
      </c>
      <c r="G149" s="64">
        <f>4.3064 * CHOOSE(CONTROL!$C$22, $C$13, 100%, $E$13)</f>
        <v>4.3064</v>
      </c>
      <c r="H149" s="64">
        <f>7.3569* CHOOSE(CONTROL!$C$22, $C$13, 100%, $E$13)</f>
        <v>7.3569000000000004</v>
      </c>
      <c r="I149" s="64">
        <f>7.357 * CHOOSE(CONTROL!$C$22, $C$13, 100%, $E$13)</f>
        <v>7.3570000000000002</v>
      </c>
      <c r="J149" s="64">
        <f>4.3063 * CHOOSE(CONTROL!$C$22, $C$13, 100%, $E$13)</f>
        <v>4.3063000000000002</v>
      </c>
      <c r="K149" s="64">
        <f>4.3064 * CHOOSE(CONTROL!$C$22, $C$13, 100%, $E$13)</f>
        <v>4.3064</v>
      </c>
    </row>
    <row r="150" spans="1:14" ht="15">
      <c r="A150" s="13">
        <v>46054</v>
      </c>
      <c r="B150" s="63">
        <f>3.6257 * CHOOSE(CONTROL!$C$22, $C$13, 100%, $E$13)</f>
        <v>3.6257000000000001</v>
      </c>
      <c r="C150" s="63">
        <f>3.6257 * CHOOSE(CONTROL!$C$22, $C$13, 100%, $E$13)</f>
        <v>3.6257000000000001</v>
      </c>
      <c r="D150" s="63">
        <f>3.6258 * CHOOSE(CONTROL!$C$22, $C$13, 100%, $E$13)</f>
        <v>3.6257999999999999</v>
      </c>
      <c r="E150" s="64">
        <f>4.236 * CHOOSE(CONTROL!$C$22, $C$13, 100%, $E$13)</f>
        <v>4.2359999999999998</v>
      </c>
      <c r="F150" s="64">
        <f>4.236 * CHOOSE(CONTROL!$C$22, $C$13, 100%, $E$13)</f>
        <v>4.2359999999999998</v>
      </c>
      <c r="G150" s="64">
        <f>4.236 * CHOOSE(CONTROL!$C$22, $C$13, 100%, $E$13)</f>
        <v>4.2359999999999998</v>
      </c>
      <c r="H150" s="64">
        <f>7.3722* CHOOSE(CONTROL!$C$22, $C$13, 100%, $E$13)</f>
        <v>7.3722000000000003</v>
      </c>
      <c r="I150" s="64">
        <f>7.3723 * CHOOSE(CONTROL!$C$22, $C$13, 100%, $E$13)</f>
        <v>7.3723000000000001</v>
      </c>
      <c r="J150" s="64">
        <f>4.236 * CHOOSE(CONTROL!$C$22, $C$13, 100%, $E$13)</f>
        <v>4.2359999999999998</v>
      </c>
      <c r="K150" s="64">
        <f>4.236 * CHOOSE(CONTROL!$C$22, $C$13, 100%, $E$13)</f>
        <v>4.2359999999999998</v>
      </c>
    </row>
    <row r="151" spans="1:14" ht="15">
      <c r="A151" s="13">
        <v>46082</v>
      </c>
      <c r="B151" s="63">
        <f>3.6227 * CHOOSE(CONTROL!$C$22, $C$13, 100%, $E$13)</f>
        <v>3.6227</v>
      </c>
      <c r="C151" s="63">
        <f>3.6227 * CHOOSE(CONTROL!$C$22, $C$13, 100%, $E$13)</f>
        <v>3.6227</v>
      </c>
      <c r="D151" s="63">
        <f>3.6227 * CHOOSE(CONTROL!$C$22, $C$13, 100%, $E$13)</f>
        <v>3.6227</v>
      </c>
      <c r="E151" s="64">
        <f>4.2876 * CHOOSE(CONTROL!$C$22, $C$13, 100%, $E$13)</f>
        <v>4.2876000000000003</v>
      </c>
      <c r="F151" s="64">
        <f>4.2876 * CHOOSE(CONTROL!$C$22, $C$13, 100%, $E$13)</f>
        <v>4.2876000000000003</v>
      </c>
      <c r="G151" s="64">
        <f>4.2877 * CHOOSE(CONTROL!$C$22, $C$13, 100%, $E$13)</f>
        <v>4.2877000000000001</v>
      </c>
      <c r="H151" s="64">
        <f>7.3876* CHOOSE(CONTROL!$C$22, $C$13, 100%, $E$13)</f>
        <v>7.3875999999999999</v>
      </c>
      <c r="I151" s="64">
        <f>7.3877 * CHOOSE(CONTROL!$C$22, $C$13, 100%, $E$13)</f>
        <v>7.3876999999999997</v>
      </c>
      <c r="J151" s="64">
        <f>4.2876 * CHOOSE(CONTROL!$C$22, $C$13, 100%, $E$13)</f>
        <v>4.2876000000000003</v>
      </c>
      <c r="K151" s="64">
        <f>4.2877 * CHOOSE(CONTROL!$C$22, $C$13, 100%, $E$13)</f>
        <v>4.2877000000000001</v>
      </c>
    </row>
    <row r="152" spans="1:14" ht="15">
      <c r="A152" s="13">
        <v>46113</v>
      </c>
      <c r="B152" s="63">
        <f>3.62 * CHOOSE(CONTROL!$C$22, $C$13, 100%, $E$13)</f>
        <v>3.62</v>
      </c>
      <c r="C152" s="63">
        <f>3.62 * CHOOSE(CONTROL!$C$22, $C$13, 100%, $E$13)</f>
        <v>3.62</v>
      </c>
      <c r="D152" s="63">
        <f>3.62 * CHOOSE(CONTROL!$C$22, $C$13, 100%, $E$13)</f>
        <v>3.62</v>
      </c>
      <c r="E152" s="64">
        <f>4.3412 * CHOOSE(CONTROL!$C$22, $C$13, 100%, $E$13)</f>
        <v>4.3411999999999997</v>
      </c>
      <c r="F152" s="64">
        <f>4.3412 * CHOOSE(CONTROL!$C$22, $C$13, 100%, $E$13)</f>
        <v>4.3411999999999997</v>
      </c>
      <c r="G152" s="64">
        <f>4.3412 * CHOOSE(CONTROL!$C$22, $C$13, 100%, $E$13)</f>
        <v>4.3411999999999997</v>
      </c>
      <c r="H152" s="64">
        <f>7.403* CHOOSE(CONTROL!$C$22, $C$13, 100%, $E$13)</f>
        <v>7.4029999999999996</v>
      </c>
      <c r="I152" s="64">
        <f>7.403 * CHOOSE(CONTROL!$C$22, $C$13, 100%, $E$13)</f>
        <v>7.4029999999999996</v>
      </c>
      <c r="J152" s="64">
        <f>4.3412 * CHOOSE(CONTROL!$C$22, $C$13, 100%, $E$13)</f>
        <v>4.3411999999999997</v>
      </c>
      <c r="K152" s="64">
        <f>4.3412 * CHOOSE(CONTROL!$C$22, $C$13, 100%, $E$13)</f>
        <v>4.3411999999999997</v>
      </c>
    </row>
    <row r="153" spans="1:14" ht="15">
      <c r="A153" s="13">
        <v>46143</v>
      </c>
      <c r="B153" s="63">
        <f>3.62 * CHOOSE(CONTROL!$C$22, $C$13, 100%, $E$13)</f>
        <v>3.62</v>
      </c>
      <c r="C153" s="63">
        <f>3.62 * CHOOSE(CONTROL!$C$22, $C$13, 100%, $E$13)</f>
        <v>3.62</v>
      </c>
      <c r="D153" s="63">
        <f>3.6284 * CHOOSE(CONTROL!$C$22, $C$13, 100%, $E$13)</f>
        <v>3.6284000000000001</v>
      </c>
      <c r="E153" s="64">
        <f>4.3628 * CHOOSE(CONTROL!$C$22, $C$13, 100%, $E$13)</f>
        <v>4.3628</v>
      </c>
      <c r="F153" s="64">
        <f>4.3628 * CHOOSE(CONTROL!$C$22, $C$13, 100%, $E$13)</f>
        <v>4.3628</v>
      </c>
      <c r="G153" s="64">
        <f>4.3731 * CHOOSE(CONTROL!$C$22, $C$13, 100%, $E$13)</f>
        <v>4.3731</v>
      </c>
      <c r="H153" s="64">
        <f>7.4184* CHOOSE(CONTROL!$C$22, $C$13, 100%, $E$13)</f>
        <v>7.4184000000000001</v>
      </c>
      <c r="I153" s="64">
        <f>7.4286 * CHOOSE(CONTROL!$C$22, $C$13, 100%, $E$13)</f>
        <v>7.4286000000000003</v>
      </c>
      <c r="J153" s="64">
        <f>4.3628 * CHOOSE(CONTROL!$C$22, $C$13, 100%, $E$13)</f>
        <v>4.3628</v>
      </c>
      <c r="K153" s="64">
        <f>4.3731 * CHOOSE(CONTROL!$C$22, $C$13, 100%, $E$13)</f>
        <v>4.3731</v>
      </c>
    </row>
    <row r="154" spans="1:14" ht="15">
      <c r="A154" s="13">
        <v>46174</v>
      </c>
      <c r="B154" s="63">
        <f>3.626 * CHOOSE(CONTROL!$C$22, $C$13, 100%, $E$13)</f>
        <v>3.6259999999999999</v>
      </c>
      <c r="C154" s="63">
        <f>3.626 * CHOOSE(CONTROL!$C$22, $C$13, 100%, $E$13)</f>
        <v>3.6259999999999999</v>
      </c>
      <c r="D154" s="63">
        <f>3.6345 * CHOOSE(CONTROL!$C$22, $C$13, 100%, $E$13)</f>
        <v>3.6345000000000001</v>
      </c>
      <c r="E154" s="64">
        <f>4.3454 * CHOOSE(CONTROL!$C$22, $C$13, 100%, $E$13)</f>
        <v>4.3453999999999997</v>
      </c>
      <c r="F154" s="64">
        <f>4.3454 * CHOOSE(CONTROL!$C$22, $C$13, 100%, $E$13)</f>
        <v>4.3453999999999997</v>
      </c>
      <c r="G154" s="64">
        <f>4.3556 * CHOOSE(CONTROL!$C$22, $C$13, 100%, $E$13)</f>
        <v>4.3555999999999999</v>
      </c>
      <c r="H154" s="64">
        <f>7.4338* CHOOSE(CONTROL!$C$22, $C$13, 100%, $E$13)</f>
        <v>7.4337999999999997</v>
      </c>
      <c r="I154" s="64">
        <f>7.4441 * CHOOSE(CONTROL!$C$22, $C$13, 100%, $E$13)</f>
        <v>7.4440999999999997</v>
      </c>
      <c r="J154" s="64">
        <f>4.3454 * CHOOSE(CONTROL!$C$22, $C$13, 100%, $E$13)</f>
        <v>4.3453999999999997</v>
      </c>
      <c r="K154" s="64">
        <f>4.3556 * CHOOSE(CONTROL!$C$22, $C$13, 100%, $E$13)</f>
        <v>4.3555999999999999</v>
      </c>
    </row>
    <row r="155" spans="1:14" ht="15">
      <c r="A155" s="13">
        <v>46204</v>
      </c>
      <c r="B155" s="63">
        <f>3.6807 * CHOOSE(CONTROL!$C$22, $C$13, 100%, $E$13)</f>
        <v>3.6806999999999999</v>
      </c>
      <c r="C155" s="63">
        <f>3.6807 * CHOOSE(CONTROL!$C$22, $C$13, 100%, $E$13)</f>
        <v>3.6806999999999999</v>
      </c>
      <c r="D155" s="63">
        <f>3.6891 * CHOOSE(CONTROL!$C$22, $C$13, 100%, $E$13)</f>
        <v>3.6890999999999998</v>
      </c>
      <c r="E155" s="64">
        <f>4.4213 * CHOOSE(CONTROL!$C$22, $C$13, 100%, $E$13)</f>
        <v>4.4212999999999996</v>
      </c>
      <c r="F155" s="64">
        <f>4.4213 * CHOOSE(CONTROL!$C$22, $C$13, 100%, $E$13)</f>
        <v>4.4212999999999996</v>
      </c>
      <c r="G155" s="64">
        <f>4.4315 * CHOOSE(CONTROL!$C$22, $C$13, 100%, $E$13)</f>
        <v>4.4314999999999998</v>
      </c>
      <c r="H155" s="64">
        <f>7.4493* CHOOSE(CONTROL!$C$22, $C$13, 100%, $E$13)</f>
        <v>7.4493</v>
      </c>
      <c r="I155" s="64">
        <f>7.4595 * CHOOSE(CONTROL!$C$22, $C$13, 100%, $E$13)</f>
        <v>7.4595000000000002</v>
      </c>
      <c r="J155" s="64">
        <f>4.4213 * CHOOSE(CONTROL!$C$22, $C$13, 100%, $E$13)</f>
        <v>4.4212999999999996</v>
      </c>
      <c r="K155" s="64">
        <f>4.4315 * CHOOSE(CONTROL!$C$22, $C$13, 100%, $E$13)</f>
        <v>4.4314999999999998</v>
      </c>
    </row>
    <row r="156" spans="1:14" ht="15">
      <c r="A156" s="13">
        <v>46235</v>
      </c>
      <c r="B156" s="63">
        <f>3.6874 * CHOOSE(CONTROL!$C$22, $C$13, 100%, $E$13)</f>
        <v>3.6873999999999998</v>
      </c>
      <c r="C156" s="63">
        <f>3.6874 * CHOOSE(CONTROL!$C$22, $C$13, 100%, $E$13)</f>
        <v>3.6873999999999998</v>
      </c>
      <c r="D156" s="63">
        <f>3.6958 * CHOOSE(CONTROL!$C$22, $C$13, 100%, $E$13)</f>
        <v>3.6958000000000002</v>
      </c>
      <c r="E156" s="64">
        <f>4.3609 * CHOOSE(CONTROL!$C$22, $C$13, 100%, $E$13)</f>
        <v>4.3609</v>
      </c>
      <c r="F156" s="64">
        <f>4.3609 * CHOOSE(CONTROL!$C$22, $C$13, 100%, $E$13)</f>
        <v>4.3609</v>
      </c>
      <c r="G156" s="64">
        <f>4.3712 * CHOOSE(CONTROL!$C$22, $C$13, 100%, $E$13)</f>
        <v>4.3712</v>
      </c>
      <c r="H156" s="64">
        <f>7.4648* CHOOSE(CONTROL!$C$22, $C$13, 100%, $E$13)</f>
        <v>7.4648000000000003</v>
      </c>
      <c r="I156" s="64">
        <f>7.4751 * CHOOSE(CONTROL!$C$22, $C$13, 100%, $E$13)</f>
        <v>7.4751000000000003</v>
      </c>
      <c r="J156" s="64">
        <f>4.3609 * CHOOSE(CONTROL!$C$22, $C$13, 100%, $E$13)</f>
        <v>4.3609</v>
      </c>
      <c r="K156" s="64">
        <f>4.3712 * CHOOSE(CONTROL!$C$22, $C$13, 100%, $E$13)</f>
        <v>4.3712</v>
      </c>
    </row>
    <row r="157" spans="1:14" ht="15">
      <c r="A157" s="13">
        <v>46266</v>
      </c>
      <c r="B157" s="63">
        <f>3.6843 * CHOOSE(CONTROL!$C$22, $C$13, 100%, $E$13)</f>
        <v>3.6842999999999999</v>
      </c>
      <c r="C157" s="63">
        <f>3.6843 * CHOOSE(CONTROL!$C$22, $C$13, 100%, $E$13)</f>
        <v>3.6842999999999999</v>
      </c>
      <c r="D157" s="63">
        <f>3.6928 * CHOOSE(CONTROL!$C$22, $C$13, 100%, $E$13)</f>
        <v>3.6928000000000001</v>
      </c>
      <c r="E157" s="64">
        <f>4.3516 * CHOOSE(CONTROL!$C$22, $C$13, 100%, $E$13)</f>
        <v>4.3516000000000004</v>
      </c>
      <c r="F157" s="64">
        <f>4.3516 * CHOOSE(CONTROL!$C$22, $C$13, 100%, $E$13)</f>
        <v>4.3516000000000004</v>
      </c>
      <c r="G157" s="64">
        <f>4.3618 * CHOOSE(CONTROL!$C$22, $C$13, 100%, $E$13)</f>
        <v>4.3617999999999997</v>
      </c>
      <c r="H157" s="64">
        <f>7.4804* CHOOSE(CONTROL!$C$22, $C$13, 100%, $E$13)</f>
        <v>7.4804000000000004</v>
      </c>
      <c r="I157" s="64">
        <f>7.4906 * CHOOSE(CONTROL!$C$22, $C$13, 100%, $E$13)</f>
        <v>7.4905999999999997</v>
      </c>
      <c r="J157" s="64">
        <f>4.3516 * CHOOSE(CONTROL!$C$22, $C$13, 100%, $E$13)</f>
        <v>4.3516000000000004</v>
      </c>
      <c r="K157" s="64">
        <f>4.3618 * CHOOSE(CONTROL!$C$22, $C$13, 100%, $E$13)</f>
        <v>4.3617999999999997</v>
      </c>
    </row>
    <row r="158" spans="1:14" ht="15">
      <c r="A158" s="13">
        <v>46296</v>
      </c>
      <c r="B158" s="63">
        <f>3.6781 * CHOOSE(CONTROL!$C$22, $C$13, 100%, $E$13)</f>
        <v>3.6781000000000001</v>
      </c>
      <c r="C158" s="63">
        <f>3.6781 * CHOOSE(CONTROL!$C$22, $C$13, 100%, $E$13)</f>
        <v>3.6781000000000001</v>
      </c>
      <c r="D158" s="63">
        <f>3.6781 * CHOOSE(CONTROL!$C$22, $C$13, 100%, $E$13)</f>
        <v>3.6781000000000001</v>
      </c>
      <c r="E158" s="64">
        <f>4.3671 * CHOOSE(CONTROL!$C$22, $C$13, 100%, $E$13)</f>
        <v>4.3670999999999998</v>
      </c>
      <c r="F158" s="64">
        <f>4.3671 * CHOOSE(CONTROL!$C$22, $C$13, 100%, $E$13)</f>
        <v>4.3670999999999998</v>
      </c>
      <c r="G158" s="64">
        <f>4.3672 * CHOOSE(CONTROL!$C$22, $C$13, 100%, $E$13)</f>
        <v>4.3672000000000004</v>
      </c>
      <c r="H158" s="64">
        <f>7.496* CHOOSE(CONTROL!$C$22, $C$13, 100%, $E$13)</f>
        <v>7.4960000000000004</v>
      </c>
      <c r="I158" s="64">
        <f>7.4961 * CHOOSE(CONTROL!$C$22, $C$13, 100%, $E$13)</f>
        <v>7.4961000000000002</v>
      </c>
      <c r="J158" s="64">
        <f>4.3671 * CHOOSE(CONTROL!$C$22, $C$13, 100%, $E$13)</f>
        <v>4.3670999999999998</v>
      </c>
      <c r="K158" s="64">
        <f>4.3672 * CHOOSE(CONTROL!$C$22, $C$13, 100%, $E$13)</f>
        <v>4.3672000000000004</v>
      </c>
    </row>
    <row r="159" spans="1:14" ht="15">
      <c r="A159" s="13">
        <v>46327</v>
      </c>
      <c r="B159" s="63">
        <f>3.6811 * CHOOSE(CONTROL!$C$22, $C$13, 100%, $E$13)</f>
        <v>3.6810999999999998</v>
      </c>
      <c r="C159" s="63">
        <f>3.6811 * CHOOSE(CONTROL!$C$22, $C$13, 100%, $E$13)</f>
        <v>3.6810999999999998</v>
      </c>
      <c r="D159" s="63">
        <f>3.6812 * CHOOSE(CONTROL!$C$22, $C$13, 100%, $E$13)</f>
        <v>3.6812</v>
      </c>
      <c r="E159" s="64">
        <f>4.3836 * CHOOSE(CONTROL!$C$22, $C$13, 100%, $E$13)</f>
        <v>4.3836000000000004</v>
      </c>
      <c r="F159" s="64">
        <f>4.3836 * CHOOSE(CONTROL!$C$22, $C$13, 100%, $E$13)</f>
        <v>4.3836000000000004</v>
      </c>
      <c r="G159" s="64">
        <f>4.3837 * CHOOSE(CONTROL!$C$22, $C$13, 100%, $E$13)</f>
        <v>4.3837000000000002</v>
      </c>
      <c r="H159" s="64">
        <f>7.5116* CHOOSE(CONTROL!$C$22, $C$13, 100%, $E$13)</f>
        <v>7.5115999999999996</v>
      </c>
      <c r="I159" s="64">
        <f>7.5117 * CHOOSE(CONTROL!$C$22, $C$13, 100%, $E$13)</f>
        <v>7.5117000000000003</v>
      </c>
      <c r="J159" s="64">
        <f>4.3836 * CHOOSE(CONTROL!$C$22, $C$13, 100%, $E$13)</f>
        <v>4.3836000000000004</v>
      </c>
      <c r="K159" s="64">
        <f>4.3837 * CHOOSE(CONTROL!$C$22, $C$13, 100%, $E$13)</f>
        <v>4.3837000000000002</v>
      </c>
    </row>
    <row r="160" spans="1:14" ht="15">
      <c r="A160" s="13">
        <v>46357</v>
      </c>
      <c r="B160" s="63">
        <f>3.6811 * CHOOSE(CONTROL!$C$22, $C$13, 100%, $E$13)</f>
        <v>3.6810999999999998</v>
      </c>
      <c r="C160" s="63">
        <f>3.6811 * CHOOSE(CONTROL!$C$22, $C$13, 100%, $E$13)</f>
        <v>3.6810999999999998</v>
      </c>
      <c r="D160" s="63">
        <f>3.6812 * CHOOSE(CONTROL!$C$22, $C$13, 100%, $E$13)</f>
        <v>3.6812</v>
      </c>
      <c r="E160" s="64">
        <f>4.3475 * CHOOSE(CONTROL!$C$22, $C$13, 100%, $E$13)</f>
        <v>4.3475000000000001</v>
      </c>
      <c r="F160" s="64">
        <f>4.3475 * CHOOSE(CONTROL!$C$22, $C$13, 100%, $E$13)</f>
        <v>4.3475000000000001</v>
      </c>
      <c r="G160" s="64">
        <f>4.3476 * CHOOSE(CONTROL!$C$22, $C$13, 100%, $E$13)</f>
        <v>4.3475999999999999</v>
      </c>
      <c r="H160" s="64">
        <f>7.5273* CHOOSE(CONTROL!$C$22, $C$13, 100%, $E$13)</f>
        <v>7.5273000000000003</v>
      </c>
      <c r="I160" s="64">
        <f>7.5273 * CHOOSE(CONTROL!$C$22, $C$13, 100%, $E$13)</f>
        <v>7.5273000000000003</v>
      </c>
      <c r="J160" s="64">
        <f>4.3475 * CHOOSE(CONTROL!$C$22, $C$13, 100%, $E$13)</f>
        <v>4.3475000000000001</v>
      </c>
      <c r="K160" s="64">
        <f>4.3476 * CHOOSE(CONTROL!$C$22, $C$13, 100%, $E$13)</f>
        <v>4.3475999999999999</v>
      </c>
    </row>
    <row r="161" spans="1:11" ht="15">
      <c r="A161" s="13">
        <v>46388</v>
      </c>
      <c r="B161" s="63">
        <f>3.7098 * CHOOSE(CONTROL!$C$22, $C$13, 100%, $E$13)</f>
        <v>3.7098</v>
      </c>
      <c r="C161" s="63">
        <f>3.7098 * CHOOSE(CONTROL!$C$22, $C$13, 100%, $E$13)</f>
        <v>3.7098</v>
      </c>
      <c r="D161" s="63">
        <f>3.7098 * CHOOSE(CONTROL!$C$22, $C$13, 100%, $E$13)</f>
        <v>3.7098</v>
      </c>
      <c r="E161" s="64">
        <f>4.4079 * CHOOSE(CONTROL!$C$22, $C$13, 100%, $E$13)</f>
        <v>4.4078999999999997</v>
      </c>
      <c r="F161" s="64">
        <f>4.4079 * CHOOSE(CONTROL!$C$22, $C$13, 100%, $E$13)</f>
        <v>4.4078999999999997</v>
      </c>
      <c r="G161" s="64">
        <f>4.408 * CHOOSE(CONTROL!$C$22, $C$13, 100%, $E$13)</f>
        <v>4.4080000000000004</v>
      </c>
      <c r="H161" s="64">
        <f>7.5429* CHOOSE(CONTROL!$C$22, $C$13, 100%, $E$13)</f>
        <v>7.5429000000000004</v>
      </c>
      <c r="I161" s="64">
        <f>7.543 * CHOOSE(CONTROL!$C$22, $C$13, 100%, $E$13)</f>
        <v>7.5430000000000001</v>
      </c>
      <c r="J161" s="64">
        <f>4.4079 * CHOOSE(CONTROL!$C$22, $C$13, 100%, $E$13)</f>
        <v>4.4078999999999997</v>
      </c>
      <c r="K161" s="64">
        <f>4.408 * CHOOSE(CONTROL!$C$22, $C$13, 100%, $E$13)</f>
        <v>4.4080000000000004</v>
      </c>
    </row>
    <row r="162" spans="1:11" ht="15">
      <c r="A162" s="13">
        <v>46419</v>
      </c>
      <c r="B162" s="63">
        <f>3.7067 * CHOOSE(CONTROL!$C$22, $C$13, 100%, $E$13)</f>
        <v>3.7067000000000001</v>
      </c>
      <c r="C162" s="63">
        <f>3.7067 * CHOOSE(CONTROL!$C$22, $C$13, 100%, $E$13)</f>
        <v>3.7067000000000001</v>
      </c>
      <c r="D162" s="63">
        <f>3.7067 * CHOOSE(CONTROL!$C$22, $C$13, 100%, $E$13)</f>
        <v>3.7067000000000001</v>
      </c>
      <c r="E162" s="64">
        <f>4.3359 * CHOOSE(CONTROL!$C$22, $C$13, 100%, $E$13)</f>
        <v>4.3358999999999996</v>
      </c>
      <c r="F162" s="64">
        <f>4.3359 * CHOOSE(CONTROL!$C$22, $C$13, 100%, $E$13)</f>
        <v>4.3358999999999996</v>
      </c>
      <c r="G162" s="64">
        <f>4.3359 * CHOOSE(CONTROL!$C$22, $C$13, 100%, $E$13)</f>
        <v>4.3358999999999996</v>
      </c>
      <c r="H162" s="64">
        <f>7.5586* CHOOSE(CONTROL!$C$22, $C$13, 100%, $E$13)</f>
        <v>7.5586000000000002</v>
      </c>
      <c r="I162" s="64">
        <f>7.5587 * CHOOSE(CONTROL!$C$22, $C$13, 100%, $E$13)</f>
        <v>7.5587</v>
      </c>
      <c r="J162" s="64">
        <f>4.3359 * CHOOSE(CONTROL!$C$22, $C$13, 100%, $E$13)</f>
        <v>4.3358999999999996</v>
      </c>
      <c r="K162" s="64">
        <f>4.3359 * CHOOSE(CONTROL!$C$22, $C$13, 100%, $E$13)</f>
        <v>4.3358999999999996</v>
      </c>
    </row>
    <row r="163" spans="1:11" ht="15">
      <c r="A163" s="13">
        <v>46447</v>
      </c>
      <c r="B163" s="63">
        <f>3.7037 * CHOOSE(CONTROL!$C$22, $C$13, 100%, $E$13)</f>
        <v>3.7037</v>
      </c>
      <c r="C163" s="63">
        <f>3.7037 * CHOOSE(CONTROL!$C$22, $C$13, 100%, $E$13)</f>
        <v>3.7037</v>
      </c>
      <c r="D163" s="63">
        <f>3.7037 * CHOOSE(CONTROL!$C$22, $C$13, 100%, $E$13)</f>
        <v>3.7037</v>
      </c>
      <c r="E163" s="64">
        <f>4.3889 * CHOOSE(CONTROL!$C$22, $C$13, 100%, $E$13)</f>
        <v>4.3888999999999996</v>
      </c>
      <c r="F163" s="64">
        <f>4.3889 * CHOOSE(CONTROL!$C$22, $C$13, 100%, $E$13)</f>
        <v>4.3888999999999996</v>
      </c>
      <c r="G163" s="64">
        <f>4.389 * CHOOSE(CONTROL!$C$22, $C$13, 100%, $E$13)</f>
        <v>4.3890000000000002</v>
      </c>
      <c r="H163" s="64">
        <f>7.5744* CHOOSE(CONTROL!$C$22, $C$13, 100%, $E$13)</f>
        <v>7.5743999999999998</v>
      </c>
      <c r="I163" s="64">
        <f>7.5745 * CHOOSE(CONTROL!$C$22, $C$13, 100%, $E$13)</f>
        <v>7.5744999999999996</v>
      </c>
      <c r="J163" s="64">
        <f>4.3889 * CHOOSE(CONTROL!$C$22, $C$13, 100%, $E$13)</f>
        <v>4.3888999999999996</v>
      </c>
      <c r="K163" s="64">
        <f>4.389 * CHOOSE(CONTROL!$C$22, $C$13, 100%, $E$13)</f>
        <v>4.3890000000000002</v>
      </c>
    </row>
    <row r="164" spans="1:11" ht="15">
      <c r="A164" s="13">
        <v>46478</v>
      </c>
      <c r="B164" s="63">
        <f>3.701 * CHOOSE(CONTROL!$C$22, $C$13, 100%, $E$13)</f>
        <v>3.7010000000000001</v>
      </c>
      <c r="C164" s="63">
        <f>3.701 * CHOOSE(CONTROL!$C$22, $C$13, 100%, $E$13)</f>
        <v>3.7010000000000001</v>
      </c>
      <c r="D164" s="63">
        <f>3.701 * CHOOSE(CONTROL!$C$22, $C$13, 100%, $E$13)</f>
        <v>3.7010000000000001</v>
      </c>
      <c r="E164" s="64">
        <f>4.4439 * CHOOSE(CONTROL!$C$22, $C$13, 100%, $E$13)</f>
        <v>4.4439000000000002</v>
      </c>
      <c r="F164" s="64">
        <f>4.4439 * CHOOSE(CONTROL!$C$22, $C$13, 100%, $E$13)</f>
        <v>4.4439000000000002</v>
      </c>
      <c r="G164" s="64">
        <f>4.444 * CHOOSE(CONTROL!$C$22, $C$13, 100%, $E$13)</f>
        <v>4.444</v>
      </c>
      <c r="H164" s="64">
        <f>7.5902* CHOOSE(CONTROL!$C$22, $C$13, 100%, $E$13)</f>
        <v>7.5902000000000003</v>
      </c>
      <c r="I164" s="64">
        <f>7.5903 * CHOOSE(CONTROL!$C$22, $C$13, 100%, $E$13)</f>
        <v>7.5903</v>
      </c>
      <c r="J164" s="64">
        <f>4.4439 * CHOOSE(CONTROL!$C$22, $C$13, 100%, $E$13)</f>
        <v>4.4439000000000002</v>
      </c>
      <c r="K164" s="64">
        <f>4.444 * CHOOSE(CONTROL!$C$22, $C$13, 100%, $E$13)</f>
        <v>4.444</v>
      </c>
    </row>
    <row r="165" spans="1:11" ht="15">
      <c r="A165" s="13">
        <v>46508</v>
      </c>
      <c r="B165" s="63">
        <f>3.701 * CHOOSE(CONTROL!$C$22, $C$13, 100%, $E$13)</f>
        <v>3.7010000000000001</v>
      </c>
      <c r="C165" s="63">
        <f>3.701 * CHOOSE(CONTROL!$C$22, $C$13, 100%, $E$13)</f>
        <v>3.7010000000000001</v>
      </c>
      <c r="D165" s="63">
        <f>3.7095 * CHOOSE(CONTROL!$C$22, $C$13, 100%, $E$13)</f>
        <v>3.7094999999999998</v>
      </c>
      <c r="E165" s="64">
        <f>4.4661 * CHOOSE(CONTROL!$C$22, $C$13, 100%, $E$13)</f>
        <v>4.4661</v>
      </c>
      <c r="F165" s="64">
        <f>4.4661 * CHOOSE(CONTROL!$C$22, $C$13, 100%, $E$13)</f>
        <v>4.4661</v>
      </c>
      <c r="G165" s="64">
        <f>4.4763 * CHOOSE(CONTROL!$C$22, $C$13, 100%, $E$13)</f>
        <v>4.4763000000000002</v>
      </c>
      <c r="H165" s="64">
        <f>7.606* CHOOSE(CONTROL!$C$22, $C$13, 100%, $E$13)</f>
        <v>7.6059999999999999</v>
      </c>
      <c r="I165" s="64">
        <f>7.6162 * CHOOSE(CONTROL!$C$22, $C$13, 100%, $E$13)</f>
        <v>7.6162000000000001</v>
      </c>
      <c r="J165" s="64">
        <f>4.4661 * CHOOSE(CONTROL!$C$22, $C$13, 100%, $E$13)</f>
        <v>4.4661</v>
      </c>
      <c r="K165" s="64">
        <f>4.4763 * CHOOSE(CONTROL!$C$22, $C$13, 100%, $E$13)</f>
        <v>4.4763000000000002</v>
      </c>
    </row>
    <row r="166" spans="1:11" ht="15">
      <c r="A166" s="13">
        <v>46539</v>
      </c>
      <c r="B166" s="63">
        <f>3.7071 * CHOOSE(CONTROL!$C$22, $C$13, 100%, $E$13)</f>
        <v>3.7071000000000001</v>
      </c>
      <c r="C166" s="63">
        <f>3.7071 * CHOOSE(CONTROL!$C$22, $C$13, 100%, $E$13)</f>
        <v>3.7071000000000001</v>
      </c>
      <c r="D166" s="63">
        <f>3.7155 * CHOOSE(CONTROL!$C$22, $C$13, 100%, $E$13)</f>
        <v>3.7155</v>
      </c>
      <c r="E166" s="64">
        <f>4.4481 * CHOOSE(CONTROL!$C$22, $C$13, 100%, $E$13)</f>
        <v>4.4481000000000002</v>
      </c>
      <c r="F166" s="64">
        <f>4.4481 * CHOOSE(CONTROL!$C$22, $C$13, 100%, $E$13)</f>
        <v>4.4481000000000002</v>
      </c>
      <c r="G166" s="64">
        <f>4.4584 * CHOOSE(CONTROL!$C$22, $C$13, 100%, $E$13)</f>
        <v>4.4584000000000001</v>
      </c>
      <c r="H166" s="64">
        <f>7.6218* CHOOSE(CONTROL!$C$22, $C$13, 100%, $E$13)</f>
        <v>7.6218000000000004</v>
      </c>
      <c r="I166" s="64">
        <f>7.6321 * CHOOSE(CONTROL!$C$22, $C$13, 100%, $E$13)</f>
        <v>7.6321000000000003</v>
      </c>
      <c r="J166" s="64">
        <f>4.4481 * CHOOSE(CONTROL!$C$22, $C$13, 100%, $E$13)</f>
        <v>4.4481000000000002</v>
      </c>
      <c r="K166" s="64">
        <f>4.4584 * CHOOSE(CONTROL!$C$22, $C$13, 100%, $E$13)</f>
        <v>4.4584000000000001</v>
      </c>
    </row>
    <row r="167" spans="1:11" ht="15">
      <c r="A167" s="13">
        <v>46569</v>
      </c>
      <c r="B167" s="63">
        <f>3.7587 * CHOOSE(CONTROL!$C$22, $C$13, 100%, $E$13)</f>
        <v>3.7587000000000002</v>
      </c>
      <c r="C167" s="63">
        <f>3.7587 * CHOOSE(CONTROL!$C$22, $C$13, 100%, $E$13)</f>
        <v>3.7587000000000002</v>
      </c>
      <c r="D167" s="63">
        <f>3.7671 * CHOOSE(CONTROL!$C$22, $C$13, 100%, $E$13)</f>
        <v>3.7671000000000001</v>
      </c>
      <c r="E167" s="64">
        <f>4.5253 * CHOOSE(CONTROL!$C$22, $C$13, 100%, $E$13)</f>
        <v>4.5252999999999997</v>
      </c>
      <c r="F167" s="64">
        <f>4.5253 * CHOOSE(CONTROL!$C$22, $C$13, 100%, $E$13)</f>
        <v>4.5252999999999997</v>
      </c>
      <c r="G167" s="64">
        <f>4.5355 * CHOOSE(CONTROL!$C$22, $C$13, 100%, $E$13)</f>
        <v>4.5354999999999999</v>
      </c>
      <c r="H167" s="64">
        <f>7.6377* CHOOSE(CONTROL!$C$22, $C$13, 100%, $E$13)</f>
        <v>7.6376999999999997</v>
      </c>
      <c r="I167" s="64">
        <f>7.6479 * CHOOSE(CONTROL!$C$22, $C$13, 100%, $E$13)</f>
        <v>7.6478999999999999</v>
      </c>
      <c r="J167" s="64">
        <f>4.5253 * CHOOSE(CONTROL!$C$22, $C$13, 100%, $E$13)</f>
        <v>4.5252999999999997</v>
      </c>
      <c r="K167" s="64">
        <f>4.5355 * CHOOSE(CONTROL!$C$22, $C$13, 100%, $E$13)</f>
        <v>4.5354999999999999</v>
      </c>
    </row>
    <row r="168" spans="1:11" ht="15">
      <c r="A168" s="13">
        <v>46600</v>
      </c>
      <c r="B168" s="63">
        <f>3.7654 * CHOOSE(CONTROL!$C$22, $C$13, 100%, $E$13)</f>
        <v>3.7654000000000001</v>
      </c>
      <c r="C168" s="63">
        <f>3.7654 * CHOOSE(CONTROL!$C$22, $C$13, 100%, $E$13)</f>
        <v>3.7654000000000001</v>
      </c>
      <c r="D168" s="63">
        <f>3.7738 * CHOOSE(CONTROL!$C$22, $C$13, 100%, $E$13)</f>
        <v>3.7738</v>
      </c>
      <c r="E168" s="64">
        <f>4.4633 * CHOOSE(CONTROL!$C$22, $C$13, 100%, $E$13)</f>
        <v>4.4633000000000003</v>
      </c>
      <c r="F168" s="64">
        <f>4.4633 * CHOOSE(CONTROL!$C$22, $C$13, 100%, $E$13)</f>
        <v>4.4633000000000003</v>
      </c>
      <c r="G168" s="64">
        <f>4.4735 * CHOOSE(CONTROL!$C$22, $C$13, 100%, $E$13)</f>
        <v>4.4734999999999996</v>
      </c>
      <c r="H168" s="64">
        <f>7.6536* CHOOSE(CONTROL!$C$22, $C$13, 100%, $E$13)</f>
        <v>7.6536</v>
      </c>
      <c r="I168" s="64">
        <f>7.6638 * CHOOSE(CONTROL!$C$22, $C$13, 100%, $E$13)</f>
        <v>7.6638000000000002</v>
      </c>
      <c r="J168" s="64">
        <f>4.4633 * CHOOSE(CONTROL!$C$22, $C$13, 100%, $E$13)</f>
        <v>4.4633000000000003</v>
      </c>
      <c r="K168" s="64">
        <f>4.4735 * CHOOSE(CONTROL!$C$22, $C$13, 100%, $E$13)</f>
        <v>4.4734999999999996</v>
      </c>
    </row>
    <row r="169" spans="1:11" ht="15">
      <c r="A169" s="13">
        <v>46631</v>
      </c>
      <c r="B169" s="63">
        <f>3.7623 * CHOOSE(CONTROL!$C$22, $C$13, 100%, $E$13)</f>
        <v>3.7623000000000002</v>
      </c>
      <c r="C169" s="63">
        <f>3.7623 * CHOOSE(CONTROL!$C$22, $C$13, 100%, $E$13)</f>
        <v>3.7623000000000002</v>
      </c>
      <c r="D169" s="63">
        <f>3.7708 * CHOOSE(CONTROL!$C$22, $C$13, 100%, $E$13)</f>
        <v>3.7707999999999999</v>
      </c>
      <c r="E169" s="64">
        <f>4.4538 * CHOOSE(CONTROL!$C$22, $C$13, 100%, $E$13)</f>
        <v>4.4538000000000002</v>
      </c>
      <c r="F169" s="64">
        <f>4.4538 * CHOOSE(CONTROL!$C$22, $C$13, 100%, $E$13)</f>
        <v>4.4538000000000002</v>
      </c>
      <c r="G169" s="64">
        <f>4.464 * CHOOSE(CONTROL!$C$22, $C$13, 100%, $E$13)</f>
        <v>4.4640000000000004</v>
      </c>
      <c r="H169" s="64">
        <f>7.6696* CHOOSE(CONTROL!$C$22, $C$13, 100%, $E$13)</f>
        <v>7.6696</v>
      </c>
      <c r="I169" s="64">
        <f>7.6798 * CHOOSE(CONTROL!$C$22, $C$13, 100%, $E$13)</f>
        <v>7.6798000000000002</v>
      </c>
      <c r="J169" s="64">
        <f>4.4538 * CHOOSE(CONTROL!$C$22, $C$13, 100%, $E$13)</f>
        <v>4.4538000000000002</v>
      </c>
      <c r="K169" s="64">
        <f>4.464 * CHOOSE(CONTROL!$C$22, $C$13, 100%, $E$13)</f>
        <v>4.4640000000000004</v>
      </c>
    </row>
    <row r="170" spans="1:11" ht="15">
      <c r="A170" s="13">
        <v>46661</v>
      </c>
      <c r="B170" s="63">
        <f>3.7564 * CHOOSE(CONTROL!$C$22, $C$13, 100%, $E$13)</f>
        <v>3.7564000000000002</v>
      </c>
      <c r="C170" s="63">
        <f>3.7564 * CHOOSE(CONTROL!$C$22, $C$13, 100%, $E$13)</f>
        <v>3.7564000000000002</v>
      </c>
      <c r="D170" s="63">
        <f>3.7564 * CHOOSE(CONTROL!$C$22, $C$13, 100%, $E$13)</f>
        <v>3.7564000000000002</v>
      </c>
      <c r="E170" s="64">
        <f>4.47 * CHOOSE(CONTROL!$C$22, $C$13, 100%, $E$13)</f>
        <v>4.47</v>
      </c>
      <c r="F170" s="64">
        <f>4.47 * CHOOSE(CONTROL!$C$22, $C$13, 100%, $E$13)</f>
        <v>4.47</v>
      </c>
      <c r="G170" s="64">
        <f>4.4701 * CHOOSE(CONTROL!$C$22, $C$13, 100%, $E$13)</f>
        <v>4.4701000000000004</v>
      </c>
      <c r="H170" s="64">
        <f>7.6855* CHOOSE(CONTROL!$C$22, $C$13, 100%, $E$13)</f>
        <v>7.6855000000000002</v>
      </c>
      <c r="I170" s="64">
        <f>7.6856 * CHOOSE(CONTROL!$C$22, $C$13, 100%, $E$13)</f>
        <v>7.6856</v>
      </c>
      <c r="J170" s="64">
        <f>4.47 * CHOOSE(CONTROL!$C$22, $C$13, 100%, $E$13)</f>
        <v>4.47</v>
      </c>
      <c r="K170" s="64">
        <f>4.4701 * CHOOSE(CONTROL!$C$22, $C$13, 100%, $E$13)</f>
        <v>4.4701000000000004</v>
      </c>
    </row>
    <row r="171" spans="1:11" ht="15">
      <c r="A171" s="13">
        <v>46692</v>
      </c>
      <c r="B171" s="63">
        <f>3.7595 * CHOOSE(CONTROL!$C$22, $C$13, 100%, $E$13)</f>
        <v>3.7595000000000001</v>
      </c>
      <c r="C171" s="63">
        <f>3.7595 * CHOOSE(CONTROL!$C$22, $C$13, 100%, $E$13)</f>
        <v>3.7595000000000001</v>
      </c>
      <c r="D171" s="63">
        <f>3.7595 * CHOOSE(CONTROL!$C$22, $C$13, 100%, $E$13)</f>
        <v>3.7595000000000001</v>
      </c>
      <c r="E171" s="64">
        <f>4.4869 * CHOOSE(CONTROL!$C$22, $C$13, 100%, $E$13)</f>
        <v>4.4869000000000003</v>
      </c>
      <c r="F171" s="64">
        <f>4.4869 * CHOOSE(CONTROL!$C$22, $C$13, 100%, $E$13)</f>
        <v>4.4869000000000003</v>
      </c>
      <c r="G171" s="64">
        <f>4.487 * CHOOSE(CONTROL!$C$22, $C$13, 100%, $E$13)</f>
        <v>4.4870000000000001</v>
      </c>
      <c r="H171" s="64">
        <f>7.7016* CHOOSE(CONTROL!$C$22, $C$13, 100%, $E$13)</f>
        <v>7.7016</v>
      </c>
      <c r="I171" s="64">
        <f>7.7016 * CHOOSE(CONTROL!$C$22, $C$13, 100%, $E$13)</f>
        <v>7.7016</v>
      </c>
      <c r="J171" s="64">
        <f>4.4869 * CHOOSE(CONTROL!$C$22, $C$13, 100%, $E$13)</f>
        <v>4.4869000000000003</v>
      </c>
      <c r="K171" s="64">
        <f>4.487 * CHOOSE(CONTROL!$C$22, $C$13, 100%, $E$13)</f>
        <v>4.4870000000000001</v>
      </c>
    </row>
    <row r="172" spans="1:11" ht="15">
      <c r="A172" s="13">
        <v>46722</v>
      </c>
      <c r="B172" s="63">
        <f>3.7595 * CHOOSE(CONTROL!$C$22, $C$13, 100%, $E$13)</f>
        <v>3.7595000000000001</v>
      </c>
      <c r="C172" s="63">
        <f>3.7595 * CHOOSE(CONTROL!$C$22, $C$13, 100%, $E$13)</f>
        <v>3.7595000000000001</v>
      </c>
      <c r="D172" s="63">
        <f>3.7595 * CHOOSE(CONTROL!$C$22, $C$13, 100%, $E$13)</f>
        <v>3.7595000000000001</v>
      </c>
      <c r="E172" s="64">
        <f>4.4499 * CHOOSE(CONTROL!$C$22, $C$13, 100%, $E$13)</f>
        <v>4.4499000000000004</v>
      </c>
      <c r="F172" s="64">
        <f>4.4499 * CHOOSE(CONTROL!$C$22, $C$13, 100%, $E$13)</f>
        <v>4.4499000000000004</v>
      </c>
      <c r="G172" s="64">
        <f>4.45 * CHOOSE(CONTROL!$C$22, $C$13, 100%, $E$13)</f>
        <v>4.45</v>
      </c>
      <c r="H172" s="64">
        <f>7.7176* CHOOSE(CONTROL!$C$22, $C$13, 100%, $E$13)</f>
        <v>7.7176</v>
      </c>
      <c r="I172" s="64">
        <f>7.7177 * CHOOSE(CONTROL!$C$22, $C$13, 100%, $E$13)</f>
        <v>7.7176999999999998</v>
      </c>
      <c r="J172" s="64">
        <f>4.4499 * CHOOSE(CONTROL!$C$22, $C$13, 100%, $E$13)</f>
        <v>4.4499000000000004</v>
      </c>
      <c r="K172" s="64">
        <f>4.45 * CHOOSE(CONTROL!$C$22, $C$13, 100%, $E$13)</f>
        <v>4.45</v>
      </c>
    </row>
    <row r="173" spans="1:11" ht="15">
      <c r="A173" s="13">
        <v>46753</v>
      </c>
      <c r="B173" s="63">
        <f>3.7926 * CHOOSE(CONTROL!$C$22, $C$13, 100%, $E$13)</f>
        <v>3.7926000000000002</v>
      </c>
      <c r="C173" s="63">
        <f>3.7926 * CHOOSE(CONTROL!$C$22, $C$13, 100%, $E$13)</f>
        <v>3.7926000000000002</v>
      </c>
      <c r="D173" s="63">
        <f>3.7926 * CHOOSE(CONTROL!$C$22, $C$13, 100%, $E$13)</f>
        <v>3.7926000000000002</v>
      </c>
      <c r="E173" s="64">
        <f>4.5119 * CHOOSE(CONTROL!$C$22, $C$13, 100%, $E$13)</f>
        <v>4.5118999999999998</v>
      </c>
      <c r="F173" s="64">
        <f>4.5119 * CHOOSE(CONTROL!$C$22, $C$13, 100%, $E$13)</f>
        <v>4.5118999999999998</v>
      </c>
      <c r="G173" s="64">
        <f>4.512 * CHOOSE(CONTROL!$C$22, $C$13, 100%, $E$13)</f>
        <v>4.5119999999999996</v>
      </c>
      <c r="H173" s="64">
        <f>7.7337* CHOOSE(CONTROL!$C$22, $C$13, 100%, $E$13)</f>
        <v>7.7336999999999998</v>
      </c>
      <c r="I173" s="64">
        <f>7.7338 * CHOOSE(CONTROL!$C$22, $C$13, 100%, $E$13)</f>
        <v>7.7337999999999996</v>
      </c>
      <c r="J173" s="64">
        <f>4.5119 * CHOOSE(CONTROL!$C$22, $C$13, 100%, $E$13)</f>
        <v>4.5118999999999998</v>
      </c>
      <c r="K173" s="64">
        <f>4.512 * CHOOSE(CONTROL!$C$22, $C$13, 100%, $E$13)</f>
        <v>4.5119999999999996</v>
      </c>
    </row>
    <row r="174" spans="1:11" ht="15">
      <c r="A174" s="13">
        <v>46784</v>
      </c>
      <c r="B174" s="63">
        <f>3.7896 * CHOOSE(CONTROL!$C$22, $C$13, 100%, $E$13)</f>
        <v>3.7896000000000001</v>
      </c>
      <c r="C174" s="63">
        <f>3.7896 * CHOOSE(CONTROL!$C$22, $C$13, 100%, $E$13)</f>
        <v>3.7896000000000001</v>
      </c>
      <c r="D174" s="63">
        <f>3.7896 * CHOOSE(CONTROL!$C$22, $C$13, 100%, $E$13)</f>
        <v>3.7896000000000001</v>
      </c>
      <c r="E174" s="64">
        <f>4.438 * CHOOSE(CONTROL!$C$22, $C$13, 100%, $E$13)</f>
        <v>4.4379999999999997</v>
      </c>
      <c r="F174" s="64">
        <f>4.438 * CHOOSE(CONTROL!$C$22, $C$13, 100%, $E$13)</f>
        <v>4.4379999999999997</v>
      </c>
      <c r="G174" s="64">
        <f>4.4381 * CHOOSE(CONTROL!$C$22, $C$13, 100%, $E$13)</f>
        <v>4.4381000000000004</v>
      </c>
      <c r="H174" s="64">
        <f>7.7498* CHOOSE(CONTROL!$C$22, $C$13, 100%, $E$13)</f>
        <v>7.7497999999999996</v>
      </c>
      <c r="I174" s="64">
        <f>7.7499 * CHOOSE(CONTROL!$C$22, $C$13, 100%, $E$13)</f>
        <v>7.7499000000000002</v>
      </c>
      <c r="J174" s="64">
        <f>4.438 * CHOOSE(CONTROL!$C$22, $C$13, 100%, $E$13)</f>
        <v>4.4379999999999997</v>
      </c>
      <c r="K174" s="64">
        <f>4.4381 * CHOOSE(CONTROL!$C$22, $C$13, 100%, $E$13)</f>
        <v>4.4381000000000004</v>
      </c>
    </row>
    <row r="175" spans="1:11" ht="15">
      <c r="A175" s="13">
        <v>46813</v>
      </c>
      <c r="B175" s="63">
        <f>3.7865 * CHOOSE(CONTROL!$C$22, $C$13, 100%, $E$13)</f>
        <v>3.7865000000000002</v>
      </c>
      <c r="C175" s="63">
        <f>3.7865 * CHOOSE(CONTROL!$C$22, $C$13, 100%, $E$13)</f>
        <v>3.7865000000000002</v>
      </c>
      <c r="D175" s="63">
        <f>3.7865 * CHOOSE(CONTROL!$C$22, $C$13, 100%, $E$13)</f>
        <v>3.7865000000000002</v>
      </c>
      <c r="E175" s="64">
        <f>4.4925 * CHOOSE(CONTROL!$C$22, $C$13, 100%, $E$13)</f>
        <v>4.4924999999999997</v>
      </c>
      <c r="F175" s="64">
        <f>4.4925 * CHOOSE(CONTROL!$C$22, $C$13, 100%, $E$13)</f>
        <v>4.4924999999999997</v>
      </c>
      <c r="G175" s="64">
        <f>4.4926 * CHOOSE(CONTROL!$C$22, $C$13, 100%, $E$13)</f>
        <v>4.4926000000000004</v>
      </c>
      <c r="H175" s="64">
        <f>7.7659* CHOOSE(CONTROL!$C$22, $C$13, 100%, $E$13)</f>
        <v>7.7659000000000002</v>
      </c>
      <c r="I175" s="64">
        <f>7.766 * CHOOSE(CONTROL!$C$22, $C$13, 100%, $E$13)</f>
        <v>7.766</v>
      </c>
      <c r="J175" s="64">
        <f>4.4925 * CHOOSE(CONTROL!$C$22, $C$13, 100%, $E$13)</f>
        <v>4.4924999999999997</v>
      </c>
      <c r="K175" s="64">
        <f>4.4926 * CHOOSE(CONTROL!$C$22, $C$13, 100%, $E$13)</f>
        <v>4.4926000000000004</v>
      </c>
    </row>
    <row r="176" spans="1:11" ht="15">
      <c r="A176" s="13">
        <v>46844</v>
      </c>
      <c r="B176" s="63">
        <f>3.7839 * CHOOSE(CONTROL!$C$22, $C$13, 100%, $E$13)</f>
        <v>3.7839</v>
      </c>
      <c r="C176" s="63">
        <f>3.7839 * CHOOSE(CONTROL!$C$22, $C$13, 100%, $E$13)</f>
        <v>3.7839</v>
      </c>
      <c r="D176" s="63">
        <f>3.7839 * CHOOSE(CONTROL!$C$22, $C$13, 100%, $E$13)</f>
        <v>3.7839</v>
      </c>
      <c r="E176" s="64">
        <f>4.549 * CHOOSE(CONTROL!$C$22, $C$13, 100%, $E$13)</f>
        <v>4.5490000000000004</v>
      </c>
      <c r="F176" s="64">
        <f>4.549 * CHOOSE(CONTROL!$C$22, $C$13, 100%, $E$13)</f>
        <v>4.5490000000000004</v>
      </c>
      <c r="G176" s="64">
        <f>4.5491 * CHOOSE(CONTROL!$C$22, $C$13, 100%, $E$13)</f>
        <v>4.5491000000000001</v>
      </c>
      <c r="H176" s="64">
        <f>7.7821* CHOOSE(CONTROL!$C$22, $C$13, 100%, $E$13)</f>
        <v>7.7820999999999998</v>
      </c>
      <c r="I176" s="64">
        <f>7.7822 * CHOOSE(CONTROL!$C$22, $C$13, 100%, $E$13)</f>
        <v>7.7821999999999996</v>
      </c>
      <c r="J176" s="64">
        <f>4.549 * CHOOSE(CONTROL!$C$22, $C$13, 100%, $E$13)</f>
        <v>4.5490000000000004</v>
      </c>
      <c r="K176" s="64">
        <f>4.5491 * CHOOSE(CONTROL!$C$22, $C$13, 100%, $E$13)</f>
        <v>4.5491000000000001</v>
      </c>
    </row>
    <row r="177" spans="1:11" ht="15">
      <c r="A177" s="13">
        <v>46874</v>
      </c>
      <c r="B177" s="63">
        <f>3.7839 * CHOOSE(CONTROL!$C$22, $C$13, 100%, $E$13)</f>
        <v>3.7839</v>
      </c>
      <c r="C177" s="63">
        <f>3.7839 * CHOOSE(CONTROL!$C$22, $C$13, 100%, $E$13)</f>
        <v>3.7839</v>
      </c>
      <c r="D177" s="63">
        <f>3.7924 * CHOOSE(CONTROL!$C$22, $C$13, 100%, $E$13)</f>
        <v>3.7924000000000002</v>
      </c>
      <c r="E177" s="64">
        <f>4.5718 * CHOOSE(CONTROL!$C$22, $C$13, 100%, $E$13)</f>
        <v>4.5717999999999996</v>
      </c>
      <c r="F177" s="64">
        <f>4.5718 * CHOOSE(CONTROL!$C$22, $C$13, 100%, $E$13)</f>
        <v>4.5717999999999996</v>
      </c>
      <c r="G177" s="64">
        <f>4.582 * CHOOSE(CONTROL!$C$22, $C$13, 100%, $E$13)</f>
        <v>4.5819999999999999</v>
      </c>
      <c r="H177" s="64">
        <f>7.7983* CHOOSE(CONTROL!$C$22, $C$13, 100%, $E$13)</f>
        <v>7.7983000000000002</v>
      </c>
      <c r="I177" s="64">
        <f>7.8085 * CHOOSE(CONTROL!$C$22, $C$13, 100%, $E$13)</f>
        <v>7.8085000000000004</v>
      </c>
      <c r="J177" s="64">
        <f>4.5718 * CHOOSE(CONTROL!$C$22, $C$13, 100%, $E$13)</f>
        <v>4.5717999999999996</v>
      </c>
      <c r="K177" s="64">
        <f>4.582 * CHOOSE(CONTROL!$C$22, $C$13, 100%, $E$13)</f>
        <v>4.5819999999999999</v>
      </c>
    </row>
    <row r="178" spans="1:11" ht="15">
      <c r="A178" s="13">
        <v>46905</v>
      </c>
      <c r="B178" s="63">
        <f>3.79 * CHOOSE(CONTROL!$C$22, $C$13, 100%, $E$13)</f>
        <v>3.79</v>
      </c>
      <c r="C178" s="63">
        <f>3.79 * CHOOSE(CONTROL!$C$22, $C$13, 100%, $E$13)</f>
        <v>3.79</v>
      </c>
      <c r="D178" s="63">
        <f>3.7985 * CHOOSE(CONTROL!$C$22, $C$13, 100%, $E$13)</f>
        <v>3.7985000000000002</v>
      </c>
      <c r="E178" s="64">
        <f>4.5532 * CHOOSE(CONTROL!$C$22, $C$13, 100%, $E$13)</f>
        <v>4.5532000000000004</v>
      </c>
      <c r="F178" s="64">
        <f>4.5532 * CHOOSE(CONTROL!$C$22, $C$13, 100%, $E$13)</f>
        <v>4.5532000000000004</v>
      </c>
      <c r="G178" s="64">
        <f>4.5635 * CHOOSE(CONTROL!$C$22, $C$13, 100%, $E$13)</f>
        <v>4.5635000000000003</v>
      </c>
      <c r="H178" s="64">
        <f>7.8146* CHOOSE(CONTROL!$C$22, $C$13, 100%, $E$13)</f>
        <v>7.8146000000000004</v>
      </c>
      <c r="I178" s="64">
        <f>7.8248 * CHOOSE(CONTROL!$C$22, $C$13, 100%, $E$13)</f>
        <v>7.8247999999999998</v>
      </c>
      <c r="J178" s="64">
        <f>4.5532 * CHOOSE(CONTROL!$C$22, $C$13, 100%, $E$13)</f>
        <v>4.5532000000000004</v>
      </c>
      <c r="K178" s="64">
        <f>4.5635 * CHOOSE(CONTROL!$C$22, $C$13, 100%, $E$13)</f>
        <v>4.5635000000000003</v>
      </c>
    </row>
    <row r="179" spans="1:11" ht="15">
      <c r="A179" s="13">
        <v>46935</v>
      </c>
      <c r="B179" s="63">
        <f>3.8518 * CHOOSE(CONTROL!$C$22, $C$13, 100%, $E$13)</f>
        <v>3.8517999999999999</v>
      </c>
      <c r="C179" s="63">
        <f>3.8518 * CHOOSE(CONTROL!$C$22, $C$13, 100%, $E$13)</f>
        <v>3.8517999999999999</v>
      </c>
      <c r="D179" s="63">
        <f>3.8602 * CHOOSE(CONTROL!$C$22, $C$13, 100%, $E$13)</f>
        <v>3.8601999999999999</v>
      </c>
      <c r="E179" s="64">
        <f>4.6316 * CHOOSE(CONTROL!$C$22, $C$13, 100%, $E$13)</f>
        <v>4.6315999999999997</v>
      </c>
      <c r="F179" s="64">
        <f>4.6316 * CHOOSE(CONTROL!$C$22, $C$13, 100%, $E$13)</f>
        <v>4.6315999999999997</v>
      </c>
      <c r="G179" s="64">
        <f>4.6418 * CHOOSE(CONTROL!$C$22, $C$13, 100%, $E$13)</f>
        <v>4.6417999999999999</v>
      </c>
      <c r="H179" s="64">
        <f>7.8309* CHOOSE(CONTROL!$C$22, $C$13, 100%, $E$13)</f>
        <v>7.8308999999999997</v>
      </c>
      <c r="I179" s="64">
        <f>7.8411 * CHOOSE(CONTROL!$C$22, $C$13, 100%, $E$13)</f>
        <v>7.8411</v>
      </c>
      <c r="J179" s="64">
        <f>4.6316 * CHOOSE(CONTROL!$C$22, $C$13, 100%, $E$13)</f>
        <v>4.6315999999999997</v>
      </c>
      <c r="K179" s="64">
        <f>4.6418 * CHOOSE(CONTROL!$C$22, $C$13, 100%, $E$13)</f>
        <v>4.6417999999999999</v>
      </c>
    </row>
    <row r="180" spans="1:11" ht="15">
      <c r="A180" s="13">
        <v>46966</v>
      </c>
      <c r="B180" s="63">
        <f>3.8585 * CHOOSE(CONTROL!$C$22, $C$13, 100%, $E$13)</f>
        <v>3.8584999999999998</v>
      </c>
      <c r="C180" s="63">
        <f>3.8585 * CHOOSE(CONTROL!$C$22, $C$13, 100%, $E$13)</f>
        <v>3.8584999999999998</v>
      </c>
      <c r="D180" s="63">
        <f>3.8669 * CHOOSE(CONTROL!$C$22, $C$13, 100%, $E$13)</f>
        <v>3.8668999999999998</v>
      </c>
      <c r="E180" s="64">
        <f>4.5679 * CHOOSE(CONTROL!$C$22, $C$13, 100%, $E$13)</f>
        <v>4.5678999999999998</v>
      </c>
      <c r="F180" s="64">
        <f>4.5679 * CHOOSE(CONTROL!$C$22, $C$13, 100%, $E$13)</f>
        <v>4.5678999999999998</v>
      </c>
      <c r="G180" s="64">
        <f>4.5781 * CHOOSE(CONTROL!$C$22, $C$13, 100%, $E$13)</f>
        <v>4.5781000000000001</v>
      </c>
      <c r="H180" s="64">
        <f>7.8472* CHOOSE(CONTROL!$C$22, $C$13, 100%, $E$13)</f>
        <v>7.8472</v>
      </c>
      <c r="I180" s="64">
        <f>7.8574 * CHOOSE(CONTROL!$C$22, $C$13, 100%, $E$13)</f>
        <v>7.8574000000000002</v>
      </c>
      <c r="J180" s="64">
        <f>4.5679 * CHOOSE(CONTROL!$C$22, $C$13, 100%, $E$13)</f>
        <v>4.5678999999999998</v>
      </c>
      <c r="K180" s="64">
        <f>4.5781 * CHOOSE(CONTROL!$C$22, $C$13, 100%, $E$13)</f>
        <v>4.5781000000000001</v>
      </c>
    </row>
    <row r="181" spans="1:11" ht="15">
      <c r="A181" s="13">
        <v>46997</v>
      </c>
      <c r="B181" s="63">
        <f>3.8554 * CHOOSE(CONTROL!$C$22, $C$13, 100%, $E$13)</f>
        <v>3.8553999999999999</v>
      </c>
      <c r="C181" s="63">
        <f>3.8554 * CHOOSE(CONTROL!$C$22, $C$13, 100%, $E$13)</f>
        <v>3.8553999999999999</v>
      </c>
      <c r="D181" s="63">
        <f>3.8638 * CHOOSE(CONTROL!$C$22, $C$13, 100%, $E$13)</f>
        <v>3.8637999999999999</v>
      </c>
      <c r="E181" s="64">
        <f>4.5582 * CHOOSE(CONTROL!$C$22, $C$13, 100%, $E$13)</f>
        <v>4.5582000000000003</v>
      </c>
      <c r="F181" s="64">
        <f>4.5582 * CHOOSE(CONTROL!$C$22, $C$13, 100%, $E$13)</f>
        <v>4.5582000000000003</v>
      </c>
      <c r="G181" s="64">
        <f>4.5684 * CHOOSE(CONTROL!$C$22, $C$13, 100%, $E$13)</f>
        <v>4.5683999999999996</v>
      </c>
      <c r="H181" s="64">
        <f>7.8635* CHOOSE(CONTROL!$C$22, $C$13, 100%, $E$13)</f>
        <v>7.8635000000000002</v>
      </c>
      <c r="I181" s="64">
        <f>7.8737 * CHOOSE(CONTROL!$C$22, $C$13, 100%, $E$13)</f>
        <v>7.8737000000000004</v>
      </c>
      <c r="J181" s="64">
        <f>4.5582 * CHOOSE(CONTROL!$C$22, $C$13, 100%, $E$13)</f>
        <v>4.5582000000000003</v>
      </c>
      <c r="K181" s="64">
        <f>4.5684 * CHOOSE(CONTROL!$C$22, $C$13, 100%, $E$13)</f>
        <v>4.5683999999999996</v>
      </c>
    </row>
    <row r="182" spans="1:11" ht="15">
      <c r="A182" s="13">
        <v>47027</v>
      </c>
      <c r="B182" s="63">
        <f>3.8498 * CHOOSE(CONTROL!$C$22, $C$13, 100%, $E$13)</f>
        <v>3.8498000000000001</v>
      </c>
      <c r="C182" s="63">
        <f>3.8498 * CHOOSE(CONTROL!$C$22, $C$13, 100%, $E$13)</f>
        <v>3.8498000000000001</v>
      </c>
      <c r="D182" s="63">
        <f>3.8499 * CHOOSE(CONTROL!$C$22, $C$13, 100%, $E$13)</f>
        <v>3.8498999999999999</v>
      </c>
      <c r="E182" s="64">
        <f>4.5751 * CHOOSE(CONTROL!$C$22, $C$13, 100%, $E$13)</f>
        <v>4.5750999999999999</v>
      </c>
      <c r="F182" s="64">
        <f>4.5751 * CHOOSE(CONTROL!$C$22, $C$13, 100%, $E$13)</f>
        <v>4.5750999999999999</v>
      </c>
      <c r="G182" s="64">
        <f>4.5752 * CHOOSE(CONTROL!$C$22, $C$13, 100%, $E$13)</f>
        <v>4.5751999999999997</v>
      </c>
      <c r="H182" s="64">
        <f>7.8799* CHOOSE(CONTROL!$C$22, $C$13, 100%, $E$13)</f>
        <v>7.8799000000000001</v>
      </c>
      <c r="I182" s="64">
        <f>7.88 * CHOOSE(CONTROL!$C$22, $C$13, 100%, $E$13)</f>
        <v>7.88</v>
      </c>
      <c r="J182" s="64">
        <f>4.5751 * CHOOSE(CONTROL!$C$22, $C$13, 100%, $E$13)</f>
        <v>4.5750999999999999</v>
      </c>
      <c r="K182" s="64">
        <f>4.5752 * CHOOSE(CONTROL!$C$22, $C$13, 100%, $E$13)</f>
        <v>4.5751999999999997</v>
      </c>
    </row>
    <row r="183" spans="1:11" ht="15">
      <c r="A183" s="13">
        <v>47058</v>
      </c>
      <c r="B183" s="63">
        <f>3.8529 * CHOOSE(CONTROL!$C$22, $C$13, 100%, $E$13)</f>
        <v>3.8529</v>
      </c>
      <c r="C183" s="63">
        <f>3.8529 * CHOOSE(CONTROL!$C$22, $C$13, 100%, $E$13)</f>
        <v>3.8529</v>
      </c>
      <c r="D183" s="63">
        <f>3.8529 * CHOOSE(CONTROL!$C$22, $C$13, 100%, $E$13)</f>
        <v>3.8529</v>
      </c>
      <c r="E183" s="64">
        <f>4.5924 * CHOOSE(CONTROL!$C$22, $C$13, 100%, $E$13)</f>
        <v>4.5923999999999996</v>
      </c>
      <c r="F183" s="64">
        <f>4.5924 * CHOOSE(CONTROL!$C$22, $C$13, 100%, $E$13)</f>
        <v>4.5923999999999996</v>
      </c>
      <c r="G183" s="64">
        <f>4.5925 * CHOOSE(CONTROL!$C$22, $C$13, 100%, $E$13)</f>
        <v>4.5925000000000002</v>
      </c>
      <c r="H183" s="64">
        <f>7.8963* CHOOSE(CONTROL!$C$22, $C$13, 100%, $E$13)</f>
        <v>7.8963000000000001</v>
      </c>
      <c r="I183" s="64">
        <f>7.8964 * CHOOSE(CONTROL!$C$22, $C$13, 100%, $E$13)</f>
        <v>7.8963999999999999</v>
      </c>
      <c r="J183" s="64">
        <f>4.5924 * CHOOSE(CONTROL!$C$22, $C$13, 100%, $E$13)</f>
        <v>4.5923999999999996</v>
      </c>
      <c r="K183" s="64">
        <f>4.5925 * CHOOSE(CONTROL!$C$22, $C$13, 100%, $E$13)</f>
        <v>4.5925000000000002</v>
      </c>
    </row>
    <row r="184" spans="1:11" ht="15">
      <c r="A184" s="13">
        <v>47088</v>
      </c>
      <c r="B184" s="63">
        <f>3.8529 * CHOOSE(CONTROL!$C$22, $C$13, 100%, $E$13)</f>
        <v>3.8529</v>
      </c>
      <c r="C184" s="63">
        <f>3.8529 * CHOOSE(CONTROL!$C$22, $C$13, 100%, $E$13)</f>
        <v>3.8529</v>
      </c>
      <c r="D184" s="63">
        <f>3.8529 * CHOOSE(CONTROL!$C$22, $C$13, 100%, $E$13)</f>
        <v>3.8529</v>
      </c>
      <c r="E184" s="64">
        <f>4.5545 * CHOOSE(CONTROL!$C$22, $C$13, 100%, $E$13)</f>
        <v>4.5545</v>
      </c>
      <c r="F184" s="64">
        <f>4.5545 * CHOOSE(CONTROL!$C$22, $C$13, 100%, $E$13)</f>
        <v>4.5545</v>
      </c>
      <c r="G184" s="64">
        <f>4.5546 * CHOOSE(CONTROL!$C$22, $C$13, 100%, $E$13)</f>
        <v>4.5545999999999998</v>
      </c>
      <c r="H184" s="64">
        <f>7.9128* CHOOSE(CONTROL!$C$22, $C$13, 100%, $E$13)</f>
        <v>7.9127999999999998</v>
      </c>
      <c r="I184" s="64">
        <f>7.9128 * CHOOSE(CONTROL!$C$22, $C$13, 100%, $E$13)</f>
        <v>7.9127999999999998</v>
      </c>
      <c r="J184" s="64">
        <f>4.5545 * CHOOSE(CONTROL!$C$22, $C$13, 100%, $E$13)</f>
        <v>4.5545</v>
      </c>
      <c r="K184" s="64">
        <f>4.5546 * CHOOSE(CONTROL!$C$22, $C$13, 100%, $E$13)</f>
        <v>4.5545999999999998</v>
      </c>
    </row>
    <row r="185" spans="1:11" ht="15">
      <c r="A185" s="13">
        <v>47119</v>
      </c>
      <c r="B185" s="63">
        <f>3.8828 * CHOOSE(CONTROL!$C$22, $C$13, 100%, $E$13)</f>
        <v>3.8828</v>
      </c>
      <c r="C185" s="63">
        <f>3.8828 * CHOOSE(CONTROL!$C$22, $C$13, 100%, $E$13)</f>
        <v>3.8828</v>
      </c>
      <c r="D185" s="63">
        <f>3.8828 * CHOOSE(CONTROL!$C$22, $C$13, 100%, $E$13)</f>
        <v>3.8828</v>
      </c>
      <c r="E185" s="64">
        <f>4.6181 * CHOOSE(CONTROL!$C$22, $C$13, 100%, $E$13)</f>
        <v>4.6181000000000001</v>
      </c>
      <c r="F185" s="64">
        <f>4.6181 * CHOOSE(CONTROL!$C$22, $C$13, 100%, $E$13)</f>
        <v>4.6181000000000001</v>
      </c>
      <c r="G185" s="64">
        <f>4.6182 * CHOOSE(CONTROL!$C$22, $C$13, 100%, $E$13)</f>
        <v>4.6181999999999999</v>
      </c>
      <c r="H185" s="64">
        <f>7.9293* CHOOSE(CONTROL!$C$22, $C$13, 100%, $E$13)</f>
        <v>7.9292999999999996</v>
      </c>
      <c r="I185" s="64">
        <f>7.9293 * CHOOSE(CONTROL!$C$22, $C$13, 100%, $E$13)</f>
        <v>7.9292999999999996</v>
      </c>
      <c r="J185" s="64">
        <f>4.6181 * CHOOSE(CONTROL!$C$22, $C$13, 100%, $E$13)</f>
        <v>4.6181000000000001</v>
      </c>
      <c r="K185" s="64">
        <f>4.6182 * CHOOSE(CONTROL!$C$22, $C$13, 100%, $E$13)</f>
        <v>4.6181999999999999</v>
      </c>
    </row>
    <row r="186" spans="1:11" ht="15">
      <c r="A186" s="13">
        <v>47150</v>
      </c>
      <c r="B186" s="63">
        <f>3.8798 * CHOOSE(CONTROL!$C$22, $C$13, 100%, $E$13)</f>
        <v>3.8797999999999999</v>
      </c>
      <c r="C186" s="63">
        <f>3.8798 * CHOOSE(CONTROL!$C$22, $C$13, 100%, $E$13)</f>
        <v>3.8797999999999999</v>
      </c>
      <c r="D186" s="63">
        <f>3.8798 * CHOOSE(CONTROL!$C$22, $C$13, 100%, $E$13)</f>
        <v>3.8797999999999999</v>
      </c>
      <c r="E186" s="64">
        <f>4.5424 * CHOOSE(CONTROL!$C$22, $C$13, 100%, $E$13)</f>
        <v>4.5423999999999998</v>
      </c>
      <c r="F186" s="64">
        <f>4.5424 * CHOOSE(CONTROL!$C$22, $C$13, 100%, $E$13)</f>
        <v>4.5423999999999998</v>
      </c>
      <c r="G186" s="64">
        <f>4.5425 * CHOOSE(CONTROL!$C$22, $C$13, 100%, $E$13)</f>
        <v>4.5425000000000004</v>
      </c>
      <c r="H186" s="64">
        <f>7.9458* CHOOSE(CONTROL!$C$22, $C$13, 100%, $E$13)</f>
        <v>7.9458000000000002</v>
      </c>
      <c r="I186" s="64">
        <f>7.9459 * CHOOSE(CONTROL!$C$22, $C$13, 100%, $E$13)</f>
        <v>7.9459</v>
      </c>
      <c r="J186" s="64">
        <f>4.5424 * CHOOSE(CONTROL!$C$22, $C$13, 100%, $E$13)</f>
        <v>4.5423999999999998</v>
      </c>
      <c r="K186" s="64">
        <f>4.5425 * CHOOSE(CONTROL!$C$22, $C$13, 100%, $E$13)</f>
        <v>4.5425000000000004</v>
      </c>
    </row>
    <row r="187" spans="1:11" ht="15">
      <c r="A187" s="13">
        <v>47178</v>
      </c>
      <c r="B187" s="63">
        <f>3.8767 * CHOOSE(CONTROL!$C$22, $C$13, 100%, $E$13)</f>
        <v>3.8767</v>
      </c>
      <c r="C187" s="63">
        <f>3.8767 * CHOOSE(CONTROL!$C$22, $C$13, 100%, $E$13)</f>
        <v>3.8767</v>
      </c>
      <c r="D187" s="63">
        <f>3.8768 * CHOOSE(CONTROL!$C$22, $C$13, 100%, $E$13)</f>
        <v>3.8767999999999998</v>
      </c>
      <c r="E187" s="64">
        <f>4.5983 * CHOOSE(CONTROL!$C$22, $C$13, 100%, $E$13)</f>
        <v>4.5983000000000001</v>
      </c>
      <c r="F187" s="64">
        <f>4.5983 * CHOOSE(CONTROL!$C$22, $C$13, 100%, $E$13)</f>
        <v>4.5983000000000001</v>
      </c>
      <c r="G187" s="64">
        <f>4.5984 * CHOOSE(CONTROL!$C$22, $C$13, 100%, $E$13)</f>
        <v>4.5983999999999998</v>
      </c>
      <c r="H187" s="64">
        <f>7.9623* CHOOSE(CONTROL!$C$22, $C$13, 100%, $E$13)</f>
        <v>7.9622999999999999</v>
      </c>
      <c r="I187" s="64">
        <f>7.9624 * CHOOSE(CONTROL!$C$22, $C$13, 100%, $E$13)</f>
        <v>7.9623999999999997</v>
      </c>
      <c r="J187" s="64">
        <f>4.5983 * CHOOSE(CONTROL!$C$22, $C$13, 100%, $E$13)</f>
        <v>4.5983000000000001</v>
      </c>
      <c r="K187" s="64">
        <f>4.5984 * CHOOSE(CONTROL!$C$22, $C$13, 100%, $E$13)</f>
        <v>4.5983999999999998</v>
      </c>
    </row>
    <row r="188" spans="1:11" ht="15">
      <c r="A188" s="13">
        <v>47209</v>
      </c>
      <c r="B188" s="63">
        <f>3.8743 * CHOOSE(CONTROL!$C$22, $C$13, 100%, $E$13)</f>
        <v>3.8742999999999999</v>
      </c>
      <c r="C188" s="63">
        <f>3.8743 * CHOOSE(CONTROL!$C$22, $C$13, 100%, $E$13)</f>
        <v>3.8742999999999999</v>
      </c>
      <c r="D188" s="63">
        <f>3.8743 * CHOOSE(CONTROL!$C$22, $C$13, 100%, $E$13)</f>
        <v>3.8742999999999999</v>
      </c>
      <c r="E188" s="64">
        <f>4.6563 * CHOOSE(CONTROL!$C$22, $C$13, 100%, $E$13)</f>
        <v>4.6562999999999999</v>
      </c>
      <c r="F188" s="64">
        <f>4.6563 * CHOOSE(CONTROL!$C$22, $C$13, 100%, $E$13)</f>
        <v>4.6562999999999999</v>
      </c>
      <c r="G188" s="64">
        <f>4.6564 * CHOOSE(CONTROL!$C$22, $C$13, 100%, $E$13)</f>
        <v>4.6563999999999997</v>
      </c>
      <c r="H188" s="64">
        <f>7.9789* CHOOSE(CONTROL!$C$22, $C$13, 100%, $E$13)</f>
        <v>7.9789000000000003</v>
      </c>
      <c r="I188" s="64">
        <f>7.979 * CHOOSE(CONTROL!$C$22, $C$13, 100%, $E$13)</f>
        <v>7.9790000000000001</v>
      </c>
      <c r="J188" s="64">
        <f>4.6563 * CHOOSE(CONTROL!$C$22, $C$13, 100%, $E$13)</f>
        <v>4.6562999999999999</v>
      </c>
      <c r="K188" s="64">
        <f>4.6564 * CHOOSE(CONTROL!$C$22, $C$13, 100%, $E$13)</f>
        <v>4.6563999999999997</v>
      </c>
    </row>
    <row r="189" spans="1:11" ht="15">
      <c r="A189" s="13">
        <v>47239</v>
      </c>
      <c r="B189" s="63">
        <f>3.8743 * CHOOSE(CONTROL!$C$22, $C$13, 100%, $E$13)</f>
        <v>3.8742999999999999</v>
      </c>
      <c r="C189" s="63">
        <f>3.8743 * CHOOSE(CONTROL!$C$22, $C$13, 100%, $E$13)</f>
        <v>3.8742999999999999</v>
      </c>
      <c r="D189" s="63">
        <f>3.8827 * CHOOSE(CONTROL!$C$22, $C$13, 100%, $E$13)</f>
        <v>3.8826999999999998</v>
      </c>
      <c r="E189" s="64">
        <f>4.6797 * CHOOSE(CONTROL!$C$22, $C$13, 100%, $E$13)</f>
        <v>4.6797000000000004</v>
      </c>
      <c r="F189" s="64">
        <f>4.6797 * CHOOSE(CONTROL!$C$22, $C$13, 100%, $E$13)</f>
        <v>4.6797000000000004</v>
      </c>
      <c r="G189" s="64">
        <f>4.6899 * CHOOSE(CONTROL!$C$22, $C$13, 100%, $E$13)</f>
        <v>4.6898999999999997</v>
      </c>
      <c r="H189" s="64">
        <f>7.9955* CHOOSE(CONTROL!$C$22, $C$13, 100%, $E$13)</f>
        <v>7.9954999999999998</v>
      </c>
      <c r="I189" s="64">
        <f>8.0058 * CHOOSE(CONTROL!$C$22, $C$13, 100%, $E$13)</f>
        <v>8.0058000000000007</v>
      </c>
      <c r="J189" s="64">
        <f>4.6797 * CHOOSE(CONTROL!$C$22, $C$13, 100%, $E$13)</f>
        <v>4.6797000000000004</v>
      </c>
      <c r="K189" s="64">
        <f>4.6899 * CHOOSE(CONTROL!$C$22, $C$13, 100%, $E$13)</f>
        <v>4.6898999999999997</v>
      </c>
    </row>
    <row r="190" spans="1:11" ht="15">
      <c r="A190" s="13">
        <v>47270</v>
      </c>
      <c r="B190" s="63">
        <f>3.8803 * CHOOSE(CONTROL!$C$22, $C$13, 100%, $E$13)</f>
        <v>3.8803000000000001</v>
      </c>
      <c r="C190" s="63">
        <f>3.8803 * CHOOSE(CONTROL!$C$22, $C$13, 100%, $E$13)</f>
        <v>3.8803000000000001</v>
      </c>
      <c r="D190" s="63">
        <f>3.8888 * CHOOSE(CONTROL!$C$22, $C$13, 100%, $E$13)</f>
        <v>3.8887999999999998</v>
      </c>
      <c r="E190" s="64">
        <f>4.6606 * CHOOSE(CONTROL!$C$22, $C$13, 100%, $E$13)</f>
        <v>4.6605999999999996</v>
      </c>
      <c r="F190" s="64">
        <f>4.6606 * CHOOSE(CONTROL!$C$22, $C$13, 100%, $E$13)</f>
        <v>4.6605999999999996</v>
      </c>
      <c r="G190" s="64">
        <f>4.6708 * CHOOSE(CONTROL!$C$22, $C$13, 100%, $E$13)</f>
        <v>4.6707999999999998</v>
      </c>
      <c r="H190" s="64">
        <f>8.0122* CHOOSE(CONTROL!$C$22, $C$13, 100%, $E$13)</f>
        <v>8.0122</v>
      </c>
      <c r="I190" s="64">
        <f>8.0224 * CHOOSE(CONTROL!$C$22, $C$13, 100%, $E$13)</f>
        <v>8.0223999999999993</v>
      </c>
      <c r="J190" s="64">
        <f>4.6606 * CHOOSE(CONTROL!$C$22, $C$13, 100%, $E$13)</f>
        <v>4.6605999999999996</v>
      </c>
      <c r="K190" s="64">
        <f>4.6708 * CHOOSE(CONTROL!$C$22, $C$13, 100%, $E$13)</f>
        <v>4.6707999999999998</v>
      </c>
    </row>
    <row r="191" spans="1:11" ht="15">
      <c r="A191" s="13">
        <v>47300</v>
      </c>
      <c r="B191" s="63">
        <f>3.9341 * CHOOSE(CONTROL!$C$22, $C$13, 100%, $E$13)</f>
        <v>3.9340999999999999</v>
      </c>
      <c r="C191" s="63">
        <f>3.9341 * CHOOSE(CONTROL!$C$22, $C$13, 100%, $E$13)</f>
        <v>3.9340999999999999</v>
      </c>
      <c r="D191" s="63">
        <f>3.9425 * CHOOSE(CONTROL!$C$22, $C$13, 100%, $E$13)</f>
        <v>3.9424999999999999</v>
      </c>
      <c r="E191" s="64">
        <f>4.7415 * CHOOSE(CONTROL!$C$22, $C$13, 100%, $E$13)</f>
        <v>4.7415000000000003</v>
      </c>
      <c r="F191" s="64">
        <f>4.7415 * CHOOSE(CONTROL!$C$22, $C$13, 100%, $E$13)</f>
        <v>4.7415000000000003</v>
      </c>
      <c r="G191" s="64">
        <f>4.7517 * CHOOSE(CONTROL!$C$22, $C$13, 100%, $E$13)</f>
        <v>4.7516999999999996</v>
      </c>
      <c r="H191" s="64">
        <f>8.0289* CHOOSE(CONTROL!$C$22, $C$13, 100%, $E$13)</f>
        <v>8.0289000000000001</v>
      </c>
      <c r="I191" s="64">
        <f>8.0391 * CHOOSE(CONTROL!$C$22, $C$13, 100%, $E$13)</f>
        <v>8.0390999999999995</v>
      </c>
      <c r="J191" s="64">
        <f>4.7415 * CHOOSE(CONTROL!$C$22, $C$13, 100%, $E$13)</f>
        <v>4.7415000000000003</v>
      </c>
      <c r="K191" s="64">
        <f>4.7517 * CHOOSE(CONTROL!$C$22, $C$13, 100%, $E$13)</f>
        <v>4.7516999999999996</v>
      </c>
    </row>
    <row r="192" spans="1:11" ht="15">
      <c r="A192" s="13">
        <v>47331</v>
      </c>
      <c r="B192" s="63">
        <f>3.9407 * CHOOSE(CONTROL!$C$22, $C$13, 100%, $E$13)</f>
        <v>3.9407000000000001</v>
      </c>
      <c r="C192" s="63">
        <f>3.9407 * CHOOSE(CONTROL!$C$22, $C$13, 100%, $E$13)</f>
        <v>3.9407000000000001</v>
      </c>
      <c r="D192" s="63">
        <f>3.9492 * CHOOSE(CONTROL!$C$22, $C$13, 100%, $E$13)</f>
        <v>3.9491999999999998</v>
      </c>
      <c r="E192" s="64">
        <f>4.676 * CHOOSE(CONTROL!$C$22, $C$13, 100%, $E$13)</f>
        <v>4.6760000000000002</v>
      </c>
      <c r="F192" s="64">
        <f>4.676 * CHOOSE(CONTROL!$C$22, $C$13, 100%, $E$13)</f>
        <v>4.6760000000000002</v>
      </c>
      <c r="G192" s="64">
        <f>4.6862 * CHOOSE(CONTROL!$C$22, $C$13, 100%, $E$13)</f>
        <v>4.6862000000000004</v>
      </c>
      <c r="H192" s="64">
        <f>8.0456* CHOOSE(CONTROL!$C$22, $C$13, 100%, $E$13)</f>
        <v>8.0456000000000003</v>
      </c>
      <c r="I192" s="64">
        <f>8.0558 * CHOOSE(CONTROL!$C$22, $C$13, 100%, $E$13)</f>
        <v>8.0557999999999996</v>
      </c>
      <c r="J192" s="64">
        <f>4.676 * CHOOSE(CONTROL!$C$22, $C$13, 100%, $E$13)</f>
        <v>4.6760000000000002</v>
      </c>
      <c r="K192" s="64">
        <f>4.6862 * CHOOSE(CONTROL!$C$22, $C$13, 100%, $E$13)</f>
        <v>4.6862000000000004</v>
      </c>
    </row>
    <row r="193" spans="1:11" ht="15">
      <c r="A193" s="13">
        <v>47362</v>
      </c>
      <c r="B193" s="63">
        <f>3.9377 * CHOOSE(CONTROL!$C$22, $C$13, 100%, $E$13)</f>
        <v>3.9377</v>
      </c>
      <c r="C193" s="63">
        <f>3.9377 * CHOOSE(CONTROL!$C$22, $C$13, 100%, $E$13)</f>
        <v>3.9377</v>
      </c>
      <c r="D193" s="63">
        <f>3.9461 * CHOOSE(CONTROL!$C$22, $C$13, 100%, $E$13)</f>
        <v>3.9460999999999999</v>
      </c>
      <c r="E193" s="64">
        <f>4.6661 * CHOOSE(CONTROL!$C$22, $C$13, 100%, $E$13)</f>
        <v>4.6661000000000001</v>
      </c>
      <c r="F193" s="64">
        <f>4.6661 * CHOOSE(CONTROL!$C$22, $C$13, 100%, $E$13)</f>
        <v>4.6661000000000001</v>
      </c>
      <c r="G193" s="64">
        <f>4.6763 * CHOOSE(CONTROL!$C$22, $C$13, 100%, $E$13)</f>
        <v>4.6763000000000003</v>
      </c>
      <c r="H193" s="64">
        <f>8.0624* CHOOSE(CONTROL!$C$22, $C$13, 100%, $E$13)</f>
        <v>8.0624000000000002</v>
      </c>
      <c r="I193" s="64">
        <f>8.0726 * CHOOSE(CONTROL!$C$22, $C$13, 100%, $E$13)</f>
        <v>8.0725999999999996</v>
      </c>
      <c r="J193" s="64">
        <f>4.6661 * CHOOSE(CONTROL!$C$22, $C$13, 100%, $E$13)</f>
        <v>4.6661000000000001</v>
      </c>
      <c r="K193" s="64">
        <f>4.6763 * CHOOSE(CONTROL!$C$22, $C$13, 100%, $E$13)</f>
        <v>4.6763000000000003</v>
      </c>
    </row>
    <row r="194" spans="1:11" ht="15">
      <c r="A194" s="13">
        <v>47392</v>
      </c>
      <c r="B194" s="63">
        <f>3.9325 * CHOOSE(CONTROL!$C$22, $C$13, 100%, $E$13)</f>
        <v>3.9325000000000001</v>
      </c>
      <c r="C194" s="63">
        <f>3.9325 * CHOOSE(CONTROL!$C$22, $C$13, 100%, $E$13)</f>
        <v>3.9325000000000001</v>
      </c>
      <c r="D194" s="63">
        <f>3.9325 * CHOOSE(CONTROL!$C$22, $C$13, 100%, $E$13)</f>
        <v>3.9325000000000001</v>
      </c>
      <c r="E194" s="64">
        <f>4.6838 * CHOOSE(CONTROL!$C$22, $C$13, 100%, $E$13)</f>
        <v>4.6837999999999997</v>
      </c>
      <c r="F194" s="64">
        <f>4.6838 * CHOOSE(CONTROL!$C$22, $C$13, 100%, $E$13)</f>
        <v>4.6837999999999997</v>
      </c>
      <c r="G194" s="64">
        <f>4.6839 * CHOOSE(CONTROL!$C$22, $C$13, 100%, $E$13)</f>
        <v>4.6839000000000004</v>
      </c>
      <c r="H194" s="64">
        <f>8.0792* CHOOSE(CONTROL!$C$22, $C$13, 100%, $E$13)</f>
        <v>8.0792000000000002</v>
      </c>
      <c r="I194" s="64">
        <f>8.0793 * CHOOSE(CONTROL!$C$22, $C$13, 100%, $E$13)</f>
        <v>8.0792999999999999</v>
      </c>
      <c r="J194" s="64">
        <f>4.6838 * CHOOSE(CONTROL!$C$22, $C$13, 100%, $E$13)</f>
        <v>4.6837999999999997</v>
      </c>
      <c r="K194" s="64">
        <f>4.6839 * CHOOSE(CONTROL!$C$22, $C$13, 100%, $E$13)</f>
        <v>4.6839000000000004</v>
      </c>
    </row>
    <row r="195" spans="1:11" ht="15">
      <c r="A195" s="13">
        <v>47423</v>
      </c>
      <c r="B195" s="63">
        <f>3.9355 * CHOOSE(CONTROL!$C$22, $C$13, 100%, $E$13)</f>
        <v>3.9355000000000002</v>
      </c>
      <c r="C195" s="63">
        <f>3.9355 * CHOOSE(CONTROL!$C$22, $C$13, 100%, $E$13)</f>
        <v>3.9355000000000002</v>
      </c>
      <c r="D195" s="63">
        <f>3.9355 * CHOOSE(CONTROL!$C$22, $C$13, 100%, $E$13)</f>
        <v>3.9355000000000002</v>
      </c>
      <c r="E195" s="64">
        <f>4.7015 * CHOOSE(CONTROL!$C$22, $C$13, 100%, $E$13)</f>
        <v>4.7015000000000002</v>
      </c>
      <c r="F195" s="64">
        <f>4.7015 * CHOOSE(CONTROL!$C$22, $C$13, 100%, $E$13)</f>
        <v>4.7015000000000002</v>
      </c>
      <c r="G195" s="64">
        <f>4.7016 * CHOOSE(CONTROL!$C$22, $C$13, 100%, $E$13)</f>
        <v>4.7016</v>
      </c>
      <c r="H195" s="64">
        <f>8.096* CHOOSE(CONTROL!$C$22, $C$13, 100%, $E$13)</f>
        <v>8.0960000000000001</v>
      </c>
      <c r="I195" s="64">
        <f>8.0961 * CHOOSE(CONTROL!$C$22, $C$13, 100%, $E$13)</f>
        <v>8.0960999999999999</v>
      </c>
      <c r="J195" s="64">
        <f>4.7015 * CHOOSE(CONTROL!$C$22, $C$13, 100%, $E$13)</f>
        <v>4.7015000000000002</v>
      </c>
      <c r="K195" s="64">
        <f>4.7016 * CHOOSE(CONTROL!$C$22, $C$13, 100%, $E$13)</f>
        <v>4.7016</v>
      </c>
    </row>
    <row r="196" spans="1:11" ht="15">
      <c r="A196" s="13">
        <v>47453</v>
      </c>
      <c r="B196" s="63">
        <f>3.9355 * CHOOSE(CONTROL!$C$22, $C$13, 100%, $E$13)</f>
        <v>3.9355000000000002</v>
      </c>
      <c r="C196" s="63">
        <f>3.9355 * CHOOSE(CONTROL!$C$22, $C$13, 100%, $E$13)</f>
        <v>3.9355000000000002</v>
      </c>
      <c r="D196" s="63">
        <f>3.9355 * CHOOSE(CONTROL!$C$22, $C$13, 100%, $E$13)</f>
        <v>3.9355000000000002</v>
      </c>
      <c r="E196" s="64">
        <f>4.6626 * CHOOSE(CONTROL!$C$22, $C$13, 100%, $E$13)</f>
        <v>4.6626000000000003</v>
      </c>
      <c r="F196" s="64">
        <f>4.6626 * CHOOSE(CONTROL!$C$22, $C$13, 100%, $E$13)</f>
        <v>4.6626000000000003</v>
      </c>
      <c r="G196" s="64">
        <f>4.6627 * CHOOSE(CONTROL!$C$22, $C$13, 100%, $E$13)</f>
        <v>4.6627000000000001</v>
      </c>
      <c r="H196" s="64">
        <f>8.1129* CHOOSE(CONTROL!$C$22, $C$13, 100%, $E$13)</f>
        <v>8.1128999999999998</v>
      </c>
      <c r="I196" s="64">
        <f>8.113 * CHOOSE(CONTROL!$C$22, $C$13, 100%, $E$13)</f>
        <v>8.1129999999999995</v>
      </c>
      <c r="J196" s="64">
        <f>4.6626 * CHOOSE(CONTROL!$C$22, $C$13, 100%, $E$13)</f>
        <v>4.6626000000000003</v>
      </c>
      <c r="K196" s="64">
        <f>4.6627 * CHOOSE(CONTROL!$C$22, $C$13, 100%, $E$13)</f>
        <v>4.6627000000000001</v>
      </c>
    </row>
    <row r="197" spans="1:11" ht="15">
      <c r="A197" s="13">
        <v>47484</v>
      </c>
      <c r="B197" s="63">
        <f>3.9695 * CHOOSE(CONTROL!$C$22, $C$13, 100%, $E$13)</f>
        <v>3.9695</v>
      </c>
      <c r="C197" s="63">
        <f>3.9695 * CHOOSE(CONTROL!$C$22, $C$13, 100%, $E$13)</f>
        <v>3.9695</v>
      </c>
      <c r="D197" s="63">
        <f>3.9695 * CHOOSE(CONTROL!$C$22, $C$13, 100%, $E$13)</f>
        <v>3.9695</v>
      </c>
      <c r="E197" s="64">
        <f>4.7284 * CHOOSE(CONTROL!$C$22, $C$13, 100%, $E$13)</f>
        <v>4.7283999999999997</v>
      </c>
      <c r="F197" s="64">
        <f>4.7284 * CHOOSE(CONTROL!$C$22, $C$13, 100%, $E$13)</f>
        <v>4.7283999999999997</v>
      </c>
      <c r="G197" s="64">
        <f>4.7285 * CHOOSE(CONTROL!$C$22, $C$13, 100%, $E$13)</f>
        <v>4.7285000000000004</v>
      </c>
      <c r="H197" s="64">
        <f>8.1298* CHOOSE(CONTROL!$C$22, $C$13, 100%, $E$13)</f>
        <v>8.1297999999999995</v>
      </c>
      <c r="I197" s="64">
        <f>8.1299 * CHOOSE(CONTROL!$C$22, $C$13, 100%, $E$13)</f>
        <v>8.1298999999999992</v>
      </c>
      <c r="J197" s="64">
        <f>4.7284 * CHOOSE(CONTROL!$C$22, $C$13, 100%, $E$13)</f>
        <v>4.7283999999999997</v>
      </c>
      <c r="K197" s="64">
        <f>4.7285 * CHOOSE(CONTROL!$C$22, $C$13, 100%, $E$13)</f>
        <v>4.7285000000000004</v>
      </c>
    </row>
    <row r="198" spans="1:11" ht="15">
      <c r="A198" s="13">
        <v>47515</v>
      </c>
      <c r="B198" s="63">
        <f>3.9664 * CHOOSE(CONTROL!$C$22, $C$13, 100%, $E$13)</f>
        <v>3.9664000000000001</v>
      </c>
      <c r="C198" s="63">
        <f>3.9664 * CHOOSE(CONTROL!$C$22, $C$13, 100%, $E$13)</f>
        <v>3.9664000000000001</v>
      </c>
      <c r="D198" s="63">
        <f>3.9665 * CHOOSE(CONTROL!$C$22, $C$13, 100%, $E$13)</f>
        <v>3.9664999999999999</v>
      </c>
      <c r="E198" s="64">
        <f>4.6508 * CHOOSE(CONTROL!$C$22, $C$13, 100%, $E$13)</f>
        <v>4.6508000000000003</v>
      </c>
      <c r="F198" s="64">
        <f>4.6508 * CHOOSE(CONTROL!$C$22, $C$13, 100%, $E$13)</f>
        <v>4.6508000000000003</v>
      </c>
      <c r="G198" s="64">
        <f>4.6509 * CHOOSE(CONTROL!$C$22, $C$13, 100%, $E$13)</f>
        <v>4.6509</v>
      </c>
      <c r="H198" s="64">
        <f>8.1467* CHOOSE(CONTROL!$C$22, $C$13, 100%, $E$13)</f>
        <v>8.1466999999999992</v>
      </c>
      <c r="I198" s="64">
        <f>8.1468 * CHOOSE(CONTROL!$C$22, $C$13, 100%, $E$13)</f>
        <v>8.1468000000000007</v>
      </c>
      <c r="J198" s="64">
        <f>4.6508 * CHOOSE(CONTROL!$C$22, $C$13, 100%, $E$13)</f>
        <v>4.6508000000000003</v>
      </c>
      <c r="K198" s="64">
        <f>4.6509 * CHOOSE(CONTROL!$C$22, $C$13, 100%, $E$13)</f>
        <v>4.6509</v>
      </c>
    </row>
    <row r="199" spans="1:11" ht="15">
      <c r="A199" s="13">
        <v>47543</v>
      </c>
      <c r="B199" s="63">
        <f>3.9634 * CHOOSE(CONTROL!$C$22, $C$13, 100%, $E$13)</f>
        <v>3.9634</v>
      </c>
      <c r="C199" s="63">
        <f>3.9634 * CHOOSE(CONTROL!$C$22, $C$13, 100%, $E$13)</f>
        <v>3.9634</v>
      </c>
      <c r="D199" s="63">
        <f>3.9634 * CHOOSE(CONTROL!$C$22, $C$13, 100%, $E$13)</f>
        <v>3.9634</v>
      </c>
      <c r="E199" s="64">
        <f>4.7082 * CHOOSE(CONTROL!$C$22, $C$13, 100%, $E$13)</f>
        <v>4.7081999999999997</v>
      </c>
      <c r="F199" s="64">
        <f>4.7082 * CHOOSE(CONTROL!$C$22, $C$13, 100%, $E$13)</f>
        <v>4.7081999999999997</v>
      </c>
      <c r="G199" s="64">
        <f>4.7083 * CHOOSE(CONTROL!$C$22, $C$13, 100%, $E$13)</f>
        <v>4.7083000000000004</v>
      </c>
      <c r="H199" s="64">
        <f>8.1637* CHOOSE(CONTROL!$C$22, $C$13, 100%, $E$13)</f>
        <v>8.1637000000000004</v>
      </c>
      <c r="I199" s="64">
        <f>8.1638 * CHOOSE(CONTROL!$C$22, $C$13, 100%, $E$13)</f>
        <v>8.1638000000000002</v>
      </c>
      <c r="J199" s="64">
        <f>4.7082 * CHOOSE(CONTROL!$C$22, $C$13, 100%, $E$13)</f>
        <v>4.7081999999999997</v>
      </c>
      <c r="K199" s="64">
        <f>4.7083 * CHOOSE(CONTROL!$C$22, $C$13, 100%, $E$13)</f>
        <v>4.7083000000000004</v>
      </c>
    </row>
    <row r="200" spans="1:11" ht="15">
      <c r="A200" s="13">
        <v>47574</v>
      </c>
      <c r="B200" s="63">
        <f>3.961 * CHOOSE(CONTROL!$C$22, $C$13, 100%, $E$13)</f>
        <v>3.9609999999999999</v>
      </c>
      <c r="C200" s="63">
        <f>3.961 * CHOOSE(CONTROL!$C$22, $C$13, 100%, $E$13)</f>
        <v>3.9609999999999999</v>
      </c>
      <c r="D200" s="63">
        <f>3.961 * CHOOSE(CONTROL!$C$22, $C$13, 100%, $E$13)</f>
        <v>3.9609999999999999</v>
      </c>
      <c r="E200" s="64">
        <f>4.7679 * CHOOSE(CONTROL!$C$22, $C$13, 100%, $E$13)</f>
        <v>4.7679</v>
      </c>
      <c r="F200" s="64">
        <f>4.7679 * CHOOSE(CONTROL!$C$22, $C$13, 100%, $E$13)</f>
        <v>4.7679</v>
      </c>
      <c r="G200" s="64">
        <f>4.768 * CHOOSE(CONTROL!$C$22, $C$13, 100%, $E$13)</f>
        <v>4.7679999999999998</v>
      </c>
      <c r="H200" s="64">
        <f>8.1807* CHOOSE(CONTROL!$C$22, $C$13, 100%, $E$13)</f>
        <v>8.1806999999999999</v>
      </c>
      <c r="I200" s="64">
        <f>8.1808 * CHOOSE(CONTROL!$C$22, $C$13, 100%, $E$13)</f>
        <v>8.1807999999999996</v>
      </c>
      <c r="J200" s="64">
        <f>4.7679 * CHOOSE(CONTROL!$C$22, $C$13, 100%, $E$13)</f>
        <v>4.7679</v>
      </c>
      <c r="K200" s="64">
        <f>4.768 * CHOOSE(CONTROL!$C$22, $C$13, 100%, $E$13)</f>
        <v>4.7679999999999998</v>
      </c>
    </row>
    <row r="201" spans="1:11" ht="15">
      <c r="A201" s="13">
        <v>47604</v>
      </c>
      <c r="B201" s="63">
        <f>3.961 * CHOOSE(CONTROL!$C$22, $C$13, 100%, $E$13)</f>
        <v>3.9609999999999999</v>
      </c>
      <c r="C201" s="63">
        <f>3.961 * CHOOSE(CONTROL!$C$22, $C$13, 100%, $E$13)</f>
        <v>3.9609999999999999</v>
      </c>
      <c r="D201" s="63">
        <f>3.9694 * CHOOSE(CONTROL!$C$22, $C$13, 100%, $E$13)</f>
        <v>3.9693999999999998</v>
      </c>
      <c r="E201" s="64">
        <f>4.7918 * CHOOSE(CONTROL!$C$22, $C$13, 100%, $E$13)</f>
        <v>4.7918000000000003</v>
      </c>
      <c r="F201" s="64">
        <f>4.7918 * CHOOSE(CONTROL!$C$22, $C$13, 100%, $E$13)</f>
        <v>4.7918000000000003</v>
      </c>
      <c r="G201" s="64">
        <f>4.8021 * CHOOSE(CONTROL!$C$22, $C$13, 100%, $E$13)</f>
        <v>4.8021000000000003</v>
      </c>
      <c r="H201" s="64">
        <f>8.1977* CHOOSE(CONTROL!$C$22, $C$13, 100%, $E$13)</f>
        <v>8.1976999999999993</v>
      </c>
      <c r="I201" s="64">
        <f>8.208 * CHOOSE(CONTROL!$C$22, $C$13, 100%, $E$13)</f>
        <v>8.2080000000000002</v>
      </c>
      <c r="J201" s="64">
        <f>4.7918 * CHOOSE(CONTROL!$C$22, $C$13, 100%, $E$13)</f>
        <v>4.7918000000000003</v>
      </c>
      <c r="K201" s="64">
        <f>4.8021 * CHOOSE(CONTROL!$C$22, $C$13, 100%, $E$13)</f>
        <v>4.8021000000000003</v>
      </c>
    </row>
    <row r="202" spans="1:11" ht="15">
      <c r="A202" s="13">
        <v>47635</v>
      </c>
      <c r="B202" s="63">
        <f>3.9671 * CHOOSE(CONTROL!$C$22, $C$13, 100%, $E$13)</f>
        <v>3.9670999999999998</v>
      </c>
      <c r="C202" s="63">
        <f>3.9671 * CHOOSE(CONTROL!$C$22, $C$13, 100%, $E$13)</f>
        <v>3.9670999999999998</v>
      </c>
      <c r="D202" s="63">
        <f>3.9755 * CHOOSE(CONTROL!$C$22, $C$13, 100%, $E$13)</f>
        <v>3.9754999999999998</v>
      </c>
      <c r="E202" s="64">
        <f>4.7721 * CHOOSE(CONTROL!$C$22, $C$13, 100%, $E$13)</f>
        <v>4.7721</v>
      </c>
      <c r="F202" s="64">
        <f>4.7721 * CHOOSE(CONTROL!$C$22, $C$13, 100%, $E$13)</f>
        <v>4.7721</v>
      </c>
      <c r="G202" s="64">
        <f>4.7823 * CHOOSE(CONTROL!$C$22, $C$13, 100%, $E$13)</f>
        <v>4.7823000000000002</v>
      </c>
      <c r="H202" s="64">
        <f>8.2148* CHOOSE(CONTROL!$C$22, $C$13, 100%, $E$13)</f>
        <v>8.2148000000000003</v>
      </c>
      <c r="I202" s="64">
        <f>8.225 * CHOOSE(CONTROL!$C$22, $C$13, 100%, $E$13)</f>
        <v>8.2249999999999996</v>
      </c>
      <c r="J202" s="64">
        <f>4.7721 * CHOOSE(CONTROL!$C$22, $C$13, 100%, $E$13)</f>
        <v>4.7721</v>
      </c>
      <c r="K202" s="64">
        <f>4.7823 * CHOOSE(CONTROL!$C$22, $C$13, 100%, $E$13)</f>
        <v>4.7823000000000002</v>
      </c>
    </row>
    <row r="203" spans="1:11" ht="15">
      <c r="A203" s="13">
        <v>47665</v>
      </c>
      <c r="B203" s="63">
        <f>4.0298 * CHOOSE(CONTROL!$C$22, $C$13, 100%, $E$13)</f>
        <v>4.0297999999999998</v>
      </c>
      <c r="C203" s="63">
        <f>4.0298 * CHOOSE(CONTROL!$C$22, $C$13, 100%, $E$13)</f>
        <v>4.0297999999999998</v>
      </c>
      <c r="D203" s="63">
        <f>4.0382 * CHOOSE(CONTROL!$C$22, $C$13, 100%, $E$13)</f>
        <v>4.0381999999999998</v>
      </c>
      <c r="E203" s="64">
        <f>4.8562 * CHOOSE(CONTROL!$C$22, $C$13, 100%, $E$13)</f>
        <v>4.8562000000000003</v>
      </c>
      <c r="F203" s="64">
        <f>4.8562 * CHOOSE(CONTROL!$C$22, $C$13, 100%, $E$13)</f>
        <v>4.8562000000000003</v>
      </c>
      <c r="G203" s="64">
        <f>4.8664 * CHOOSE(CONTROL!$C$22, $C$13, 100%, $E$13)</f>
        <v>4.8663999999999996</v>
      </c>
      <c r="H203" s="64">
        <f>8.2319* CHOOSE(CONTROL!$C$22, $C$13, 100%, $E$13)</f>
        <v>8.2318999999999996</v>
      </c>
      <c r="I203" s="64">
        <f>8.2421 * CHOOSE(CONTROL!$C$22, $C$13, 100%, $E$13)</f>
        <v>8.2421000000000006</v>
      </c>
      <c r="J203" s="64">
        <f>4.8562 * CHOOSE(CONTROL!$C$22, $C$13, 100%, $E$13)</f>
        <v>4.8562000000000003</v>
      </c>
      <c r="K203" s="64">
        <f>4.8664 * CHOOSE(CONTROL!$C$22, $C$13, 100%, $E$13)</f>
        <v>4.8663999999999996</v>
      </c>
    </row>
    <row r="204" spans="1:11" ht="15">
      <c r="A204" s="13">
        <v>47696</v>
      </c>
      <c r="B204" s="63">
        <f>4.0365 * CHOOSE(CONTROL!$C$22, $C$13, 100%, $E$13)</f>
        <v>4.0365000000000002</v>
      </c>
      <c r="C204" s="63">
        <f>4.0365 * CHOOSE(CONTROL!$C$22, $C$13, 100%, $E$13)</f>
        <v>4.0365000000000002</v>
      </c>
      <c r="D204" s="63">
        <f>4.0449 * CHOOSE(CONTROL!$C$22, $C$13, 100%, $E$13)</f>
        <v>4.0449000000000002</v>
      </c>
      <c r="E204" s="64">
        <f>4.7889 * CHOOSE(CONTROL!$C$22, $C$13, 100%, $E$13)</f>
        <v>4.7888999999999999</v>
      </c>
      <c r="F204" s="64">
        <f>4.7889 * CHOOSE(CONTROL!$C$22, $C$13, 100%, $E$13)</f>
        <v>4.7888999999999999</v>
      </c>
      <c r="G204" s="64">
        <f>4.7992 * CHOOSE(CONTROL!$C$22, $C$13, 100%, $E$13)</f>
        <v>4.7991999999999999</v>
      </c>
      <c r="H204" s="64">
        <f>8.2491* CHOOSE(CONTROL!$C$22, $C$13, 100%, $E$13)</f>
        <v>8.2491000000000003</v>
      </c>
      <c r="I204" s="64">
        <f>8.2593 * CHOOSE(CONTROL!$C$22, $C$13, 100%, $E$13)</f>
        <v>8.2592999999999996</v>
      </c>
      <c r="J204" s="64">
        <f>4.7889 * CHOOSE(CONTROL!$C$22, $C$13, 100%, $E$13)</f>
        <v>4.7888999999999999</v>
      </c>
      <c r="K204" s="64">
        <f>4.7992 * CHOOSE(CONTROL!$C$22, $C$13, 100%, $E$13)</f>
        <v>4.7991999999999999</v>
      </c>
    </row>
    <row r="205" spans="1:11" ht="15">
      <c r="A205" s="13">
        <v>47727</v>
      </c>
      <c r="B205" s="63">
        <f>4.0334 * CHOOSE(CONTROL!$C$22, $C$13, 100%, $E$13)</f>
        <v>4.0334000000000003</v>
      </c>
      <c r="C205" s="63">
        <f>4.0334 * CHOOSE(CONTROL!$C$22, $C$13, 100%, $E$13)</f>
        <v>4.0334000000000003</v>
      </c>
      <c r="D205" s="63">
        <f>4.0419 * CHOOSE(CONTROL!$C$22, $C$13, 100%, $E$13)</f>
        <v>4.0419</v>
      </c>
      <c r="E205" s="64">
        <f>4.7788 * CHOOSE(CONTROL!$C$22, $C$13, 100%, $E$13)</f>
        <v>4.7788000000000004</v>
      </c>
      <c r="F205" s="64">
        <f>4.7788 * CHOOSE(CONTROL!$C$22, $C$13, 100%, $E$13)</f>
        <v>4.7788000000000004</v>
      </c>
      <c r="G205" s="64">
        <f>4.7891 * CHOOSE(CONTROL!$C$22, $C$13, 100%, $E$13)</f>
        <v>4.7891000000000004</v>
      </c>
      <c r="H205" s="64">
        <f>8.2663* CHOOSE(CONTROL!$C$22, $C$13, 100%, $E$13)</f>
        <v>8.2662999999999993</v>
      </c>
      <c r="I205" s="64">
        <f>8.2765 * CHOOSE(CONTROL!$C$22, $C$13, 100%, $E$13)</f>
        <v>8.2765000000000004</v>
      </c>
      <c r="J205" s="64">
        <f>4.7788 * CHOOSE(CONTROL!$C$22, $C$13, 100%, $E$13)</f>
        <v>4.7788000000000004</v>
      </c>
      <c r="K205" s="64">
        <f>4.7891 * CHOOSE(CONTROL!$C$22, $C$13, 100%, $E$13)</f>
        <v>4.7891000000000004</v>
      </c>
    </row>
    <row r="206" spans="1:11" ht="15">
      <c r="A206" s="13">
        <v>47757</v>
      </c>
      <c r="B206" s="63">
        <f>4.0286 * CHOOSE(CONTROL!$C$22, $C$13, 100%, $E$13)</f>
        <v>4.0286</v>
      </c>
      <c r="C206" s="63">
        <f>4.0286 * CHOOSE(CONTROL!$C$22, $C$13, 100%, $E$13)</f>
        <v>4.0286</v>
      </c>
      <c r="D206" s="63">
        <f>4.0286 * CHOOSE(CONTROL!$C$22, $C$13, 100%, $E$13)</f>
        <v>4.0286</v>
      </c>
      <c r="E206" s="64">
        <f>4.7974 * CHOOSE(CONTROL!$C$22, $C$13, 100%, $E$13)</f>
        <v>4.7973999999999997</v>
      </c>
      <c r="F206" s="64">
        <f>4.7974 * CHOOSE(CONTROL!$C$22, $C$13, 100%, $E$13)</f>
        <v>4.7973999999999997</v>
      </c>
      <c r="G206" s="64">
        <f>4.7974 * CHOOSE(CONTROL!$C$22, $C$13, 100%, $E$13)</f>
        <v>4.7973999999999997</v>
      </c>
      <c r="H206" s="64">
        <f>8.2835* CHOOSE(CONTROL!$C$22, $C$13, 100%, $E$13)</f>
        <v>8.2835000000000001</v>
      </c>
      <c r="I206" s="64">
        <f>8.2836 * CHOOSE(CONTROL!$C$22, $C$13, 100%, $E$13)</f>
        <v>8.2835999999999999</v>
      </c>
      <c r="J206" s="64">
        <f>4.7974 * CHOOSE(CONTROL!$C$22, $C$13, 100%, $E$13)</f>
        <v>4.7973999999999997</v>
      </c>
      <c r="K206" s="64">
        <f>4.7974 * CHOOSE(CONTROL!$C$22, $C$13, 100%, $E$13)</f>
        <v>4.7973999999999997</v>
      </c>
    </row>
    <row r="207" spans="1:11" ht="15">
      <c r="A207" s="13">
        <v>47788</v>
      </c>
      <c r="B207" s="63">
        <f>4.0316 * CHOOSE(CONTROL!$C$22, $C$13, 100%, $E$13)</f>
        <v>4.0316000000000001</v>
      </c>
      <c r="C207" s="63">
        <f>4.0316 * CHOOSE(CONTROL!$C$22, $C$13, 100%, $E$13)</f>
        <v>4.0316000000000001</v>
      </c>
      <c r="D207" s="63">
        <f>4.0316 * CHOOSE(CONTROL!$C$22, $C$13, 100%, $E$13)</f>
        <v>4.0316000000000001</v>
      </c>
      <c r="E207" s="64">
        <f>4.8155 * CHOOSE(CONTROL!$C$22, $C$13, 100%, $E$13)</f>
        <v>4.8155000000000001</v>
      </c>
      <c r="F207" s="64">
        <f>4.8155 * CHOOSE(CONTROL!$C$22, $C$13, 100%, $E$13)</f>
        <v>4.8155000000000001</v>
      </c>
      <c r="G207" s="64">
        <f>4.8155 * CHOOSE(CONTROL!$C$22, $C$13, 100%, $E$13)</f>
        <v>4.8155000000000001</v>
      </c>
      <c r="H207" s="64">
        <f>8.3007* CHOOSE(CONTROL!$C$22, $C$13, 100%, $E$13)</f>
        <v>8.3007000000000009</v>
      </c>
      <c r="I207" s="64">
        <f>8.3008 * CHOOSE(CONTROL!$C$22, $C$13, 100%, $E$13)</f>
        <v>8.3008000000000006</v>
      </c>
      <c r="J207" s="64">
        <f>4.8155 * CHOOSE(CONTROL!$C$22, $C$13, 100%, $E$13)</f>
        <v>4.8155000000000001</v>
      </c>
      <c r="K207" s="64">
        <f>4.8155 * CHOOSE(CONTROL!$C$22, $C$13, 100%, $E$13)</f>
        <v>4.8155000000000001</v>
      </c>
    </row>
    <row r="208" spans="1:11" ht="15">
      <c r="A208" s="13">
        <v>47818</v>
      </c>
      <c r="B208" s="63">
        <f>4.0316 * CHOOSE(CONTROL!$C$22, $C$13, 100%, $E$13)</f>
        <v>4.0316000000000001</v>
      </c>
      <c r="C208" s="63">
        <f>4.0316 * CHOOSE(CONTROL!$C$22, $C$13, 100%, $E$13)</f>
        <v>4.0316000000000001</v>
      </c>
      <c r="D208" s="63">
        <f>4.0316 * CHOOSE(CONTROL!$C$22, $C$13, 100%, $E$13)</f>
        <v>4.0316000000000001</v>
      </c>
      <c r="E208" s="64">
        <f>4.7755 * CHOOSE(CONTROL!$C$22, $C$13, 100%, $E$13)</f>
        <v>4.7755000000000001</v>
      </c>
      <c r="F208" s="64">
        <f>4.7755 * CHOOSE(CONTROL!$C$22, $C$13, 100%, $E$13)</f>
        <v>4.7755000000000001</v>
      </c>
      <c r="G208" s="64">
        <f>4.7756 * CHOOSE(CONTROL!$C$22, $C$13, 100%, $E$13)</f>
        <v>4.7755999999999998</v>
      </c>
      <c r="H208" s="64">
        <f>8.318* CHOOSE(CONTROL!$C$22, $C$13, 100%, $E$13)</f>
        <v>8.3179999999999996</v>
      </c>
      <c r="I208" s="64">
        <f>8.3181 * CHOOSE(CONTROL!$C$22, $C$13, 100%, $E$13)</f>
        <v>8.3180999999999994</v>
      </c>
      <c r="J208" s="64">
        <f>4.7755 * CHOOSE(CONTROL!$C$22, $C$13, 100%, $E$13)</f>
        <v>4.7755000000000001</v>
      </c>
      <c r="K208" s="64">
        <f>4.7756 * CHOOSE(CONTROL!$C$22, $C$13, 100%, $E$13)</f>
        <v>4.7755999999999998</v>
      </c>
    </row>
    <row r="209" spans="1:11" ht="15">
      <c r="A209" s="13">
        <v>47849</v>
      </c>
      <c r="B209" s="63">
        <f>4.065 * CHOOSE(CONTROL!$C$22, $C$13, 100%, $E$13)</f>
        <v>4.0650000000000004</v>
      </c>
      <c r="C209" s="63">
        <f>4.065 * CHOOSE(CONTROL!$C$22, $C$13, 100%, $E$13)</f>
        <v>4.0650000000000004</v>
      </c>
      <c r="D209" s="63">
        <f>4.065 * CHOOSE(CONTROL!$C$22, $C$13, 100%, $E$13)</f>
        <v>4.0650000000000004</v>
      </c>
      <c r="E209" s="64">
        <f>4.8568 * CHOOSE(CONTROL!$C$22, $C$13, 100%, $E$13)</f>
        <v>4.8567999999999998</v>
      </c>
      <c r="F209" s="64">
        <f>4.8568 * CHOOSE(CONTROL!$C$22, $C$13, 100%, $E$13)</f>
        <v>4.8567999999999998</v>
      </c>
      <c r="G209" s="64">
        <f>4.8569 * CHOOSE(CONTROL!$C$22, $C$13, 100%, $E$13)</f>
        <v>4.8569000000000004</v>
      </c>
      <c r="H209" s="64">
        <f>8.3354* CHOOSE(CONTROL!$C$22, $C$13, 100%, $E$13)</f>
        <v>8.3353999999999999</v>
      </c>
      <c r="I209" s="64">
        <f>8.3354 * CHOOSE(CONTROL!$C$22, $C$13, 100%, $E$13)</f>
        <v>8.3353999999999999</v>
      </c>
      <c r="J209" s="64">
        <f>4.8568 * CHOOSE(CONTROL!$C$22, $C$13, 100%, $E$13)</f>
        <v>4.8567999999999998</v>
      </c>
      <c r="K209" s="64">
        <f>4.8569 * CHOOSE(CONTROL!$C$22, $C$13, 100%, $E$13)</f>
        <v>4.8569000000000004</v>
      </c>
    </row>
    <row r="210" spans="1:11" ht="15">
      <c r="A210" s="13">
        <v>47880</v>
      </c>
      <c r="B210" s="63">
        <f>4.062 * CHOOSE(CONTROL!$C$22, $C$13, 100%, $E$13)</f>
        <v>4.0620000000000003</v>
      </c>
      <c r="C210" s="63">
        <f>4.062 * CHOOSE(CONTROL!$C$22, $C$13, 100%, $E$13)</f>
        <v>4.0620000000000003</v>
      </c>
      <c r="D210" s="63">
        <f>4.062 * CHOOSE(CONTROL!$C$22, $C$13, 100%, $E$13)</f>
        <v>4.0620000000000003</v>
      </c>
      <c r="E210" s="64">
        <f>4.7772 * CHOOSE(CONTROL!$C$22, $C$13, 100%, $E$13)</f>
        <v>4.7771999999999997</v>
      </c>
      <c r="F210" s="64">
        <f>4.7772 * CHOOSE(CONTROL!$C$22, $C$13, 100%, $E$13)</f>
        <v>4.7771999999999997</v>
      </c>
      <c r="G210" s="64">
        <f>4.7773 * CHOOSE(CONTROL!$C$22, $C$13, 100%, $E$13)</f>
        <v>4.7773000000000003</v>
      </c>
      <c r="H210" s="64">
        <f>8.3527* CHOOSE(CONTROL!$C$22, $C$13, 100%, $E$13)</f>
        <v>8.3527000000000005</v>
      </c>
      <c r="I210" s="64">
        <f>8.3528 * CHOOSE(CONTROL!$C$22, $C$13, 100%, $E$13)</f>
        <v>8.3528000000000002</v>
      </c>
      <c r="J210" s="64">
        <f>4.7772 * CHOOSE(CONTROL!$C$22, $C$13, 100%, $E$13)</f>
        <v>4.7771999999999997</v>
      </c>
      <c r="K210" s="64">
        <f>4.7773 * CHOOSE(CONTROL!$C$22, $C$13, 100%, $E$13)</f>
        <v>4.7773000000000003</v>
      </c>
    </row>
    <row r="211" spans="1:11" ht="15">
      <c r="A211" s="13">
        <v>47908</v>
      </c>
      <c r="B211" s="63">
        <f>4.059 * CHOOSE(CONTROL!$C$22, $C$13, 100%, $E$13)</f>
        <v>4.0590000000000002</v>
      </c>
      <c r="C211" s="63">
        <f>4.059 * CHOOSE(CONTROL!$C$22, $C$13, 100%, $E$13)</f>
        <v>4.0590000000000002</v>
      </c>
      <c r="D211" s="63">
        <f>4.059 * CHOOSE(CONTROL!$C$22, $C$13, 100%, $E$13)</f>
        <v>4.0590000000000002</v>
      </c>
      <c r="E211" s="64">
        <f>4.8362 * CHOOSE(CONTROL!$C$22, $C$13, 100%, $E$13)</f>
        <v>4.8361999999999998</v>
      </c>
      <c r="F211" s="64">
        <f>4.8362 * CHOOSE(CONTROL!$C$22, $C$13, 100%, $E$13)</f>
        <v>4.8361999999999998</v>
      </c>
      <c r="G211" s="64">
        <f>4.8362 * CHOOSE(CONTROL!$C$22, $C$13, 100%, $E$13)</f>
        <v>4.8361999999999998</v>
      </c>
      <c r="H211" s="64">
        <f>8.3701* CHOOSE(CONTROL!$C$22, $C$13, 100%, $E$13)</f>
        <v>8.3701000000000008</v>
      </c>
      <c r="I211" s="64">
        <f>8.3702 * CHOOSE(CONTROL!$C$22, $C$13, 100%, $E$13)</f>
        <v>8.3702000000000005</v>
      </c>
      <c r="J211" s="64">
        <f>4.8362 * CHOOSE(CONTROL!$C$22, $C$13, 100%, $E$13)</f>
        <v>4.8361999999999998</v>
      </c>
      <c r="K211" s="64">
        <f>4.8362 * CHOOSE(CONTROL!$C$22, $C$13, 100%, $E$13)</f>
        <v>4.8361999999999998</v>
      </c>
    </row>
    <row r="212" spans="1:11" ht="15">
      <c r="A212" s="13">
        <v>47939</v>
      </c>
      <c r="B212" s="63">
        <f>4.0567 * CHOOSE(CONTROL!$C$22, $C$13, 100%, $E$13)</f>
        <v>4.0567000000000002</v>
      </c>
      <c r="C212" s="63">
        <f>4.0567 * CHOOSE(CONTROL!$C$22, $C$13, 100%, $E$13)</f>
        <v>4.0567000000000002</v>
      </c>
      <c r="D212" s="63">
        <f>4.0567 * CHOOSE(CONTROL!$C$22, $C$13, 100%, $E$13)</f>
        <v>4.0567000000000002</v>
      </c>
      <c r="E212" s="64">
        <f>4.8975 * CHOOSE(CONTROL!$C$22, $C$13, 100%, $E$13)</f>
        <v>4.8975</v>
      </c>
      <c r="F212" s="64">
        <f>4.8975 * CHOOSE(CONTROL!$C$22, $C$13, 100%, $E$13)</f>
        <v>4.8975</v>
      </c>
      <c r="G212" s="64">
        <f>4.8976 * CHOOSE(CONTROL!$C$22, $C$13, 100%, $E$13)</f>
        <v>4.8975999999999997</v>
      </c>
      <c r="H212" s="64">
        <f>8.3876* CHOOSE(CONTROL!$C$22, $C$13, 100%, $E$13)</f>
        <v>8.3876000000000008</v>
      </c>
      <c r="I212" s="64">
        <f>8.3876 * CHOOSE(CONTROL!$C$22, $C$13, 100%, $E$13)</f>
        <v>8.3876000000000008</v>
      </c>
      <c r="J212" s="64">
        <f>4.8975 * CHOOSE(CONTROL!$C$22, $C$13, 100%, $E$13)</f>
        <v>4.8975</v>
      </c>
      <c r="K212" s="64">
        <f>4.8976 * CHOOSE(CONTROL!$C$22, $C$13, 100%, $E$13)</f>
        <v>4.8975999999999997</v>
      </c>
    </row>
    <row r="213" spans="1:11" ht="15">
      <c r="A213" s="13">
        <v>47969</v>
      </c>
      <c r="B213" s="63">
        <f>4.0567 * CHOOSE(CONTROL!$C$22, $C$13, 100%, $E$13)</f>
        <v>4.0567000000000002</v>
      </c>
      <c r="C213" s="63">
        <f>4.0567 * CHOOSE(CONTROL!$C$22, $C$13, 100%, $E$13)</f>
        <v>4.0567000000000002</v>
      </c>
      <c r="D213" s="63">
        <f>4.0651 * CHOOSE(CONTROL!$C$22, $C$13, 100%, $E$13)</f>
        <v>4.0651000000000002</v>
      </c>
      <c r="E213" s="64">
        <f>4.9221 * CHOOSE(CONTROL!$C$22, $C$13, 100%, $E$13)</f>
        <v>4.9221000000000004</v>
      </c>
      <c r="F213" s="64">
        <f>4.9221 * CHOOSE(CONTROL!$C$22, $C$13, 100%, $E$13)</f>
        <v>4.9221000000000004</v>
      </c>
      <c r="G213" s="64">
        <f>4.9323 * CHOOSE(CONTROL!$C$22, $C$13, 100%, $E$13)</f>
        <v>4.9322999999999997</v>
      </c>
      <c r="H213" s="64">
        <f>8.405* CHOOSE(CONTROL!$C$22, $C$13, 100%, $E$13)</f>
        <v>8.4049999999999994</v>
      </c>
      <c r="I213" s="64">
        <f>8.4153 * CHOOSE(CONTROL!$C$22, $C$13, 100%, $E$13)</f>
        <v>8.4153000000000002</v>
      </c>
      <c r="J213" s="64">
        <f>4.9221 * CHOOSE(CONTROL!$C$22, $C$13, 100%, $E$13)</f>
        <v>4.9221000000000004</v>
      </c>
      <c r="K213" s="64">
        <f>4.9323 * CHOOSE(CONTROL!$C$22, $C$13, 100%, $E$13)</f>
        <v>4.9322999999999997</v>
      </c>
    </row>
    <row r="214" spans="1:11" ht="15">
      <c r="A214" s="13">
        <v>48000</v>
      </c>
      <c r="B214" s="63">
        <f>4.0627 * CHOOSE(CONTROL!$C$22, $C$13, 100%, $E$13)</f>
        <v>4.0627000000000004</v>
      </c>
      <c r="C214" s="63">
        <f>4.0627 * CHOOSE(CONTROL!$C$22, $C$13, 100%, $E$13)</f>
        <v>4.0627000000000004</v>
      </c>
      <c r="D214" s="63">
        <f>4.0712 * CHOOSE(CONTROL!$C$22, $C$13, 100%, $E$13)</f>
        <v>4.0712000000000002</v>
      </c>
      <c r="E214" s="64">
        <f>4.9017 * CHOOSE(CONTROL!$C$22, $C$13, 100%, $E$13)</f>
        <v>4.9016999999999999</v>
      </c>
      <c r="F214" s="64">
        <f>4.9017 * CHOOSE(CONTROL!$C$22, $C$13, 100%, $E$13)</f>
        <v>4.9016999999999999</v>
      </c>
      <c r="G214" s="64">
        <f>4.9119 * CHOOSE(CONTROL!$C$22, $C$13, 100%, $E$13)</f>
        <v>4.9119000000000002</v>
      </c>
      <c r="H214" s="64">
        <f>8.4226* CHOOSE(CONTROL!$C$22, $C$13, 100%, $E$13)</f>
        <v>8.4225999999999992</v>
      </c>
      <c r="I214" s="64">
        <f>8.4328 * CHOOSE(CONTROL!$C$22, $C$13, 100%, $E$13)</f>
        <v>8.4328000000000003</v>
      </c>
      <c r="J214" s="64">
        <f>4.9017 * CHOOSE(CONTROL!$C$22, $C$13, 100%, $E$13)</f>
        <v>4.9016999999999999</v>
      </c>
      <c r="K214" s="64">
        <f>4.9119 * CHOOSE(CONTROL!$C$22, $C$13, 100%, $E$13)</f>
        <v>4.9119000000000002</v>
      </c>
    </row>
    <row r="215" spans="1:11" ht="15">
      <c r="A215" s="13">
        <v>48030</v>
      </c>
      <c r="B215" s="63">
        <f>4.1241 * CHOOSE(CONTROL!$C$22, $C$13, 100%, $E$13)</f>
        <v>4.1241000000000003</v>
      </c>
      <c r="C215" s="63">
        <f>4.1241 * CHOOSE(CONTROL!$C$22, $C$13, 100%, $E$13)</f>
        <v>4.1241000000000003</v>
      </c>
      <c r="D215" s="63">
        <f>4.1325 * CHOOSE(CONTROL!$C$22, $C$13, 100%, $E$13)</f>
        <v>4.1325000000000003</v>
      </c>
      <c r="E215" s="64">
        <f>5.0209 * CHOOSE(CONTROL!$C$22, $C$13, 100%, $E$13)</f>
        <v>5.0209000000000001</v>
      </c>
      <c r="F215" s="64">
        <f>5.0209 * CHOOSE(CONTROL!$C$22, $C$13, 100%, $E$13)</f>
        <v>5.0209000000000001</v>
      </c>
      <c r="G215" s="64">
        <f>5.0312 * CHOOSE(CONTROL!$C$22, $C$13, 100%, $E$13)</f>
        <v>5.0312000000000001</v>
      </c>
      <c r="H215" s="64">
        <f>8.4401* CHOOSE(CONTROL!$C$22, $C$13, 100%, $E$13)</f>
        <v>8.4400999999999993</v>
      </c>
      <c r="I215" s="64">
        <f>8.4503 * CHOOSE(CONTROL!$C$22, $C$13, 100%, $E$13)</f>
        <v>8.4503000000000004</v>
      </c>
      <c r="J215" s="64">
        <f>5.0209 * CHOOSE(CONTROL!$C$22, $C$13, 100%, $E$13)</f>
        <v>5.0209000000000001</v>
      </c>
      <c r="K215" s="64">
        <f>5.0312 * CHOOSE(CONTROL!$C$22, $C$13, 100%, $E$13)</f>
        <v>5.0312000000000001</v>
      </c>
    </row>
    <row r="216" spans="1:11" ht="15">
      <c r="A216" s="13">
        <v>48061</v>
      </c>
      <c r="B216" s="63">
        <f>4.1308 * CHOOSE(CONTROL!$C$22, $C$13, 100%, $E$13)</f>
        <v>4.1307999999999998</v>
      </c>
      <c r="C216" s="63">
        <f>4.1308 * CHOOSE(CONTROL!$C$22, $C$13, 100%, $E$13)</f>
        <v>4.1307999999999998</v>
      </c>
      <c r="D216" s="63">
        <f>4.1392 * CHOOSE(CONTROL!$C$22, $C$13, 100%, $E$13)</f>
        <v>4.1391999999999998</v>
      </c>
      <c r="E216" s="64">
        <f>4.9519 * CHOOSE(CONTROL!$C$22, $C$13, 100%, $E$13)</f>
        <v>4.9519000000000002</v>
      </c>
      <c r="F216" s="64">
        <f>4.9519 * CHOOSE(CONTROL!$C$22, $C$13, 100%, $E$13)</f>
        <v>4.9519000000000002</v>
      </c>
      <c r="G216" s="64">
        <f>4.9621 * CHOOSE(CONTROL!$C$22, $C$13, 100%, $E$13)</f>
        <v>4.9621000000000004</v>
      </c>
      <c r="H216" s="64">
        <f>8.4577* CHOOSE(CONTROL!$C$22, $C$13, 100%, $E$13)</f>
        <v>8.4577000000000009</v>
      </c>
      <c r="I216" s="64">
        <f>8.4679 * CHOOSE(CONTROL!$C$22, $C$13, 100%, $E$13)</f>
        <v>8.4679000000000002</v>
      </c>
      <c r="J216" s="64">
        <f>4.9519 * CHOOSE(CONTROL!$C$22, $C$13, 100%, $E$13)</f>
        <v>4.9519000000000002</v>
      </c>
      <c r="K216" s="64">
        <f>4.9621 * CHOOSE(CONTROL!$C$22, $C$13, 100%, $E$13)</f>
        <v>4.9621000000000004</v>
      </c>
    </row>
    <row r="217" spans="1:11" ht="15">
      <c r="A217" s="13">
        <v>48092</v>
      </c>
      <c r="B217" s="63">
        <f>4.1278 * CHOOSE(CONTROL!$C$22, $C$13, 100%, $E$13)</f>
        <v>4.1277999999999997</v>
      </c>
      <c r="C217" s="63">
        <f>4.1278 * CHOOSE(CONTROL!$C$22, $C$13, 100%, $E$13)</f>
        <v>4.1277999999999997</v>
      </c>
      <c r="D217" s="63">
        <f>4.1362 * CHOOSE(CONTROL!$C$22, $C$13, 100%, $E$13)</f>
        <v>4.1361999999999997</v>
      </c>
      <c r="E217" s="64">
        <f>4.9415 * CHOOSE(CONTROL!$C$22, $C$13, 100%, $E$13)</f>
        <v>4.9414999999999996</v>
      </c>
      <c r="F217" s="64">
        <f>4.9415 * CHOOSE(CONTROL!$C$22, $C$13, 100%, $E$13)</f>
        <v>4.9414999999999996</v>
      </c>
      <c r="G217" s="64">
        <f>4.9518 * CHOOSE(CONTROL!$C$22, $C$13, 100%, $E$13)</f>
        <v>4.9518000000000004</v>
      </c>
      <c r="H217" s="64">
        <f>8.4753* CHOOSE(CONTROL!$C$22, $C$13, 100%, $E$13)</f>
        <v>8.4753000000000007</v>
      </c>
      <c r="I217" s="64">
        <f>8.4855 * CHOOSE(CONTROL!$C$22, $C$13, 100%, $E$13)</f>
        <v>8.4855</v>
      </c>
      <c r="J217" s="64">
        <f>4.9415 * CHOOSE(CONTROL!$C$22, $C$13, 100%, $E$13)</f>
        <v>4.9414999999999996</v>
      </c>
      <c r="K217" s="64">
        <f>4.9518 * CHOOSE(CONTROL!$C$22, $C$13, 100%, $E$13)</f>
        <v>4.9518000000000004</v>
      </c>
    </row>
    <row r="218" spans="1:11" ht="15">
      <c r="A218" s="13">
        <v>48122</v>
      </c>
      <c r="B218" s="63">
        <f>4.1232 * CHOOSE(CONTROL!$C$22, $C$13, 100%, $E$13)</f>
        <v>4.1231999999999998</v>
      </c>
      <c r="C218" s="63">
        <f>4.1232 * CHOOSE(CONTROL!$C$22, $C$13, 100%, $E$13)</f>
        <v>4.1231999999999998</v>
      </c>
      <c r="D218" s="63">
        <f>4.1232 * CHOOSE(CONTROL!$C$22, $C$13, 100%, $E$13)</f>
        <v>4.1231999999999998</v>
      </c>
      <c r="E218" s="64">
        <f>4.9609 * CHOOSE(CONTROL!$C$22, $C$13, 100%, $E$13)</f>
        <v>4.9608999999999996</v>
      </c>
      <c r="F218" s="64">
        <f>4.9609 * CHOOSE(CONTROL!$C$22, $C$13, 100%, $E$13)</f>
        <v>4.9608999999999996</v>
      </c>
      <c r="G218" s="64">
        <f>4.961 * CHOOSE(CONTROL!$C$22, $C$13, 100%, $E$13)</f>
        <v>4.9610000000000003</v>
      </c>
      <c r="H218" s="64">
        <f>8.493* CHOOSE(CONTROL!$C$22, $C$13, 100%, $E$13)</f>
        <v>8.4930000000000003</v>
      </c>
      <c r="I218" s="64">
        <f>8.493 * CHOOSE(CONTROL!$C$22, $C$13, 100%, $E$13)</f>
        <v>8.4930000000000003</v>
      </c>
      <c r="J218" s="64">
        <f>4.9609 * CHOOSE(CONTROL!$C$22, $C$13, 100%, $E$13)</f>
        <v>4.9608999999999996</v>
      </c>
      <c r="K218" s="64">
        <f>4.961 * CHOOSE(CONTROL!$C$22, $C$13, 100%, $E$13)</f>
        <v>4.9610000000000003</v>
      </c>
    </row>
    <row r="219" spans="1:11" ht="15">
      <c r="A219" s="13">
        <v>48153</v>
      </c>
      <c r="B219" s="63">
        <f>4.1263 * CHOOSE(CONTROL!$C$22, $C$13, 100%, $E$13)</f>
        <v>4.1262999999999996</v>
      </c>
      <c r="C219" s="63">
        <f>4.1263 * CHOOSE(CONTROL!$C$22, $C$13, 100%, $E$13)</f>
        <v>4.1262999999999996</v>
      </c>
      <c r="D219" s="63">
        <f>4.1263 * CHOOSE(CONTROL!$C$22, $C$13, 100%, $E$13)</f>
        <v>4.1262999999999996</v>
      </c>
      <c r="E219" s="64">
        <f>4.9794 * CHOOSE(CONTROL!$C$22, $C$13, 100%, $E$13)</f>
        <v>4.9794</v>
      </c>
      <c r="F219" s="64">
        <f>4.9794 * CHOOSE(CONTROL!$C$22, $C$13, 100%, $E$13)</f>
        <v>4.9794</v>
      </c>
      <c r="G219" s="64">
        <f>4.9795 * CHOOSE(CONTROL!$C$22, $C$13, 100%, $E$13)</f>
        <v>4.9794999999999998</v>
      </c>
      <c r="H219" s="64">
        <f>8.5107* CHOOSE(CONTROL!$C$22, $C$13, 100%, $E$13)</f>
        <v>8.5106999999999999</v>
      </c>
      <c r="I219" s="64">
        <f>8.5107 * CHOOSE(CONTROL!$C$22, $C$13, 100%, $E$13)</f>
        <v>8.5106999999999999</v>
      </c>
      <c r="J219" s="64">
        <f>4.9794 * CHOOSE(CONTROL!$C$22, $C$13, 100%, $E$13)</f>
        <v>4.9794</v>
      </c>
      <c r="K219" s="64">
        <f>4.9795 * CHOOSE(CONTROL!$C$22, $C$13, 100%, $E$13)</f>
        <v>4.9794999999999998</v>
      </c>
    </row>
    <row r="220" spans="1:11" ht="15">
      <c r="A220" s="13">
        <v>48183</v>
      </c>
      <c r="B220" s="63">
        <f>4.1263 * CHOOSE(CONTROL!$C$22, $C$13, 100%, $E$13)</f>
        <v>4.1262999999999996</v>
      </c>
      <c r="C220" s="63">
        <f>4.1263 * CHOOSE(CONTROL!$C$22, $C$13, 100%, $E$13)</f>
        <v>4.1262999999999996</v>
      </c>
      <c r="D220" s="63">
        <f>4.1263 * CHOOSE(CONTROL!$C$22, $C$13, 100%, $E$13)</f>
        <v>4.1262999999999996</v>
      </c>
      <c r="E220" s="64">
        <f>4.9384 * CHOOSE(CONTROL!$C$22, $C$13, 100%, $E$13)</f>
        <v>4.9383999999999997</v>
      </c>
      <c r="F220" s="64">
        <f>4.9384 * CHOOSE(CONTROL!$C$22, $C$13, 100%, $E$13)</f>
        <v>4.9383999999999997</v>
      </c>
      <c r="G220" s="64">
        <f>4.9385 * CHOOSE(CONTROL!$C$22, $C$13, 100%, $E$13)</f>
        <v>4.9385000000000003</v>
      </c>
      <c r="H220" s="64">
        <f>8.5284* CHOOSE(CONTROL!$C$22, $C$13, 100%, $E$13)</f>
        <v>8.5283999999999995</v>
      </c>
      <c r="I220" s="64">
        <f>8.5285 * CHOOSE(CONTROL!$C$22, $C$13, 100%, $E$13)</f>
        <v>8.5284999999999993</v>
      </c>
      <c r="J220" s="64">
        <f>4.9384 * CHOOSE(CONTROL!$C$22, $C$13, 100%, $E$13)</f>
        <v>4.9383999999999997</v>
      </c>
      <c r="K220" s="64">
        <f>4.9385 * CHOOSE(CONTROL!$C$22, $C$13, 100%, $E$13)</f>
        <v>4.9385000000000003</v>
      </c>
    </row>
    <row r="221" spans="1:11" ht="15">
      <c r="A221" s="13">
        <v>48214</v>
      </c>
      <c r="B221" s="63">
        <f>4.1645 * CHOOSE(CONTROL!$C$22, $C$13, 100%, $E$13)</f>
        <v>4.1645000000000003</v>
      </c>
      <c r="C221" s="63">
        <f>4.1645 * CHOOSE(CONTROL!$C$22, $C$13, 100%, $E$13)</f>
        <v>4.1645000000000003</v>
      </c>
      <c r="D221" s="63">
        <f>4.1645 * CHOOSE(CONTROL!$C$22, $C$13, 100%, $E$13)</f>
        <v>4.1645000000000003</v>
      </c>
      <c r="E221" s="64">
        <f>5.0152 * CHOOSE(CONTROL!$C$22, $C$13, 100%, $E$13)</f>
        <v>5.0152000000000001</v>
      </c>
      <c r="F221" s="64">
        <f>5.0152 * CHOOSE(CONTROL!$C$22, $C$13, 100%, $E$13)</f>
        <v>5.0152000000000001</v>
      </c>
      <c r="G221" s="64">
        <f>5.0153 * CHOOSE(CONTROL!$C$22, $C$13, 100%, $E$13)</f>
        <v>5.0152999999999999</v>
      </c>
      <c r="H221" s="64">
        <f>8.5462* CHOOSE(CONTROL!$C$22, $C$13, 100%, $E$13)</f>
        <v>8.5462000000000007</v>
      </c>
      <c r="I221" s="64">
        <f>8.5462 * CHOOSE(CONTROL!$C$22, $C$13, 100%, $E$13)</f>
        <v>8.5462000000000007</v>
      </c>
      <c r="J221" s="64">
        <f>5.0152 * CHOOSE(CONTROL!$C$22, $C$13, 100%, $E$13)</f>
        <v>5.0152000000000001</v>
      </c>
      <c r="K221" s="64">
        <f>5.0153 * CHOOSE(CONTROL!$C$22, $C$13, 100%, $E$13)</f>
        <v>5.0152999999999999</v>
      </c>
    </row>
    <row r="222" spans="1:11" ht="15">
      <c r="A222" s="13">
        <v>48245</v>
      </c>
      <c r="B222" s="63">
        <f>4.1614 * CHOOSE(CONTROL!$C$22, $C$13, 100%, $E$13)</f>
        <v>4.1614000000000004</v>
      </c>
      <c r="C222" s="63">
        <f>4.1614 * CHOOSE(CONTROL!$C$22, $C$13, 100%, $E$13)</f>
        <v>4.1614000000000004</v>
      </c>
      <c r="D222" s="63">
        <f>4.1614 * CHOOSE(CONTROL!$C$22, $C$13, 100%, $E$13)</f>
        <v>4.1614000000000004</v>
      </c>
      <c r="E222" s="64">
        <f>4.9336 * CHOOSE(CONTROL!$C$22, $C$13, 100%, $E$13)</f>
        <v>4.9336000000000002</v>
      </c>
      <c r="F222" s="64">
        <f>4.9336 * CHOOSE(CONTROL!$C$22, $C$13, 100%, $E$13)</f>
        <v>4.9336000000000002</v>
      </c>
      <c r="G222" s="64">
        <f>4.9337 * CHOOSE(CONTROL!$C$22, $C$13, 100%, $E$13)</f>
        <v>4.9337</v>
      </c>
      <c r="H222" s="64">
        <f>8.564* CHOOSE(CONTROL!$C$22, $C$13, 100%, $E$13)</f>
        <v>8.5640000000000001</v>
      </c>
      <c r="I222" s="64">
        <f>8.564 * CHOOSE(CONTROL!$C$22, $C$13, 100%, $E$13)</f>
        <v>8.5640000000000001</v>
      </c>
      <c r="J222" s="64">
        <f>4.9336 * CHOOSE(CONTROL!$C$22, $C$13, 100%, $E$13)</f>
        <v>4.9336000000000002</v>
      </c>
      <c r="K222" s="64">
        <f>4.9337 * CHOOSE(CONTROL!$C$22, $C$13, 100%, $E$13)</f>
        <v>4.9337</v>
      </c>
    </row>
    <row r="223" spans="1:11" ht="15">
      <c r="A223" s="13">
        <v>48274</v>
      </c>
      <c r="B223" s="63">
        <f>4.1584 * CHOOSE(CONTROL!$C$22, $C$13, 100%, $E$13)</f>
        <v>4.1584000000000003</v>
      </c>
      <c r="C223" s="63">
        <f>4.1584 * CHOOSE(CONTROL!$C$22, $C$13, 100%, $E$13)</f>
        <v>4.1584000000000003</v>
      </c>
      <c r="D223" s="63">
        <f>4.1584 * CHOOSE(CONTROL!$C$22, $C$13, 100%, $E$13)</f>
        <v>4.1584000000000003</v>
      </c>
      <c r="E223" s="64">
        <f>4.9942 * CHOOSE(CONTROL!$C$22, $C$13, 100%, $E$13)</f>
        <v>4.9942000000000002</v>
      </c>
      <c r="F223" s="64">
        <f>4.9942 * CHOOSE(CONTROL!$C$22, $C$13, 100%, $E$13)</f>
        <v>4.9942000000000002</v>
      </c>
      <c r="G223" s="64">
        <f>4.9942 * CHOOSE(CONTROL!$C$22, $C$13, 100%, $E$13)</f>
        <v>4.9942000000000002</v>
      </c>
      <c r="H223" s="64">
        <f>8.5818* CHOOSE(CONTROL!$C$22, $C$13, 100%, $E$13)</f>
        <v>8.5817999999999994</v>
      </c>
      <c r="I223" s="64">
        <f>8.5819 * CHOOSE(CONTROL!$C$22, $C$13, 100%, $E$13)</f>
        <v>8.5818999999999992</v>
      </c>
      <c r="J223" s="64">
        <f>4.9942 * CHOOSE(CONTROL!$C$22, $C$13, 100%, $E$13)</f>
        <v>4.9942000000000002</v>
      </c>
      <c r="K223" s="64">
        <f>4.9942 * CHOOSE(CONTROL!$C$22, $C$13, 100%, $E$13)</f>
        <v>4.9942000000000002</v>
      </c>
    </row>
    <row r="224" spans="1:11" ht="15">
      <c r="A224" s="13">
        <v>48305</v>
      </c>
      <c r="B224" s="63">
        <f>4.1562 * CHOOSE(CONTROL!$C$22, $C$13, 100%, $E$13)</f>
        <v>4.1562000000000001</v>
      </c>
      <c r="C224" s="63">
        <f>4.1562 * CHOOSE(CONTROL!$C$22, $C$13, 100%, $E$13)</f>
        <v>4.1562000000000001</v>
      </c>
      <c r="D224" s="63">
        <f>4.1562 * CHOOSE(CONTROL!$C$22, $C$13, 100%, $E$13)</f>
        <v>4.1562000000000001</v>
      </c>
      <c r="E224" s="64">
        <f>5.0572 * CHOOSE(CONTROL!$C$22, $C$13, 100%, $E$13)</f>
        <v>5.0571999999999999</v>
      </c>
      <c r="F224" s="64">
        <f>5.0572 * CHOOSE(CONTROL!$C$22, $C$13, 100%, $E$13)</f>
        <v>5.0571999999999999</v>
      </c>
      <c r="G224" s="64">
        <f>5.0573 * CHOOSE(CONTROL!$C$22, $C$13, 100%, $E$13)</f>
        <v>5.0572999999999997</v>
      </c>
      <c r="H224" s="64">
        <f>8.5997* CHOOSE(CONTROL!$C$22, $C$13, 100%, $E$13)</f>
        <v>8.5997000000000003</v>
      </c>
      <c r="I224" s="64">
        <f>8.5998 * CHOOSE(CONTROL!$C$22, $C$13, 100%, $E$13)</f>
        <v>8.5998000000000001</v>
      </c>
      <c r="J224" s="64">
        <f>5.0572 * CHOOSE(CONTROL!$C$22, $C$13, 100%, $E$13)</f>
        <v>5.0571999999999999</v>
      </c>
      <c r="K224" s="64">
        <f>5.0573 * CHOOSE(CONTROL!$C$22, $C$13, 100%, $E$13)</f>
        <v>5.0572999999999997</v>
      </c>
    </row>
    <row r="225" spans="1:11" ht="15">
      <c r="A225" s="13">
        <v>48335</v>
      </c>
      <c r="B225" s="63">
        <f>4.1562 * CHOOSE(CONTROL!$C$22, $C$13, 100%, $E$13)</f>
        <v>4.1562000000000001</v>
      </c>
      <c r="C225" s="63">
        <f>4.1562 * CHOOSE(CONTROL!$C$22, $C$13, 100%, $E$13)</f>
        <v>4.1562000000000001</v>
      </c>
      <c r="D225" s="63">
        <f>4.1646 * CHOOSE(CONTROL!$C$22, $C$13, 100%, $E$13)</f>
        <v>4.1646000000000001</v>
      </c>
      <c r="E225" s="64">
        <f>5.0825 * CHOOSE(CONTROL!$C$22, $C$13, 100%, $E$13)</f>
        <v>5.0824999999999996</v>
      </c>
      <c r="F225" s="64">
        <f>5.0825 * CHOOSE(CONTROL!$C$22, $C$13, 100%, $E$13)</f>
        <v>5.0824999999999996</v>
      </c>
      <c r="G225" s="64">
        <f>5.0927 * CHOOSE(CONTROL!$C$22, $C$13, 100%, $E$13)</f>
        <v>5.0926999999999998</v>
      </c>
      <c r="H225" s="64">
        <f>8.6176* CHOOSE(CONTROL!$C$22, $C$13, 100%, $E$13)</f>
        <v>8.6175999999999995</v>
      </c>
      <c r="I225" s="64">
        <f>8.6278 * CHOOSE(CONTROL!$C$22, $C$13, 100%, $E$13)</f>
        <v>8.6278000000000006</v>
      </c>
      <c r="J225" s="64">
        <f>5.0825 * CHOOSE(CONTROL!$C$22, $C$13, 100%, $E$13)</f>
        <v>5.0824999999999996</v>
      </c>
      <c r="K225" s="64">
        <f>5.0927 * CHOOSE(CONTROL!$C$22, $C$13, 100%, $E$13)</f>
        <v>5.0926999999999998</v>
      </c>
    </row>
    <row r="226" spans="1:11" ht="15">
      <c r="A226" s="13">
        <v>48366</v>
      </c>
      <c r="B226" s="63">
        <f>4.1623 * CHOOSE(CONTROL!$C$22, $C$13, 100%, $E$13)</f>
        <v>4.1623000000000001</v>
      </c>
      <c r="C226" s="63">
        <f>4.1623 * CHOOSE(CONTROL!$C$22, $C$13, 100%, $E$13)</f>
        <v>4.1623000000000001</v>
      </c>
      <c r="D226" s="63">
        <f>4.1707 * CHOOSE(CONTROL!$C$22, $C$13, 100%, $E$13)</f>
        <v>4.1707000000000001</v>
      </c>
      <c r="E226" s="64">
        <f>5.0615 * CHOOSE(CONTROL!$C$22, $C$13, 100%, $E$13)</f>
        <v>5.0614999999999997</v>
      </c>
      <c r="F226" s="64">
        <f>5.0615 * CHOOSE(CONTROL!$C$22, $C$13, 100%, $E$13)</f>
        <v>5.0614999999999997</v>
      </c>
      <c r="G226" s="64">
        <f>5.0717 * CHOOSE(CONTROL!$C$22, $C$13, 100%, $E$13)</f>
        <v>5.0716999999999999</v>
      </c>
      <c r="H226" s="64">
        <f>8.6355* CHOOSE(CONTROL!$C$22, $C$13, 100%, $E$13)</f>
        <v>8.6355000000000004</v>
      </c>
      <c r="I226" s="64">
        <f>8.6458 * CHOOSE(CONTROL!$C$22, $C$13, 100%, $E$13)</f>
        <v>8.6457999999999995</v>
      </c>
      <c r="J226" s="64">
        <f>5.0615 * CHOOSE(CONTROL!$C$22, $C$13, 100%, $E$13)</f>
        <v>5.0614999999999997</v>
      </c>
      <c r="K226" s="64">
        <f>5.0717 * CHOOSE(CONTROL!$C$22, $C$13, 100%, $E$13)</f>
        <v>5.0716999999999999</v>
      </c>
    </row>
    <row r="227" spans="1:11" ht="15">
      <c r="A227" s="13">
        <v>48396</v>
      </c>
      <c r="B227" s="63">
        <f>4.2341 * CHOOSE(CONTROL!$C$22, $C$13, 100%, $E$13)</f>
        <v>4.2340999999999998</v>
      </c>
      <c r="C227" s="63">
        <f>4.2341 * CHOOSE(CONTROL!$C$22, $C$13, 100%, $E$13)</f>
        <v>4.2340999999999998</v>
      </c>
      <c r="D227" s="63">
        <f>4.2426 * CHOOSE(CONTROL!$C$22, $C$13, 100%, $E$13)</f>
        <v>4.2426000000000004</v>
      </c>
      <c r="E227" s="64">
        <f>5.166 * CHOOSE(CONTROL!$C$22, $C$13, 100%, $E$13)</f>
        <v>5.1660000000000004</v>
      </c>
      <c r="F227" s="64">
        <f>5.166 * CHOOSE(CONTROL!$C$22, $C$13, 100%, $E$13)</f>
        <v>5.1660000000000004</v>
      </c>
      <c r="G227" s="64">
        <f>5.1762 * CHOOSE(CONTROL!$C$22, $C$13, 100%, $E$13)</f>
        <v>5.1761999999999997</v>
      </c>
      <c r="H227" s="64">
        <f>8.6535* CHOOSE(CONTROL!$C$22, $C$13, 100%, $E$13)</f>
        <v>8.6534999999999993</v>
      </c>
      <c r="I227" s="64">
        <f>8.6638 * CHOOSE(CONTROL!$C$22, $C$13, 100%, $E$13)</f>
        <v>8.6638000000000002</v>
      </c>
      <c r="J227" s="64">
        <f>5.166 * CHOOSE(CONTROL!$C$22, $C$13, 100%, $E$13)</f>
        <v>5.1660000000000004</v>
      </c>
      <c r="K227" s="64">
        <f>5.1762 * CHOOSE(CONTROL!$C$22, $C$13, 100%, $E$13)</f>
        <v>5.1761999999999997</v>
      </c>
    </row>
    <row r="228" spans="1:11" ht="15">
      <c r="A228" s="13">
        <v>48427</v>
      </c>
      <c r="B228" s="63">
        <f>4.2408 * CHOOSE(CONTROL!$C$22, $C$13, 100%, $E$13)</f>
        <v>4.2408000000000001</v>
      </c>
      <c r="C228" s="63">
        <f>4.2408 * CHOOSE(CONTROL!$C$22, $C$13, 100%, $E$13)</f>
        <v>4.2408000000000001</v>
      </c>
      <c r="D228" s="63">
        <f>4.2492 * CHOOSE(CONTROL!$C$22, $C$13, 100%, $E$13)</f>
        <v>4.2492000000000001</v>
      </c>
      <c r="E228" s="64">
        <f>5.095 * CHOOSE(CONTROL!$C$22, $C$13, 100%, $E$13)</f>
        <v>5.0949999999999998</v>
      </c>
      <c r="F228" s="64">
        <f>5.095 * CHOOSE(CONTROL!$C$22, $C$13, 100%, $E$13)</f>
        <v>5.0949999999999998</v>
      </c>
      <c r="G228" s="64">
        <f>5.1052 * CHOOSE(CONTROL!$C$22, $C$13, 100%, $E$13)</f>
        <v>5.1052</v>
      </c>
      <c r="H228" s="64">
        <f>8.6716* CHOOSE(CONTROL!$C$22, $C$13, 100%, $E$13)</f>
        <v>8.6715999999999998</v>
      </c>
      <c r="I228" s="64">
        <f>8.6818 * CHOOSE(CONTROL!$C$22, $C$13, 100%, $E$13)</f>
        <v>8.6818000000000008</v>
      </c>
      <c r="J228" s="64">
        <f>5.095 * CHOOSE(CONTROL!$C$22, $C$13, 100%, $E$13)</f>
        <v>5.0949999999999998</v>
      </c>
      <c r="K228" s="64">
        <f>5.1052 * CHOOSE(CONTROL!$C$22, $C$13, 100%, $E$13)</f>
        <v>5.1052</v>
      </c>
    </row>
    <row r="229" spans="1:11" ht="15">
      <c r="A229" s="13">
        <v>48458</v>
      </c>
      <c r="B229" s="63">
        <f>4.2378 * CHOOSE(CONTROL!$C$22, $C$13, 100%, $E$13)</f>
        <v>4.2378</v>
      </c>
      <c r="C229" s="63">
        <f>4.2378 * CHOOSE(CONTROL!$C$22, $C$13, 100%, $E$13)</f>
        <v>4.2378</v>
      </c>
      <c r="D229" s="63">
        <f>4.2462 * CHOOSE(CONTROL!$C$22, $C$13, 100%, $E$13)</f>
        <v>4.2462</v>
      </c>
      <c r="E229" s="64">
        <f>5.0844 * CHOOSE(CONTROL!$C$22, $C$13, 100%, $E$13)</f>
        <v>5.0843999999999996</v>
      </c>
      <c r="F229" s="64">
        <f>5.0844 * CHOOSE(CONTROL!$C$22, $C$13, 100%, $E$13)</f>
        <v>5.0843999999999996</v>
      </c>
      <c r="G229" s="64">
        <f>5.0946 * CHOOSE(CONTROL!$C$22, $C$13, 100%, $E$13)</f>
        <v>5.0945999999999998</v>
      </c>
      <c r="H229" s="64">
        <f>8.6896* CHOOSE(CONTROL!$C$22, $C$13, 100%, $E$13)</f>
        <v>8.6896000000000004</v>
      </c>
      <c r="I229" s="64">
        <f>8.6998 * CHOOSE(CONTROL!$C$22, $C$13, 100%, $E$13)</f>
        <v>8.6997999999999998</v>
      </c>
      <c r="J229" s="64">
        <f>5.0844 * CHOOSE(CONTROL!$C$22, $C$13, 100%, $E$13)</f>
        <v>5.0843999999999996</v>
      </c>
      <c r="K229" s="64">
        <f>5.0946 * CHOOSE(CONTROL!$C$22, $C$13, 100%, $E$13)</f>
        <v>5.0945999999999998</v>
      </c>
    </row>
    <row r="230" spans="1:11" ht="15">
      <c r="A230" s="13">
        <v>48488</v>
      </c>
      <c r="B230" s="63">
        <f>4.2336 * CHOOSE(CONTROL!$C$22, $C$13, 100%, $E$13)</f>
        <v>4.2336</v>
      </c>
      <c r="C230" s="63">
        <f>4.2336 * CHOOSE(CONTROL!$C$22, $C$13, 100%, $E$13)</f>
        <v>4.2336</v>
      </c>
      <c r="D230" s="63">
        <f>4.2336 * CHOOSE(CONTROL!$C$22, $C$13, 100%, $E$13)</f>
        <v>4.2336</v>
      </c>
      <c r="E230" s="64">
        <f>5.1047 * CHOOSE(CONTROL!$C$22, $C$13, 100%, $E$13)</f>
        <v>5.1047000000000002</v>
      </c>
      <c r="F230" s="64">
        <f>5.1047 * CHOOSE(CONTROL!$C$22, $C$13, 100%, $E$13)</f>
        <v>5.1047000000000002</v>
      </c>
      <c r="G230" s="64">
        <f>5.1047 * CHOOSE(CONTROL!$C$22, $C$13, 100%, $E$13)</f>
        <v>5.1047000000000002</v>
      </c>
      <c r="H230" s="64">
        <f>8.7077* CHOOSE(CONTROL!$C$22, $C$13, 100%, $E$13)</f>
        <v>8.7077000000000009</v>
      </c>
      <c r="I230" s="64">
        <f>8.7078 * CHOOSE(CONTROL!$C$22, $C$13, 100%, $E$13)</f>
        <v>8.7078000000000007</v>
      </c>
      <c r="J230" s="64">
        <f>5.1047 * CHOOSE(CONTROL!$C$22, $C$13, 100%, $E$13)</f>
        <v>5.1047000000000002</v>
      </c>
      <c r="K230" s="64">
        <f>5.1047 * CHOOSE(CONTROL!$C$22, $C$13, 100%, $E$13)</f>
        <v>5.1047000000000002</v>
      </c>
    </row>
    <row r="231" spans="1:11" ht="15">
      <c r="A231" s="13">
        <v>48519</v>
      </c>
      <c r="B231" s="63">
        <f>4.2367 * CHOOSE(CONTROL!$C$22, $C$13, 100%, $E$13)</f>
        <v>4.2366999999999999</v>
      </c>
      <c r="C231" s="63">
        <f>4.2367 * CHOOSE(CONTROL!$C$22, $C$13, 100%, $E$13)</f>
        <v>4.2366999999999999</v>
      </c>
      <c r="D231" s="63">
        <f>4.2367 * CHOOSE(CONTROL!$C$22, $C$13, 100%, $E$13)</f>
        <v>4.2366999999999999</v>
      </c>
      <c r="E231" s="64">
        <f>5.1236 * CHOOSE(CONTROL!$C$22, $C$13, 100%, $E$13)</f>
        <v>5.1235999999999997</v>
      </c>
      <c r="F231" s="64">
        <f>5.1236 * CHOOSE(CONTROL!$C$22, $C$13, 100%, $E$13)</f>
        <v>5.1235999999999997</v>
      </c>
      <c r="G231" s="64">
        <f>5.1237 * CHOOSE(CONTROL!$C$22, $C$13, 100%, $E$13)</f>
        <v>5.1237000000000004</v>
      </c>
      <c r="H231" s="64">
        <f>8.7259* CHOOSE(CONTROL!$C$22, $C$13, 100%, $E$13)</f>
        <v>8.7258999999999993</v>
      </c>
      <c r="I231" s="64">
        <f>8.726 * CHOOSE(CONTROL!$C$22, $C$13, 100%, $E$13)</f>
        <v>8.7260000000000009</v>
      </c>
      <c r="J231" s="64">
        <f>5.1236 * CHOOSE(CONTROL!$C$22, $C$13, 100%, $E$13)</f>
        <v>5.1235999999999997</v>
      </c>
      <c r="K231" s="64">
        <f>5.1237 * CHOOSE(CONTROL!$C$22, $C$13, 100%, $E$13)</f>
        <v>5.1237000000000004</v>
      </c>
    </row>
    <row r="232" spans="1:11" ht="15">
      <c r="A232" s="13">
        <v>48549</v>
      </c>
      <c r="B232" s="63">
        <f>4.2367 * CHOOSE(CONTROL!$C$22, $C$13, 100%, $E$13)</f>
        <v>4.2366999999999999</v>
      </c>
      <c r="C232" s="63">
        <f>4.2367 * CHOOSE(CONTROL!$C$22, $C$13, 100%, $E$13)</f>
        <v>4.2366999999999999</v>
      </c>
      <c r="D232" s="63">
        <f>4.2367 * CHOOSE(CONTROL!$C$22, $C$13, 100%, $E$13)</f>
        <v>4.2366999999999999</v>
      </c>
      <c r="E232" s="64">
        <f>5.0815 * CHOOSE(CONTROL!$C$22, $C$13, 100%, $E$13)</f>
        <v>5.0815000000000001</v>
      </c>
      <c r="F232" s="64">
        <f>5.0815 * CHOOSE(CONTROL!$C$22, $C$13, 100%, $E$13)</f>
        <v>5.0815000000000001</v>
      </c>
      <c r="G232" s="64">
        <f>5.0816 * CHOOSE(CONTROL!$C$22, $C$13, 100%, $E$13)</f>
        <v>5.0815999999999999</v>
      </c>
      <c r="H232" s="64">
        <f>8.7441* CHOOSE(CONTROL!$C$22, $C$13, 100%, $E$13)</f>
        <v>8.7440999999999995</v>
      </c>
      <c r="I232" s="64">
        <f>8.7441 * CHOOSE(CONTROL!$C$22, $C$13, 100%, $E$13)</f>
        <v>8.7440999999999995</v>
      </c>
      <c r="J232" s="64">
        <f>5.0815 * CHOOSE(CONTROL!$C$22, $C$13, 100%, $E$13)</f>
        <v>5.0815000000000001</v>
      </c>
      <c r="K232" s="64">
        <f>5.0816 * CHOOSE(CONTROL!$C$22, $C$13, 100%, $E$13)</f>
        <v>5.0815999999999999</v>
      </c>
    </row>
    <row r="233" spans="1:11" ht="15">
      <c r="A233" s="13">
        <v>48580</v>
      </c>
      <c r="B233" s="63">
        <f>4.2764 * CHOOSE(CONTROL!$C$22, $C$13, 100%, $E$13)</f>
        <v>4.2763999999999998</v>
      </c>
      <c r="C233" s="63">
        <f>4.2764 * CHOOSE(CONTROL!$C$22, $C$13, 100%, $E$13)</f>
        <v>4.2763999999999998</v>
      </c>
      <c r="D233" s="63">
        <f>4.2764 * CHOOSE(CONTROL!$C$22, $C$13, 100%, $E$13)</f>
        <v>4.2763999999999998</v>
      </c>
      <c r="E233" s="64">
        <f>5.1642 * CHOOSE(CONTROL!$C$22, $C$13, 100%, $E$13)</f>
        <v>5.1642000000000001</v>
      </c>
      <c r="F233" s="64">
        <f>5.1642 * CHOOSE(CONTROL!$C$22, $C$13, 100%, $E$13)</f>
        <v>5.1642000000000001</v>
      </c>
      <c r="G233" s="64">
        <f>5.1643 * CHOOSE(CONTROL!$C$22, $C$13, 100%, $E$13)</f>
        <v>5.1642999999999999</v>
      </c>
      <c r="H233" s="64">
        <f>8.7623* CHOOSE(CONTROL!$C$22, $C$13, 100%, $E$13)</f>
        <v>8.7622999999999998</v>
      </c>
      <c r="I233" s="64">
        <f>8.7623 * CHOOSE(CONTROL!$C$22, $C$13, 100%, $E$13)</f>
        <v>8.7622999999999998</v>
      </c>
      <c r="J233" s="64">
        <f>5.1642 * CHOOSE(CONTROL!$C$22, $C$13, 100%, $E$13)</f>
        <v>5.1642000000000001</v>
      </c>
      <c r="K233" s="64">
        <f>5.1643 * CHOOSE(CONTROL!$C$22, $C$13, 100%, $E$13)</f>
        <v>5.1642999999999999</v>
      </c>
    </row>
    <row r="234" spans="1:11" ht="15">
      <c r="A234" s="13">
        <v>48611</v>
      </c>
      <c r="B234" s="63">
        <f>4.2734 * CHOOSE(CONTROL!$C$22, $C$13, 100%, $E$13)</f>
        <v>4.2733999999999996</v>
      </c>
      <c r="C234" s="63">
        <f>4.2734 * CHOOSE(CONTROL!$C$22, $C$13, 100%, $E$13)</f>
        <v>4.2733999999999996</v>
      </c>
      <c r="D234" s="63">
        <f>4.2734 * CHOOSE(CONTROL!$C$22, $C$13, 100%, $E$13)</f>
        <v>4.2733999999999996</v>
      </c>
      <c r="E234" s="64">
        <f>5.0805 * CHOOSE(CONTROL!$C$22, $C$13, 100%, $E$13)</f>
        <v>5.0804999999999998</v>
      </c>
      <c r="F234" s="64">
        <f>5.0805 * CHOOSE(CONTROL!$C$22, $C$13, 100%, $E$13)</f>
        <v>5.0804999999999998</v>
      </c>
      <c r="G234" s="64">
        <f>5.0806 * CHOOSE(CONTROL!$C$22, $C$13, 100%, $E$13)</f>
        <v>5.0805999999999996</v>
      </c>
      <c r="H234" s="64">
        <f>8.7805* CHOOSE(CONTROL!$C$22, $C$13, 100%, $E$13)</f>
        <v>8.7805</v>
      </c>
      <c r="I234" s="64">
        <f>8.7806 * CHOOSE(CONTROL!$C$22, $C$13, 100%, $E$13)</f>
        <v>8.7805999999999997</v>
      </c>
      <c r="J234" s="64">
        <f>5.0805 * CHOOSE(CONTROL!$C$22, $C$13, 100%, $E$13)</f>
        <v>5.0804999999999998</v>
      </c>
      <c r="K234" s="64">
        <f>5.0806 * CHOOSE(CONTROL!$C$22, $C$13, 100%, $E$13)</f>
        <v>5.0805999999999996</v>
      </c>
    </row>
    <row r="235" spans="1:11" ht="15">
      <c r="A235" s="13">
        <v>48639</v>
      </c>
      <c r="B235" s="63">
        <f>4.2703 * CHOOSE(CONTROL!$C$22, $C$13, 100%, $E$13)</f>
        <v>4.2702999999999998</v>
      </c>
      <c r="C235" s="63">
        <f>4.2703 * CHOOSE(CONTROL!$C$22, $C$13, 100%, $E$13)</f>
        <v>4.2702999999999998</v>
      </c>
      <c r="D235" s="63">
        <f>4.2703 * CHOOSE(CONTROL!$C$22, $C$13, 100%, $E$13)</f>
        <v>4.2702999999999998</v>
      </c>
      <c r="E235" s="64">
        <f>5.1427 * CHOOSE(CONTROL!$C$22, $C$13, 100%, $E$13)</f>
        <v>5.1426999999999996</v>
      </c>
      <c r="F235" s="64">
        <f>5.1427 * CHOOSE(CONTROL!$C$22, $C$13, 100%, $E$13)</f>
        <v>5.1426999999999996</v>
      </c>
      <c r="G235" s="64">
        <f>5.1428 * CHOOSE(CONTROL!$C$22, $C$13, 100%, $E$13)</f>
        <v>5.1428000000000003</v>
      </c>
      <c r="H235" s="64">
        <f>8.7988* CHOOSE(CONTROL!$C$22, $C$13, 100%, $E$13)</f>
        <v>8.7988</v>
      </c>
      <c r="I235" s="64">
        <f>8.7989 * CHOOSE(CONTROL!$C$22, $C$13, 100%, $E$13)</f>
        <v>8.7988999999999997</v>
      </c>
      <c r="J235" s="64">
        <f>5.1427 * CHOOSE(CONTROL!$C$22, $C$13, 100%, $E$13)</f>
        <v>5.1426999999999996</v>
      </c>
      <c r="K235" s="64">
        <f>5.1428 * CHOOSE(CONTROL!$C$22, $C$13, 100%, $E$13)</f>
        <v>5.1428000000000003</v>
      </c>
    </row>
    <row r="236" spans="1:11" ht="15">
      <c r="A236" s="13">
        <v>48670</v>
      </c>
      <c r="B236" s="63">
        <f>4.2682 * CHOOSE(CONTROL!$C$22, $C$13, 100%, $E$13)</f>
        <v>4.2682000000000002</v>
      </c>
      <c r="C236" s="63">
        <f>4.2682 * CHOOSE(CONTROL!$C$22, $C$13, 100%, $E$13)</f>
        <v>4.2682000000000002</v>
      </c>
      <c r="D236" s="63">
        <f>4.2682 * CHOOSE(CONTROL!$C$22, $C$13, 100%, $E$13)</f>
        <v>4.2682000000000002</v>
      </c>
      <c r="E236" s="64">
        <f>5.2076 * CHOOSE(CONTROL!$C$22, $C$13, 100%, $E$13)</f>
        <v>5.2076000000000002</v>
      </c>
      <c r="F236" s="64">
        <f>5.2076 * CHOOSE(CONTROL!$C$22, $C$13, 100%, $E$13)</f>
        <v>5.2076000000000002</v>
      </c>
      <c r="G236" s="64">
        <f>5.2076 * CHOOSE(CONTROL!$C$22, $C$13, 100%, $E$13)</f>
        <v>5.2076000000000002</v>
      </c>
      <c r="H236" s="64">
        <f>8.8171* CHOOSE(CONTROL!$C$22, $C$13, 100%, $E$13)</f>
        <v>8.8170999999999999</v>
      </c>
      <c r="I236" s="64">
        <f>8.8172 * CHOOSE(CONTROL!$C$22, $C$13, 100%, $E$13)</f>
        <v>8.8171999999999997</v>
      </c>
      <c r="J236" s="64">
        <f>5.2076 * CHOOSE(CONTROL!$C$22, $C$13, 100%, $E$13)</f>
        <v>5.2076000000000002</v>
      </c>
      <c r="K236" s="64">
        <f>5.2076 * CHOOSE(CONTROL!$C$22, $C$13, 100%, $E$13)</f>
        <v>5.2076000000000002</v>
      </c>
    </row>
    <row r="237" spans="1:11" ht="15">
      <c r="A237" s="13">
        <v>48700</v>
      </c>
      <c r="B237" s="63">
        <f>4.2682 * CHOOSE(CONTROL!$C$22, $C$13, 100%, $E$13)</f>
        <v>4.2682000000000002</v>
      </c>
      <c r="C237" s="63">
        <f>4.2682 * CHOOSE(CONTROL!$C$22, $C$13, 100%, $E$13)</f>
        <v>4.2682000000000002</v>
      </c>
      <c r="D237" s="63">
        <f>4.2767 * CHOOSE(CONTROL!$C$22, $C$13, 100%, $E$13)</f>
        <v>4.2766999999999999</v>
      </c>
      <c r="E237" s="64">
        <f>5.2335 * CHOOSE(CONTROL!$C$22, $C$13, 100%, $E$13)</f>
        <v>5.2335000000000003</v>
      </c>
      <c r="F237" s="64">
        <f>5.2335 * CHOOSE(CONTROL!$C$22, $C$13, 100%, $E$13)</f>
        <v>5.2335000000000003</v>
      </c>
      <c r="G237" s="64">
        <f>5.2437 * CHOOSE(CONTROL!$C$22, $C$13, 100%, $E$13)</f>
        <v>5.2436999999999996</v>
      </c>
      <c r="H237" s="64">
        <f>8.8355* CHOOSE(CONTROL!$C$22, $C$13, 100%, $E$13)</f>
        <v>8.8354999999999997</v>
      </c>
      <c r="I237" s="64">
        <f>8.8457 * CHOOSE(CONTROL!$C$22, $C$13, 100%, $E$13)</f>
        <v>8.8457000000000008</v>
      </c>
      <c r="J237" s="64">
        <f>5.2335 * CHOOSE(CONTROL!$C$22, $C$13, 100%, $E$13)</f>
        <v>5.2335000000000003</v>
      </c>
      <c r="K237" s="64">
        <f>5.2437 * CHOOSE(CONTROL!$C$22, $C$13, 100%, $E$13)</f>
        <v>5.2436999999999996</v>
      </c>
    </row>
    <row r="238" spans="1:11" ht="15">
      <c r="A238" s="13">
        <v>48731</v>
      </c>
      <c r="B238" s="63">
        <f>4.2743 * CHOOSE(CONTROL!$C$22, $C$13, 100%, $E$13)</f>
        <v>4.2743000000000002</v>
      </c>
      <c r="C238" s="63">
        <f>4.2743 * CHOOSE(CONTROL!$C$22, $C$13, 100%, $E$13)</f>
        <v>4.2743000000000002</v>
      </c>
      <c r="D238" s="63">
        <f>4.2827 * CHOOSE(CONTROL!$C$22, $C$13, 100%, $E$13)</f>
        <v>4.2827000000000002</v>
      </c>
      <c r="E238" s="64">
        <f>5.2118 * CHOOSE(CONTROL!$C$22, $C$13, 100%, $E$13)</f>
        <v>5.2118000000000002</v>
      </c>
      <c r="F238" s="64">
        <f>5.2118 * CHOOSE(CONTROL!$C$22, $C$13, 100%, $E$13)</f>
        <v>5.2118000000000002</v>
      </c>
      <c r="G238" s="64">
        <f>5.222 * CHOOSE(CONTROL!$C$22, $C$13, 100%, $E$13)</f>
        <v>5.2220000000000004</v>
      </c>
      <c r="H238" s="64">
        <f>8.8539* CHOOSE(CONTROL!$C$22, $C$13, 100%, $E$13)</f>
        <v>8.8538999999999994</v>
      </c>
      <c r="I238" s="64">
        <f>8.8641 * CHOOSE(CONTROL!$C$22, $C$13, 100%, $E$13)</f>
        <v>8.8641000000000005</v>
      </c>
      <c r="J238" s="64">
        <f>5.2118 * CHOOSE(CONTROL!$C$22, $C$13, 100%, $E$13)</f>
        <v>5.2118000000000002</v>
      </c>
      <c r="K238" s="64">
        <f>5.222 * CHOOSE(CONTROL!$C$22, $C$13, 100%, $E$13)</f>
        <v>5.2220000000000004</v>
      </c>
    </row>
    <row r="239" spans="1:11" ht="15">
      <c r="A239" s="13">
        <v>48761</v>
      </c>
      <c r="B239" s="63">
        <f>4.3499 * CHOOSE(CONTROL!$C$22, $C$13, 100%, $E$13)</f>
        <v>4.3498999999999999</v>
      </c>
      <c r="C239" s="63">
        <f>4.3499 * CHOOSE(CONTROL!$C$22, $C$13, 100%, $E$13)</f>
        <v>4.3498999999999999</v>
      </c>
      <c r="D239" s="63">
        <f>4.3583 * CHOOSE(CONTROL!$C$22, $C$13, 100%, $E$13)</f>
        <v>4.3582999999999998</v>
      </c>
      <c r="E239" s="64">
        <f>5.3292 * CHOOSE(CONTROL!$C$22, $C$13, 100%, $E$13)</f>
        <v>5.3292000000000002</v>
      </c>
      <c r="F239" s="64">
        <f>5.3292 * CHOOSE(CONTROL!$C$22, $C$13, 100%, $E$13)</f>
        <v>5.3292000000000002</v>
      </c>
      <c r="G239" s="64">
        <f>5.3395 * CHOOSE(CONTROL!$C$22, $C$13, 100%, $E$13)</f>
        <v>5.3395000000000001</v>
      </c>
      <c r="H239" s="64">
        <f>8.8724* CHOOSE(CONTROL!$C$22, $C$13, 100%, $E$13)</f>
        <v>8.8724000000000007</v>
      </c>
      <c r="I239" s="64">
        <f>8.8826 * CHOOSE(CONTROL!$C$22, $C$13, 100%, $E$13)</f>
        <v>8.8826000000000001</v>
      </c>
      <c r="J239" s="64">
        <f>5.3292 * CHOOSE(CONTROL!$C$22, $C$13, 100%, $E$13)</f>
        <v>5.3292000000000002</v>
      </c>
      <c r="K239" s="64">
        <f>5.3395 * CHOOSE(CONTROL!$C$22, $C$13, 100%, $E$13)</f>
        <v>5.3395000000000001</v>
      </c>
    </row>
    <row r="240" spans="1:11" ht="15">
      <c r="A240" s="13">
        <v>48792</v>
      </c>
      <c r="B240" s="63">
        <f>4.3566 * CHOOSE(CONTROL!$C$22, $C$13, 100%, $E$13)</f>
        <v>4.3566000000000003</v>
      </c>
      <c r="C240" s="63">
        <f>4.3566 * CHOOSE(CONTROL!$C$22, $C$13, 100%, $E$13)</f>
        <v>4.3566000000000003</v>
      </c>
      <c r="D240" s="63">
        <f>4.365 * CHOOSE(CONTROL!$C$22, $C$13, 100%, $E$13)</f>
        <v>4.3650000000000002</v>
      </c>
      <c r="E240" s="64">
        <f>5.2562 * CHOOSE(CONTROL!$C$22, $C$13, 100%, $E$13)</f>
        <v>5.2561999999999998</v>
      </c>
      <c r="F240" s="64">
        <f>5.2562 * CHOOSE(CONTROL!$C$22, $C$13, 100%, $E$13)</f>
        <v>5.2561999999999998</v>
      </c>
      <c r="G240" s="64">
        <f>5.2664 * CHOOSE(CONTROL!$C$22, $C$13, 100%, $E$13)</f>
        <v>5.2664</v>
      </c>
      <c r="H240" s="64">
        <f>8.8909* CHOOSE(CONTROL!$C$22, $C$13, 100%, $E$13)</f>
        <v>8.8909000000000002</v>
      </c>
      <c r="I240" s="64">
        <f>8.9011 * CHOOSE(CONTROL!$C$22, $C$13, 100%, $E$13)</f>
        <v>8.9010999999999996</v>
      </c>
      <c r="J240" s="64">
        <f>5.2562 * CHOOSE(CONTROL!$C$22, $C$13, 100%, $E$13)</f>
        <v>5.2561999999999998</v>
      </c>
      <c r="K240" s="64">
        <f>5.2664 * CHOOSE(CONTROL!$C$22, $C$13, 100%, $E$13)</f>
        <v>5.2664</v>
      </c>
    </row>
    <row r="241" spans="1:11" ht="15">
      <c r="A241" s="13">
        <v>48823</v>
      </c>
      <c r="B241" s="63">
        <f>4.3535 * CHOOSE(CONTROL!$C$22, $C$13, 100%, $E$13)</f>
        <v>4.3535000000000004</v>
      </c>
      <c r="C241" s="63">
        <f>4.3535 * CHOOSE(CONTROL!$C$22, $C$13, 100%, $E$13)</f>
        <v>4.3535000000000004</v>
      </c>
      <c r="D241" s="63">
        <f>4.362 * CHOOSE(CONTROL!$C$22, $C$13, 100%, $E$13)</f>
        <v>4.3620000000000001</v>
      </c>
      <c r="E241" s="64">
        <f>5.2454 * CHOOSE(CONTROL!$C$22, $C$13, 100%, $E$13)</f>
        <v>5.2454000000000001</v>
      </c>
      <c r="F241" s="64">
        <f>5.2454 * CHOOSE(CONTROL!$C$22, $C$13, 100%, $E$13)</f>
        <v>5.2454000000000001</v>
      </c>
      <c r="G241" s="64">
        <f>5.2556 * CHOOSE(CONTROL!$C$22, $C$13, 100%, $E$13)</f>
        <v>5.2556000000000003</v>
      </c>
      <c r="H241" s="64">
        <f>8.9094* CHOOSE(CONTROL!$C$22, $C$13, 100%, $E$13)</f>
        <v>8.9093999999999998</v>
      </c>
      <c r="I241" s="64">
        <f>8.9196 * CHOOSE(CONTROL!$C$22, $C$13, 100%, $E$13)</f>
        <v>8.9196000000000009</v>
      </c>
      <c r="J241" s="64">
        <f>5.2454 * CHOOSE(CONTROL!$C$22, $C$13, 100%, $E$13)</f>
        <v>5.2454000000000001</v>
      </c>
      <c r="K241" s="64">
        <f>5.2556 * CHOOSE(CONTROL!$C$22, $C$13, 100%, $E$13)</f>
        <v>5.2556000000000003</v>
      </c>
    </row>
    <row r="242" spans="1:11" ht="15">
      <c r="A242" s="13">
        <v>48853</v>
      </c>
      <c r="B242" s="63">
        <f>4.3497 * CHOOSE(CONTROL!$C$22, $C$13, 100%, $E$13)</f>
        <v>4.3497000000000003</v>
      </c>
      <c r="C242" s="63">
        <f>4.3497 * CHOOSE(CONTROL!$C$22, $C$13, 100%, $E$13)</f>
        <v>4.3497000000000003</v>
      </c>
      <c r="D242" s="63">
        <f>4.3498 * CHOOSE(CONTROL!$C$22, $C$13, 100%, $E$13)</f>
        <v>4.3498000000000001</v>
      </c>
      <c r="E242" s="64">
        <f>5.2665 * CHOOSE(CONTROL!$C$22, $C$13, 100%, $E$13)</f>
        <v>5.2664999999999997</v>
      </c>
      <c r="F242" s="64">
        <f>5.2665 * CHOOSE(CONTROL!$C$22, $C$13, 100%, $E$13)</f>
        <v>5.2664999999999997</v>
      </c>
      <c r="G242" s="64">
        <f>5.2666 * CHOOSE(CONTROL!$C$22, $C$13, 100%, $E$13)</f>
        <v>5.2666000000000004</v>
      </c>
      <c r="H242" s="64">
        <f>8.9279* CHOOSE(CONTROL!$C$22, $C$13, 100%, $E$13)</f>
        <v>8.9278999999999993</v>
      </c>
      <c r="I242" s="64">
        <f>8.928 * CHOOSE(CONTROL!$C$22, $C$13, 100%, $E$13)</f>
        <v>8.9280000000000008</v>
      </c>
      <c r="J242" s="64">
        <f>5.2665 * CHOOSE(CONTROL!$C$22, $C$13, 100%, $E$13)</f>
        <v>5.2664999999999997</v>
      </c>
      <c r="K242" s="64">
        <f>5.2666 * CHOOSE(CONTROL!$C$22, $C$13, 100%, $E$13)</f>
        <v>5.2666000000000004</v>
      </c>
    </row>
    <row r="243" spans="1:11" ht="15">
      <c r="A243" s="13">
        <v>48884</v>
      </c>
      <c r="B243" s="63">
        <f>4.3528 * CHOOSE(CONTROL!$C$22, $C$13, 100%, $E$13)</f>
        <v>4.3528000000000002</v>
      </c>
      <c r="C243" s="63">
        <f>4.3528 * CHOOSE(CONTROL!$C$22, $C$13, 100%, $E$13)</f>
        <v>4.3528000000000002</v>
      </c>
      <c r="D243" s="63">
        <f>4.3528 * CHOOSE(CONTROL!$C$22, $C$13, 100%, $E$13)</f>
        <v>4.3528000000000002</v>
      </c>
      <c r="E243" s="64">
        <f>5.2859 * CHOOSE(CONTROL!$C$22, $C$13, 100%, $E$13)</f>
        <v>5.2858999999999998</v>
      </c>
      <c r="F243" s="64">
        <f>5.2859 * CHOOSE(CONTROL!$C$22, $C$13, 100%, $E$13)</f>
        <v>5.2858999999999998</v>
      </c>
      <c r="G243" s="64">
        <f>5.286 * CHOOSE(CONTROL!$C$22, $C$13, 100%, $E$13)</f>
        <v>5.2859999999999996</v>
      </c>
      <c r="H243" s="64">
        <f>8.9465* CHOOSE(CONTROL!$C$22, $C$13, 100%, $E$13)</f>
        <v>8.9465000000000003</v>
      </c>
      <c r="I243" s="64">
        <f>8.9466 * CHOOSE(CONTROL!$C$22, $C$13, 100%, $E$13)</f>
        <v>8.9466000000000001</v>
      </c>
      <c r="J243" s="64">
        <f>5.2859 * CHOOSE(CONTROL!$C$22, $C$13, 100%, $E$13)</f>
        <v>5.2858999999999998</v>
      </c>
      <c r="K243" s="64">
        <f>5.286 * CHOOSE(CONTROL!$C$22, $C$13, 100%, $E$13)</f>
        <v>5.2859999999999996</v>
      </c>
    </row>
    <row r="244" spans="1:11" ht="15">
      <c r="A244" s="13">
        <v>48914</v>
      </c>
      <c r="B244" s="63">
        <f>4.3528 * CHOOSE(CONTROL!$C$22, $C$13, 100%, $E$13)</f>
        <v>4.3528000000000002</v>
      </c>
      <c r="C244" s="63">
        <f>4.3528 * CHOOSE(CONTROL!$C$22, $C$13, 100%, $E$13)</f>
        <v>4.3528000000000002</v>
      </c>
      <c r="D244" s="63">
        <f>4.3528 * CHOOSE(CONTROL!$C$22, $C$13, 100%, $E$13)</f>
        <v>4.3528000000000002</v>
      </c>
      <c r="E244" s="64">
        <f>5.2427 * CHOOSE(CONTROL!$C$22, $C$13, 100%, $E$13)</f>
        <v>5.2427000000000001</v>
      </c>
      <c r="F244" s="64">
        <f>5.2427 * CHOOSE(CONTROL!$C$22, $C$13, 100%, $E$13)</f>
        <v>5.2427000000000001</v>
      </c>
      <c r="G244" s="64">
        <f>5.2428 * CHOOSE(CONTROL!$C$22, $C$13, 100%, $E$13)</f>
        <v>5.2427999999999999</v>
      </c>
      <c r="H244" s="64">
        <f>8.9652* CHOOSE(CONTROL!$C$22, $C$13, 100%, $E$13)</f>
        <v>8.9651999999999994</v>
      </c>
      <c r="I244" s="64">
        <f>8.9653 * CHOOSE(CONTROL!$C$22, $C$13, 100%, $E$13)</f>
        <v>8.9652999999999992</v>
      </c>
      <c r="J244" s="64">
        <f>5.2427 * CHOOSE(CONTROL!$C$22, $C$13, 100%, $E$13)</f>
        <v>5.2427000000000001</v>
      </c>
      <c r="K244" s="64">
        <f>5.2428 * CHOOSE(CONTROL!$C$22, $C$13, 100%, $E$13)</f>
        <v>5.2427999999999999</v>
      </c>
    </row>
    <row r="245" spans="1:11" ht="15">
      <c r="A245" s="13">
        <v>48945</v>
      </c>
      <c r="B245" s="63">
        <f>4.3942 * CHOOSE(CONTROL!$C$22, $C$13, 100%, $E$13)</f>
        <v>4.3941999999999997</v>
      </c>
      <c r="C245" s="63">
        <f>4.3942 * CHOOSE(CONTROL!$C$22, $C$13, 100%, $E$13)</f>
        <v>4.3941999999999997</v>
      </c>
      <c r="D245" s="63">
        <f>4.3942 * CHOOSE(CONTROL!$C$22, $C$13, 100%, $E$13)</f>
        <v>4.3941999999999997</v>
      </c>
      <c r="E245" s="64">
        <f>5.3259 * CHOOSE(CONTROL!$C$22, $C$13, 100%, $E$13)</f>
        <v>5.3258999999999999</v>
      </c>
      <c r="F245" s="64">
        <f>5.3259 * CHOOSE(CONTROL!$C$22, $C$13, 100%, $E$13)</f>
        <v>5.3258999999999999</v>
      </c>
      <c r="G245" s="64">
        <f>5.326 * CHOOSE(CONTROL!$C$22, $C$13, 100%, $E$13)</f>
        <v>5.3259999999999996</v>
      </c>
      <c r="H245" s="64">
        <f>8.9839* CHOOSE(CONTROL!$C$22, $C$13, 100%, $E$13)</f>
        <v>8.9839000000000002</v>
      </c>
      <c r="I245" s="64">
        <f>8.9839 * CHOOSE(CONTROL!$C$22, $C$13, 100%, $E$13)</f>
        <v>8.9839000000000002</v>
      </c>
      <c r="J245" s="64">
        <f>5.3259 * CHOOSE(CONTROL!$C$22, $C$13, 100%, $E$13)</f>
        <v>5.3258999999999999</v>
      </c>
      <c r="K245" s="64">
        <f>5.326 * CHOOSE(CONTROL!$C$22, $C$13, 100%, $E$13)</f>
        <v>5.3259999999999996</v>
      </c>
    </row>
    <row r="246" spans="1:11" ht="15">
      <c r="A246" s="13">
        <v>48976</v>
      </c>
      <c r="B246" s="63">
        <f>4.3911 * CHOOSE(CONTROL!$C$22, $C$13, 100%, $E$13)</f>
        <v>4.3910999999999998</v>
      </c>
      <c r="C246" s="63">
        <f>4.3911 * CHOOSE(CONTROL!$C$22, $C$13, 100%, $E$13)</f>
        <v>4.3910999999999998</v>
      </c>
      <c r="D246" s="63">
        <f>4.3911 * CHOOSE(CONTROL!$C$22, $C$13, 100%, $E$13)</f>
        <v>4.3910999999999998</v>
      </c>
      <c r="E246" s="64">
        <f>5.24 * CHOOSE(CONTROL!$C$22, $C$13, 100%, $E$13)</f>
        <v>5.24</v>
      </c>
      <c r="F246" s="64">
        <f>5.24 * CHOOSE(CONTROL!$C$22, $C$13, 100%, $E$13)</f>
        <v>5.24</v>
      </c>
      <c r="G246" s="64">
        <f>5.2401 * CHOOSE(CONTROL!$C$22, $C$13, 100%, $E$13)</f>
        <v>5.2401</v>
      </c>
      <c r="H246" s="64">
        <f>9.0026* CHOOSE(CONTROL!$C$22, $C$13, 100%, $E$13)</f>
        <v>9.0025999999999993</v>
      </c>
      <c r="I246" s="64">
        <f>9.0026 * CHOOSE(CONTROL!$C$22, $C$13, 100%, $E$13)</f>
        <v>9.0025999999999993</v>
      </c>
      <c r="J246" s="64">
        <f>5.24 * CHOOSE(CONTROL!$C$22, $C$13, 100%, $E$13)</f>
        <v>5.24</v>
      </c>
      <c r="K246" s="64">
        <f>5.2401 * CHOOSE(CONTROL!$C$22, $C$13, 100%, $E$13)</f>
        <v>5.2401</v>
      </c>
    </row>
    <row r="247" spans="1:11" ht="15">
      <c r="A247" s="13">
        <v>49004</v>
      </c>
      <c r="B247" s="63">
        <f>4.3881 * CHOOSE(CONTROL!$C$22, $C$13, 100%, $E$13)</f>
        <v>4.3880999999999997</v>
      </c>
      <c r="C247" s="63">
        <f>4.3881 * CHOOSE(CONTROL!$C$22, $C$13, 100%, $E$13)</f>
        <v>4.3880999999999997</v>
      </c>
      <c r="D247" s="63">
        <f>4.3881 * CHOOSE(CONTROL!$C$22, $C$13, 100%, $E$13)</f>
        <v>4.3880999999999997</v>
      </c>
      <c r="E247" s="64">
        <f>5.304 * CHOOSE(CONTROL!$C$22, $C$13, 100%, $E$13)</f>
        <v>5.3040000000000003</v>
      </c>
      <c r="F247" s="64">
        <f>5.304 * CHOOSE(CONTROL!$C$22, $C$13, 100%, $E$13)</f>
        <v>5.3040000000000003</v>
      </c>
      <c r="G247" s="64">
        <f>5.304 * CHOOSE(CONTROL!$C$22, $C$13, 100%, $E$13)</f>
        <v>5.3040000000000003</v>
      </c>
      <c r="H247" s="64">
        <f>9.0213* CHOOSE(CONTROL!$C$22, $C$13, 100%, $E$13)</f>
        <v>9.0213000000000001</v>
      </c>
      <c r="I247" s="64">
        <f>9.0214 * CHOOSE(CONTROL!$C$22, $C$13, 100%, $E$13)</f>
        <v>9.0213999999999999</v>
      </c>
      <c r="J247" s="64">
        <f>5.304 * CHOOSE(CONTROL!$C$22, $C$13, 100%, $E$13)</f>
        <v>5.3040000000000003</v>
      </c>
      <c r="K247" s="64">
        <f>5.304 * CHOOSE(CONTROL!$C$22, $C$13, 100%, $E$13)</f>
        <v>5.3040000000000003</v>
      </c>
    </row>
    <row r="248" spans="1:11" ht="15">
      <c r="A248" s="13">
        <v>49035</v>
      </c>
      <c r="B248" s="63">
        <f>4.3861 * CHOOSE(CONTROL!$C$22, $C$13, 100%, $E$13)</f>
        <v>4.3860999999999999</v>
      </c>
      <c r="C248" s="63">
        <f>4.3861 * CHOOSE(CONTROL!$C$22, $C$13, 100%, $E$13)</f>
        <v>4.3860999999999999</v>
      </c>
      <c r="D248" s="63">
        <f>4.3861 * CHOOSE(CONTROL!$C$22, $C$13, 100%, $E$13)</f>
        <v>4.3860999999999999</v>
      </c>
      <c r="E248" s="64">
        <f>5.3707 * CHOOSE(CONTROL!$C$22, $C$13, 100%, $E$13)</f>
        <v>5.3707000000000003</v>
      </c>
      <c r="F248" s="64">
        <f>5.3707 * CHOOSE(CONTROL!$C$22, $C$13, 100%, $E$13)</f>
        <v>5.3707000000000003</v>
      </c>
      <c r="G248" s="64">
        <f>5.3707 * CHOOSE(CONTROL!$C$22, $C$13, 100%, $E$13)</f>
        <v>5.3707000000000003</v>
      </c>
      <c r="H248" s="64">
        <f>9.0401* CHOOSE(CONTROL!$C$22, $C$13, 100%, $E$13)</f>
        <v>9.0401000000000007</v>
      </c>
      <c r="I248" s="64">
        <f>9.0402 * CHOOSE(CONTROL!$C$22, $C$13, 100%, $E$13)</f>
        <v>9.0402000000000005</v>
      </c>
      <c r="J248" s="64">
        <f>5.3707 * CHOOSE(CONTROL!$C$22, $C$13, 100%, $E$13)</f>
        <v>5.3707000000000003</v>
      </c>
      <c r="K248" s="64">
        <f>5.3707 * CHOOSE(CONTROL!$C$22, $C$13, 100%, $E$13)</f>
        <v>5.3707000000000003</v>
      </c>
    </row>
    <row r="249" spans="1:11" ht="15">
      <c r="A249" s="13">
        <v>49065</v>
      </c>
      <c r="B249" s="63">
        <f>4.3861 * CHOOSE(CONTROL!$C$22, $C$13, 100%, $E$13)</f>
        <v>4.3860999999999999</v>
      </c>
      <c r="C249" s="63">
        <f>4.3861 * CHOOSE(CONTROL!$C$22, $C$13, 100%, $E$13)</f>
        <v>4.3860999999999999</v>
      </c>
      <c r="D249" s="63">
        <f>4.3945 * CHOOSE(CONTROL!$C$22, $C$13, 100%, $E$13)</f>
        <v>4.3944999999999999</v>
      </c>
      <c r="E249" s="64">
        <f>5.3973 * CHOOSE(CONTROL!$C$22, $C$13, 100%, $E$13)</f>
        <v>5.3973000000000004</v>
      </c>
      <c r="F249" s="64">
        <f>5.3973 * CHOOSE(CONTROL!$C$22, $C$13, 100%, $E$13)</f>
        <v>5.3973000000000004</v>
      </c>
      <c r="G249" s="64">
        <f>5.4075 * CHOOSE(CONTROL!$C$22, $C$13, 100%, $E$13)</f>
        <v>5.4074999999999998</v>
      </c>
      <c r="H249" s="64">
        <f>9.059* CHOOSE(CONTROL!$C$22, $C$13, 100%, $E$13)</f>
        <v>9.0589999999999993</v>
      </c>
      <c r="I249" s="64">
        <f>9.0692 * CHOOSE(CONTROL!$C$22, $C$13, 100%, $E$13)</f>
        <v>9.0692000000000004</v>
      </c>
      <c r="J249" s="64">
        <f>5.3973 * CHOOSE(CONTROL!$C$22, $C$13, 100%, $E$13)</f>
        <v>5.3973000000000004</v>
      </c>
      <c r="K249" s="64">
        <f>5.4075 * CHOOSE(CONTROL!$C$22, $C$13, 100%, $E$13)</f>
        <v>5.4074999999999998</v>
      </c>
    </row>
    <row r="250" spans="1:11" ht="15">
      <c r="A250" s="13">
        <v>49096</v>
      </c>
      <c r="B250" s="63">
        <f>4.3921 * CHOOSE(CONTROL!$C$22, $C$13, 100%, $E$13)</f>
        <v>4.3921000000000001</v>
      </c>
      <c r="C250" s="63">
        <f>4.3921 * CHOOSE(CONTROL!$C$22, $C$13, 100%, $E$13)</f>
        <v>4.3921000000000001</v>
      </c>
      <c r="D250" s="63">
        <f>4.4006 * CHOOSE(CONTROL!$C$22, $C$13, 100%, $E$13)</f>
        <v>4.4005999999999998</v>
      </c>
      <c r="E250" s="64">
        <f>5.3749 * CHOOSE(CONTROL!$C$22, $C$13, 100%, $E$13)</f>
        <v>5.3749000000000002</v>
      </c>
      <c r="F250" s="64">
        <f>5.3749 * CHOOSE(CONTROL!$C$22, $C$13, 100%, $E$13)</f>
        <v>5.3749000000000002</v>
      </c>
      <c r="G250" s="64">
        <f>5.3851 * CHOOSE(CONTROL!$C$22, $C$13, 100%, $E$13)</f>
        <v>5.3851000000000004</v>
      </c>
      <c r="H250" s="64">
        <f>9.0778* CHOOSE(CONTROL!$C$22, $C$13, 100%, $E$13)</f>
        <v>9.0777999999999999</v>
      </c>
      <c r="I250" s="64">
        <f>9.088 * CHOOSE(CONTROL!$C$22, $C$13, 100%, $E$13)</f>
        <v>9.0879999999999992</v>
      </c>
      <c r="J250" s="64">
        <f>5.3749 * CHOOSE(CONTROL!$C$22, $C$13, 100%, $E$13)</f>
        <v>5.3749000000000002</v>
      </c>
      <c r="K250" s="64">
        <f>5.3851 * CHOOSE(CONTROL!$C$22, $C$13, 100%, $E$13)</f>
        <v>5.3851000000000004</v>
      </c>
    </row>
    <row r="251" spans="1:11" ht="15">
      <c r="A251" s="13">
        <v>49126</v>
      </c>
      <c r="B251" s="63">
        <f>4.4705 * CHOOSE(CONTROL!$C$22, $C$13, 100%, $E$13)</f>
        <v>4.4705000000000004</v>
      </c>
      <c r="C251" s="63">
        <f>4.4705 * CHOOSE(CONTROL!$C$22, $C$13, 100%, $E$13)</f>
        <v>4.4705000000000004</v>
      </c>
      <c r="D251" s="63">
        <f>4.4789 * CHOOSE(CONTROL!$C$22, $C$13, 100%, $E$13)</f>
        <v>4.4789000000000003</v>
      </c>
      <c r="E251" s="64">
        <f>5.4902 * CHOOSE(CONTROL!$C$22, $C$13, 100%, $E$13)</f>
        <v>5.4901999999999997</v>
      </c>
      <c r="F251" s="64">
        <f>5.4902 * CHOOSE(CONTROL!$C$22, $C$13, 100%, $E$13)</f>
        <v>5.4901999999999997</v>
      </c>
      <c r="G251" s="64">
        <f>5.5004 * CHOOSE(CONTROL!$C$22, $C$13, 100%, $E$13)</f>
        <v>5.5004</v>
      </c>
      <c r="H251" s="64">
        <f>9.0967* CHOOSE(CONTROL!$C$22, $C$13, 100%, $E$13)</f>
        <v>9.0967000000000002</v>
      </c>
      <c r="I251" s="64">
        <f>9.107 * CHOOSE(CONTROL!$C$22, $C$13, 100%, $E$13)</f>
        <v>9.1069999999999993</v>
      </c>
      <c r="J251" s="64">
        <f>5.4902 * CHOOSE(CONTROL!$C$22, $C$13, 100%, $E$13)</f>
        <v>5.4901999999999997</v>
      </c>
      <c r="K251" s="64">
        <f>5.5004 * CHOOSE(CONTROL!$C$22, $C$13, 100%, $E$13)</f>
        <v>5.5004</v>
      </c>
    </row>
    <row r="252" spans="1:11" ht="15">
      <c r="A252" s="13">
        <v>49157</v>
      </c>
      <c r="B252" s="63">
        <f>4.4771 * CHOOSE(CONTROL!$C$22, $C$13, 100%, $E$13)</f>
        <v>4.4771000000000001</v>
      </c>
      <c r="C252" s="63">
        <f>4.4771 * CHOOSE(CONTROL!$C$22, $C$13, 100%, $E$13)</f>
        <v>4.4771000000000001</v>
      </c>
      <c r="D252" s="63">
        <f>4.4856 * CHOOSE(CONTROL!$C$22, $C$13, 100%, $E$13)</f>
        <v>4.4855999999999998</v>
      </c>
      <c r="E252" s="64">
        <f>5.4151 * CHOOSE(CONTROL!$C$22, $C$13, 100%, $E$13)</f>
        <v>5.4150999999999998</v>
      </c>
      <c r="F252" s="64">
        <f>5.4151 * CHOOSE(CONTROL!$C$22, $C$13, 100%, $E$13)</f>
        <v>5.4150999999999998</v>
      </c>
      <c r="G252" s="64">
        <f>5.4253 * CHOOSE(CONTROL!$C$22, $C$13, 100%, $E$13)</f>
        <v>5.4253</v>
      </c>
      <c r="H252" s="64">
        <f>9.1157* CHOOSE(CONTROL!$C$22, $C$13, 100%, $E$13)</f>
        <v>9.1157000000000004</v>
      </c>
      <c r="I252" s="64">
        <f>9.1259 * CHOOSE(CONTROL!$C$22, $C$13, 100%, $E$13)</f>
        <v>9.1258999999999997</v>
      </c>
      <c r="J252" s="64">
        <f>5.4151 * CHOOSE(CONTROL!$C$22, $C$13, 100%, $E$13)</f>
        <v>5.4150999999999998</v>
      </c>
      <c r="K252" s="64">
        <f>5.4253 * CHOOSE(CONTROL!$C$22, $C$13, 100%, $E$13)</f>
        <v>5.4253</v>
      </c>
    </row>
    <row r="253" spans="1:11" ht="15">
      <c r="A253" s="13">
        <v>49188</v>
      </c>
      <c r="B253" s="63">
        <f>4.4741 * CHOOSE(CONTROL!$C$22, $C$13, 100%, $E$13)</f>
        <v>4.4741</v>
      </c>
      <c r="C253" s="63">
        <f>4.4741 * CHOOSE(CONTROL!$C$22, $C$13, 100%, $E$13)</f>
        <v>4.4741</v>
      </c>
      <c r="D253" s="63">
        <f>4.4825 * CHOOSE(CONTROL!$C$22, $C$13, 100%, $E$13)</f>
        <v>4.4824999999999999</v>
      </c>
      <c r="E253" s="64">
        <f>5.4041 * CHOOSE(CONTROL!$C$22, $C$13, 100%, $E$13)</f>
        <v>5.4040999999999997</v>
      </c>
      <c r="F253" s="64">
        <f>5.4041 * CHOOSE(CONTROL!$C$22, $C$13, 100%, $E$13)</f>
        <v>5.4040999999999997</v>
      </c>
      <c r="G253" s="64">
        <f>5.4143 * CHOOSE(CONTROL!$C$22, $C$13, 100%, $E$13)</f>
        <v>5.4142999999999999</v>
      </c>
      <c r="H253" s="64">
        <f>9.1347* CHOOSE(CONTROL!$C$22, $C$13, 100%, $E$13)</f>
        <v>9.1347000000000005</v>
      </c>
      <c r="I253" s="64">
        <f>9.1449 * CHOOSE(CONTROL!$C$22, $C$13, 100%, $E$13)</f>
        <v>9.1448999999999998</v>
      </c>
      <c r="J253" s="64">
        <f>5.4041 * CHOOSE(CONTROL!$C$22, $C$13, 100%, $E$13)</f>
        <v>5.4040999999999997</v>
      </c>
      <c r="K253" s="64">
        <f>5.4143 * CHOOSE(CONTROL!$C$22, $C$13, 100%, $E$13)</f>
        <v>5.4142999999999999</v>
      </c>
    </row>
    <row r="254" spans="1:11" ht="15">
      <c r="A254" s="13">
        <v>49218</v>
      </c>
      <c r="B254" s="63">
        <f>4.4707 * CHOOSE(CONTROL!$C$22, $C$13, 100%, $E$13)</f>
        <v>4.4706999999999999</v>
      </c>
      <c r="C254" s="63">
        <f>4.4707 * CHOOSE(CONTROL!$C$22, $C$13, 100%, $E$13)</f>
        <v>4.4706999999999999</v>
      </c>
      <c r="D254" s="63">
        <f>4.4707 * CHOOSE(CONTROL!$C$22, $C$13, 100%, $E$13)</f>
        <v>4.4706999999999999</v>
      </c>
      <c r="E254" s="64">
        <f>5.4261 * CHOOSE(CONTROL!$C$22, $C$13, 100%, $E$13)</f>
        <v>5.4260999999999999</v>
      </c>
      <c r="F254" s="64">
        <f>5.4261 * CHOOSE(CONTROL!$C$22, $C$13, 100%, $E$13)</f>
        <v>5.4260999999999999</v>
      </c>
      <c r="G254" s="64">
        <f>5.4262 * CHOOSE(CONTROL!$C$22, $C$13, 100%, $E$13)</f>
        <v>5.4261999999999997</v>
      </c>
      <c r="H254" s="64">
        <f>9.1537* CHOOSE(CONTROL!$C$22, $C$13, 100%, $E$13)</f>
        <v>9.1537000000000006</v>
      </c>
      <c r="I254" s="64">
        <f>9.1538 * CHOOSE(CONTROL!$C$22, $C$13, 100%, $E$13)</f>
        <v>9.1538000000000004</v>
      </c>
      <c r="J254" s="64">
        <f>5.4261 * CHOOSE(CONTROL!$C$22, $C$13, 100%, $E$13)</f>
        <v>5.4260999999999999</v>
      </c>
      <c r="K254" s="64">
        <f>5.4262 * CHOOSE(CONTROL!$C$22, $C$13, 100%, $E$13)</f>
        <v>5.4261999999999997</v>
      </c>
    </row>
    <row r="255" spans="1:11" ht="15">
      <c r="A255" s="13">
        <v>49249</v>
      </c>
      <c r="B255" s="63">
        <f>4.4738 * CHOOSE(CONTROL!$C$22, $C$13, 100%, $E$13)</f>
        <v>4.4737999999999998</v>
      </c>
      <c r="C255" s="63">
        <f>4.4738 * CHOOSE(CONTROL!$C$22, $C$13, 100%, $E$13)</f>
        <v>4.4737999999999998</v>
      </c>
      <c r="D255" s="63">
        <f>4.4738 * CHOOSE(CONTROL!$C$22, $C$13, 100%, $E$13)</f>
        <v>4.4737999999999998</v>
      </c>
      <c r="E255" s="64">
        <f>5.446 * CHOOSE(CONTROL!$C$22, $C$13, 100%, $E$13)</f>
        <v>5.4459999999999997</v>
      </c>
      <c r="F255" s="64">
        <f>5.446 * CHOOSE(CONTROL!$C$22, $C$13, 100%, $E$13)</f>
        <v>5.4459999999999997</v>
      </c>
      <c r="G255" s="64">
        <f>5.4461 * CHOOSE(CONTROL!$C$22, $C$13, 100%, $E$13)</f>
        <v>5.4461000000000004</v>
      </c>
      <c r="H255" s="64">
        <f>9.1728* CHOOSE(CONTROL!$C$22, $C$13, 100%, $E$13)</f>
        <v>9.1728000000000005</v>
      </c>
      <c r="I255" s="64">
        <f>9.1729 * CHOOSE(CONTROL!$C$22, $C$13, 100%, $E$13)</f>
        <v>9.1729000000000003</v>
      </c>
      <c r="J255" s="64">
        <f>5.446 * CHOOSE(CONTROL!$C$22, $C$13, 100%, $E$13)</f>
        <v>5.4459999999999997</v>
      </c>
      <c r="K255" s="64">
        <f>5.4461 * CHOOSE(CONTROL!$C$22, $C$13, 100%, $E$13)</f>
        <v>5.4461000000000004</v>
      </c>
    </row>
    <row r="256" spans="1:11" ht="15">
      <c r="A256" s="13">
        <v>49279</v>
      </c>
      <c r="B256" s="63">
        <f>4.4738 * CHOOSE(CONTROL!$C$22, $C$13, 100%, $E$13)</f>
        <v>4.4737999999999998</v>
      </c>
      <c r="C256" s="63">
        <f>4.4738 * CHOOSE(CONTROL!$C$22, $C$13, 100%, $E$13)</f>
        <v>4.4737999999999998</v>
      </c>
      <c r="D256" s="63">
        <f>4.4738 * CHOOSE(CONTROL!$C$22, $C$13, 100%, $E$13)</f>
        <v>4.4737999999999998</v>
      </c>
      <c r="E256" s="64">
        <f>5.4016 * CHOOSE(CONTROL!$C$22, $C$13, 100%, $E$13)</f>
        <v>5.4016000000000002</v>
      </c>
      <c r="F256" s="64">
        <f>5.4016 * CHOOSE(CONTROL!$C$22, $C$13, 100%, $E$13)</f>
        <v>5.4016000000000002</v>
      </c>
      <c r="G256" s="64">
        <f>5.4017 * CHOOSE(CONTROL!$C$22, $C$13, 100%, $E$13)</f>
        <v>5.4016999999999999</v>
      </c>
      <c r="H256" s="64">
        <f>9.1919* CHOOSE(CONTROL!$C$22, $C$13, 100%, $E$13)</f>
        <v>9.1919000000000004</v>
      </c>
      <c r="I256" s="64">
        <f>9.192 * CHOOSE(CONTROL!$C$22, $C$13, 100%, $E$13)</f>
        <v>9.1920000000000002</v>
      </c>
      <c r="J256" s="64">
        <f>5.4016 * CHOOSE(CONTROL!$C$22, $C$13, 100%, $E$13)</f>
        <v>5.4016000000000002</v>
      </c>
      <c r="K256" s="64">
        <f>5.4017 * CHOOSE(CONTROL!$C$22, $C$13, 100%, $E$13)</f>
        <v>5.4016999999999999</v>
      </c>
    </row>
    <row r="257" spans="1:11" ht="15">
      <c r="A257" s="13">
        <v>49310</v>
      </c>
      <c r="B257" s="63">
        <f>4.515 * CHOOSE(CONTROL!$C$22, $C$13, 100%, $E$13)</f>
        <v>4.5149999999999997</v>
      </c>
      <c r="C257" s="63">
        <f>4.515 * CHOOSE(CONTROL!$C$22, $C$13, 100%, $E$13)</f>
        <v>4.5149999999999997</v>
      </c>
      <c r="D257" s="63">
        <f>4.515 * CHOOSE(CONTROL!$C$22, $C$13, 100%, $E$13)</f>
        <v>4.5149999999999997</v>
      </c>
      <c r="E257" s="64">
        <f>5.4889 * CHOOSE(CONTROL!$C$22, $C$13, 100%, $E$13)</f>
        <v>5.4889000000000001</v>
      </c>
      <c r="F257" s="64">
        <f>5.4889 * CHOOSE(CONTROL!$C$22, $C$13, 100%, $E$13)</f>
        <v>5.4889000000000001</v>
      </c>
      <c r="G257" s="64">
        <f>5.4889 * CHOOSE(CONTROL!$C$22, $C$13, 100%, $E$13)</f>
        <v>5.4889000000000001</v>
      </c>
      <c r="H257" s="64">
        <f>9.211* CHOOSE(CONTROL!$C$22, $C$13, 100%, $E$13)</f>
        <v>9.2110000000000003</v>
      </c>
      <c r="I257" s="64">
        <f>9.2111 * CHOOSE(CONTROL!$C$22, $C$13, 100%, $E$13)</f>
        <v>9.2111000000000001</v>
      </c>
      <c r="J257" s="64">
        <f>5.4889 * CHOOSE(CONTROL!$C$22, $C$13, 100%, $E$13)</f>
        <v>5.4889000000000001</v>
      </c>
      <c r="K257" s="64">
        <f>5.4889 * CHOOSE(CONTROL!$C$22, $C$13, 100%, $E$13)</f>
        <v>5.4889000000000001</v>
      </c>
    </row>
    <row r="258" spans="1:11" ht="15">
      <c r="A258" s="13">
        <v>49341</v>
      </c>
      <c r="B258" s="63">
        <f>4.5119 * CHOOSE(CONTROL!$C$22, $C$13, 100%, $E$13)</f>
        <v>4.5118999999999998</v>
      </c>
      <c r="C258" s="63">
        <f>4.5119 * CHOOSE(CONTROL!$C$22, $C$13, 100%, $E$13)</f>
        <v>4.5118999999999998</v>
      </c>
      <c r="D258" s="63">
        <f>4.5119 * CHOOSE(CONTROL!$C$22, $C$13, 100%, $E$13)</f>
        <v>4.5118999999999998</v>
      </c>
      <c r="E258" s="64">
        <f>5.4007 * CHOOSE(CONTROL!$C$22, $C$13, 100%, $E$13)</f>
        <v>5.4006999999999996</v>
      </c>
      <c r="F258" s="64">
        <f>5.4007 * CHOOSE(CONTROL!$C$22, $C$13, 100%, $E$13)</f>
        <v>5.4006999999999996</v>
      </c>
      <c r="G258" s="64">
        <f>5.4008 * CHOOSE(CONTROL!$C$22, $C$13, 100%, $E$13)</f>
        <v>5.4008000000000003</v>
      </c>
      <c r="H258" s="64">
        <f>9.2302* CHOOSE(CONTROL!$C$22, $C$13, 100%, $E$13)</f>
        <v>9.2302</v>
      </c>
      <c r="I258" s="64">
        <f>9.2303 * CHOOSE(CONTROL!$C$22, $C$13, 100%, $E$13)</f>
        <v>9.2302999999999997</v>
      </c>
      <c r="J258" s="64">
        <f>5.4007 * CHOOSE(CONTROL!$C$22, $C$13, 100%, $E$13)</f>
        <v>5.4006999999999996</v>
      </c>
      <c r="K258" s="64">
        <f>5.4008 * CHOOSE(CONTROL!$C$22, $C$13, 100%, $E$13)</f>
        <v>5.4008000000000003</v>
      </c>
    </row>
    <row r="259" spans="1:11" ht="15">
      <c r="A259" s="13">
        <v>49369</v>
      </c>
      <c r="B259" s="63">
        <f>4.5089 * CHOOSE(CONTROL!$C$22, $C$13, 100%, $E$13)</f>
        <v>4.5088999999999997</v>
      </c>
      <c r="C259" s="63">
        <f>4.5089 * CHOOSE(CONTROL!$C$22, $C$13, 100%, $E$13)</f>
        <v>4.5088999999999997</v>
      </c>
      <c r="D259" s="63">
        <f>4.5089 * CHOOSE(CONTROL!$C$22, $C$13, 100%, $E$13)</f>
        <v>4.5088999999999997</v>
      </c>
      <c r="E259" s="64">
        <f>5.4664 * CHOOSE(CONTROL!$C$22, $C$13, 100%, $E$13)</f>
        <v>5.4664000000000001</v>
      </c>
      <c r="F259" s="64">
        <f>5.4664 * CHOOSE(CONTROL!$C$22, $C$13, 100%, $E$13)</f>
        <v>5.4664000000000001</v>
      </c>
      <c r="G259" s="64">
        <f>5.4665 * CHOOSE(CONTROL!$C$22, $C$13, 100%, $E$13)</f>
        <v>5.4664999999999999</v>
      </c>
      <c r="H259" s="64">
        <f>9.2495* CHOOSE(CONTROL!$C$22, $C$13, 100%, $E$13)</f>
        <v>9.2494999999999994</v>
      </c>
      <c r="I259" s="64">
        <f>9.2495 * CHOOSE(CONTROL!$C$22, $C$13, 100%, $E$13)</f>
        <v>9.2494999999999994</v>
      </c>
      <c r="J259" s="64">
        <f>5.4664 * CHOOSE(CONTROL!$C$22, $C$13, 100%, $E$13)</f>
        <v>5.4664000000000001</v>
      </c>
      <c r="K259" s="64">
        <f>5.4665 * CHOOSE(CONTROL!$C$22, $C$13, 100%, $E$13)</f>
        <v>5.4664999999999999</v>
      </c>
    </row>
    <row r="260" spans="1:11" ht="15">
      <c r="A260" s="13">
        <v>49400</v>
      </c>
      <c r="B260" s="63">
        <f>4.507 * CHOOSE(CONTROL!$C$22, $C$13, 100%, $E$13)</f>
        <v>4.5069999999999997</v>
      </c>
      <c r="C260" s="63">
        <f>4.507 * CHOOSE(CONTROL!$C$22, $C$13, 100%, $E$13)</f>
        <v>4.5069999999999997</v>
      </c>
      <c r="D260" s="63">
        <f>4.507 * CHOOSE(CONTROL!$C$22, $C$13, 100%, $E$13)</f>
        <v>4.5069999999999997</v>
      </c>
      <c r="E260" s="64">
        <f>5.535 * CHOOSE(CONTROL!$C$22, $C$13, 100%, $E$13)</f>
        <v>5.5350000000000001</v>
      </c>
      <c r="F260" s="64">
        <f>5.535 * CHOOSE(CONTROL!$C$22, $C$13, 100%, $E$13)</f>
        <v>5.5350000000000001</v>
      </c>
      <c r="G260" s="64">
        <f>5.5351 * CHOOSE(CONTROL!$C$22, $C$13, 100%, $E$13)</f>
        <v>5.5350999999999999</v>
      </c>
      <c r="H260" s="64">
        <f>9.2687* CHOOSE(CONTROL!$C$22, $C$13, 100%, $E$13)</f>
        <v>9.2687000000000008</v>
      </c>
      <c r="I260" s="64">
        <f>9.2688 * CHOOSE(CONTROL!$C$22, $C$13, 100%, $E$13)</f>
        <v>9.2688000000000006</v>
      </c>
      <c r="J260" s="64">
        <f>5.535 * CHOOSE(CONTROL!$C$22, $C$13, 100%, $E$13)</f>
        <v>5.5350000000000001</v>
      </c>
      <c r="K260" s="64">
        <f>5.5351 * CHOOSE(CONTROL!$C$22, $C$13, 100%, $E$13)</f>
        <v>5.5350999999999999</v>
      </c>
    </row>
    <row r="261" spans="1:11" ht="15">
      <c r="A261" s="13">
        <v>49430</v>
      </c>
      <c r="B261" s="63">
        <f>4.507 * CHOOSE(CONTROL!$C$22, $C$13, 100%, $E$13)</f>
        <v>4.5069999999999997</v>
      </c>
      <c r="C261" s="63">
        <f>4.507 * CHOOSE(CONTROL!$C$22, $C$13, 100%, $E$13)</f>
        <v>4.5069999999999997</v>
      </c>
      <c r="D261" s="63">
        <f>4.5154 * CHOOSE(CONTROL!$C$22, $C$13, 100%, $E$13)</f>
        <v>4.5153999999999996</v>
      </c>
      <c r="E261" s="64">
        <f>5.5623 * CHOOSE(CONTROL!$C$22, $C$13, 100%, $E$13)</f>
        <v>5.5622999999999996</v>
      </c>
      <c r="F261" s="64">
        <f>5.5623 * CHOOSE(CONTROL!$C$22, $C$13, 100%, $E$13)</f>
        <v>5.5622999999999996</v>
      </c>
      <c r="G261" s="64">
        <f>5.5726 * CHOOSE(CONTROL!$C$22, $C$13, 100%, $E$13)</f>
        <v>5.5726000000000004</v>
      </c>
      <c r="H261" s="64">
        <f>9.288* CHOOSE(CONTROL!$C$22, $C$13, 100%, $E$13)</f>
        <v>9.2880000000000003</v>
      </c>
      <c r="I261" s="64">
        <f>9.2983 * CHOOSE(CONTROL!$C$22, $C$13, 100%, $E$13)</f>
        <v>9.2982999999999993</v>
      </c>
      <c r="J261" s="64">
        <f>5.5623 * CHOOSE(CONTROL!$C$22, $C$13, 100%, $E$13)</f>
        <v>5.5622999999999996</v>
      </c>
      <c r="K261" s="64">
        <f>5.5726 * CHOOSE(CONTROL!$C$22, $C$13, 100%, $E$13)</f>
        <v>5.5726000000000004</v>
      </c>
    </row>
    <row r="262" spans="1:11" ht="15">
      <c r="A262" s="13">
        <v>49461</v>
      </c>
      <c r="B262" s="63">
        <f>4.5131 * CHOOSE(CONTROL!$C$22, $C$13, 100%, $E$13)</f>
        <v>4.5130999999999997</v>
      </c>
      <c r="C262" s="63">
        <f>4.5131 * CHOOSE(CONTROL!$C$22, $C$13, 100%, $E$13)</f>
        <v>4.5130999999999997</v>
      </c>
      <c r="D262" s="63">
        <f>4.5215 * CHOOSE(CONTROL!$C$22, $C$13, 100%, $E$13)</f>
        <v>4.5214999999999996</v>
      </c>
      <c r="E262" s="64">
        <f>5.5393 * CHOOSE(CONTROL!$C$22, $C$13, 100%, $E$13)</f>
        <v>5.5392999999999999</v>
      </c>
      <c r="F262" s="64">
        <f>5.5393 * CHOOSE(CONTROL!$C$22, $C$13, 100%, $E$13)</f>
        <v>5.5392999999999999</v>
      </c>
      <c r="G262" s="64">
        <f>5.5495 * CHOOSE(CONTROL!$C$22, $C$13, 100%, $E$13)</f>
        <v>5.5495000000000001</v>
      </c>
      <c r="H262" s="64">
        <f>9.3074* CHOOSE(CONTROL!$C$22, $C$13, 100%, $E$13)</f>
        <v>9.3073999999999995</v>
      </c>
      <c r="I262" s="64">
        <f>9.3176 * CHOOSE(CONTROL!$C$22, $C$13, 100%, $E$13)</f>
        <v>9.3176000000000005</v>
      </c>
      <c r="J262" s="64">
        <f>5.5393 * CHOOSE(CONTROL!$C$22, $C$13, 100%, $E$13)</f>
        <v>5.5392999999999999</v>
      </c>
      <c r="K262" s="64">
        <f>5.5495 * CHOOSE(CONTROL!$C$22, $C$13, 100%, $E$13)</f>
        <v>5.5495000000000001</v>
      </c>
    </row>
    <row r="263" spans="1:11" ht="15">
      <c r="A263" s="13">
        <v>49491</v>
      </c>
      <c r="B263" s="63">
        <f>4.5909 * CHOOSE(CONTROL!$C$22, $C$13, 100%, $E$13)</f>
        <v>4.5909000000000004</v>
      </c>
      <c r="C263" s="63">
        <f>4.5909 * CHOOSE(CONTROL!$C$22, $C$13, 100%, $E$13)</f>
        <v>4.5909000000000004</v>
      </c>
      <c r="D263" s="63">
        <f>4.5993 * CHOOSE(CONTROL!$C$22, $C$13, 100%, $E$13)</f>
        <v>4.5993000000000004</v>
      </c>
      <c r="E263" s="64">
        <f>5.6624 * CHOOSE(CONTROL!$C$22, $C$13, 100%, $E$13)</f>
        <v>5.6623999999999999</v>
      </c>
      <c r="F263" s="64">
        <f>5.6624 * CHOOSE(CONTROL!$C$22, $C$13, 100%, $E$13)</f>
        <v>5.6623999999999999</v>
      </c>
      <c r="G263" s="64">
        <f>5.6726 * CHOOSE(CONTROL!$C$22, $C$13, 100%, $E$13)</f>
        <v>5.6726000000000001</v>
      </c>
      <c r="H263" s="64">
        <f>9.3268* CHOOSE(CONTROL!$C$22, $C$13, 100%, $E$13)</f>
        <v>9.3268000000000004</v>
      </c>
      <c r="I263" s="64">
        <f>9.337 * CHOOSE(CONTROL!$C$22, $C$13, 100%, $E$13)</f>
        <v>9.3369999999999997</v>
      </c>
      <c r="J263" s="64">
        <f>5.6624 * CHOOSE(CONTROL!$C$22, $C$13, 100%, $E$13)</f>
        <v>5.6623999999999999</v>
      </c>
      <c r="K263" s="64">
        <f>5.6726 * CHOOSE(CONTROL!$C$22, $C$13, 100%, $E$13)</f>
        <v>5.6726000000000001</v>
      </c>
    </row>
    <row r="264" spans="1:11" ht="15">
      <c r="A264" s="13">
        <v>49522</v>
      </c>
      <c r="B264" s="63">
        <f>4.5975 * CHOOSE(CONTROL!$C$22, $C$13, 100%, $E$13)</f>
        <v>4.5975000000000001</v>
      </c>
      <c r="C264" s="63">
        <f>4.5975 * CHOOSE(CONTROL!$C$22, $C$13, 100%, $E$13)</f>
        <v>4.5975000000000001</v>
      </c>
      <c r="D264" s="63">
        <f>4.606 * CHOOSE(CONTROL!$C$22, $C$13, 100%, $E$13)</f>
        <v>4.6059999999999999</v>
      </c>
      <c r="E264" s="64">
        <f>5.5851 * CHOOSE(CONTROL!$C$22, $C$13, 100%, $E$13)</f>
        <v>5.5850999999999997</v>
      </c>
      <c r="F264" s="64">
        <f>5.5851 * CHOOSE(CONTROL!$C$22, $C$13, 100%, $E$13)</f>
        <v>5.5850999999999997</v>
      </c>
      <c r="G264" s="64">
        <f>5.5953 * CHOOSE(CONTROL!$C$22, $C$13, 100%, $E$13)</f>
        <v>5.5952999999999999</v>
      </c>
      <c r="H264" s="64">
        <f>9.3462* CHOOSE(CONTROL!$C$22, $C$13, 100%, $E$13)</f>
        <v>9.3461999999999996</v>
      </c>
      <c r="I264" s="64">
        <f>9.3564 * CHOOSE(CONTROL!$C$22, $C$13, 100%, $E$13)</f>
        <v>9.3564000000000007</v>
      </c>
      <c r="J264" s="64">
        <f>5.5851 * CHOOSE(CONTROL!$C$22, $C$13, 100%, $E$13)</f>
        <v>5.5850999999999997</v>
      </c>
      <c r="K264" s="64">
        <f>5.5953 * CHOOSE(CONTROL!$C$22, $C$13, 100%, $E$13)</f>
        <v>5.5952999999999999</v>
      </c>
    </row>
    <row r="265" spans="1:11" ht="15">
      <c r="A265" s="13">
        <v>49553</v>
      </c>
      <c r="B265" s="63">
        <f>4.5945 * CHOOSE(CONTROL!$C$22, $C$13, 100%, $E$13)</f>
        <v>4.5945</v>
      </c>
      <c r="C265" s="63">
        <f>4.5945 * CHOOSE(CONTROL!$C$22, $C$13, 100%, $E$13)</f>
        <v>4.5945</v>
      </c>
      <c r="D265" s="63">
        <f>4.6029 * CHOOSE(CONTROL!$C$22, $C$13, 100%, $E$13)</f>
        <v>4.6029</v>
      </c>
      <c r="E265" s="64">
        <f>5.5739 * CHOOSE(CONTROL!$C$22, $C$13, 100%, $E$13)</f>
        <v>5.5739000000000001</v>
      </c>
      <c r="F265" s="64">
        <f>5.5739 * CHOOSE(CONTROL!$C$22, $C$13, 100%, $E$13)</f>
        <v>5.5739000000000001</v>
      </c>
      <c r="G265" s="64">
        <f>5.5841 * CHOOSE(CONTROL!$C$22, $C$13, 100%, $E$13)</f>
        <v>5.5841000000000003</v>
      </c>
      <c r="H265" s="64">
        <f>9.3657* CHOOSE(CONTROL!$C$22, $C$13, 100%, $E$13)</f>
        <v>9.3657000000000004</v>
      </c>
      <c r="I265" s="64">
        <f>9.3759 * CHOOSE(CONTROL!$C$22, $C$13, 100%, $E$13)</f>
        <v>9.3758999999999997</v>
      </c>
      <c r="J265" s="64">
        <f>5.5739 * CHOOSE(CONTROL!$C$22, $C$13, 100%, $E$13)</f>
        <v>5.5739000000000001</v>
      </c>
      <c r="K265" s="64">
        <f>5.5841 * CHOOSE(CONTROL!$C$22, $C$13, 100%, $E$13)</f>
        <v>5.5841000000000003</v>
      </c>
    </row>
    <row r="266" spans="1:11" ht="15">
      <c r="A266" s="13">
        <v>49583</v>
      </c>
      <c r="B266" s="63">
        <f>4.5915 * CHOOSE(CONTROL!$C$22, $C$13, 100%, $E$13)</f>
        <v>4.5914999999999999</v>
      </c>
      <c r="C266" s="63">
        <f>4.5915 * CHOOSE(CONTROL!$C$22, $C$13, 100%, $E$13)</f>
        <v>4.5914999999999999</v>
      </c>
      <c r="D266" s="63">
        <f>4.5915 * CHOOSE(CONTROL!$C$22, $C$13, 100%, $E$13)</f>
        <v>4.5914999999999999</v>
      </c>
      <c r="E266" s="64">
        <f>5.5969 * CHOOSE(CONTROL!$C$22, $C$13, 100%, $E$13)</f>
        <v>5.5968999999999998</v>
      </c>
      <c r="F266" s="64">
        <f>5.5969 * CHOOSE(CONTROL!$C$22, $C$13, 100%, $E$13)</f>
        <v>5.5968999999999998</v>
      </c>
      <c r="G266" s="64">
        <f>5.5969 * CHOOSE(CONTROL!$C$22, $C$13, 100%, $E$13)</f>
        <v>5.5968999999999998</v>
      </c>
      <c r="H266" s="64">
        <f>9.3852* CHOOSE(CONTROL!$C$22, $C$13, 100%, $E$13)</f>
        <v>9.3851999999999993</v>
      </c>
      <c r="I266" s="64">
        <f>9.3853 * CHOOSE(CONTROL!$C$22, $C$13, 100%, $E$13)</f>
        <v>9.3853000000000009</v>
      </c>
      <c r="J266" s="64">
        <f>5.5969 * CHOOSE(CONTROL!$C$22, $C$13, 100%, $E$13)</f>
        <v>5.5968999999999998</v>
      </c>
      <c r="K266" s="64">
        <f>5.5969 * CHOOSE(CONTROL!$C$22, $C$13, 100%, $E$13)</f>
        <v>5.5968999999999998</v>
      </c>
    </row>
    <row r="267" spans="1:11" ht="15">
      <c r="A267" s="13">
        <v>49614</v>
      </c>
      <c r="B267" s="63">
        <f>4.5946 * CHOOSE(CONTROL!$C$22, $C$13, 100%, $E$13)</f>
        <v>4.5945999999999998</v>
      </c>
      <c r="C267" s="63">
        <f>4.5946 * CHOOSE(CONTROL!$C$22, $C$13, 100%, $E$13)</f>
        <v>4.5945999999999998</v>
      </c>
      <c r="D267" s="63">
        <f>4.5946 * CHOOSE(CONTROL!$C$22, $C$13, 100%, $E$13)</f>
        <v>4.5945999999999998</v>
      </c>
      <c r="E267" s="64">
        <f>5.6172 * CHOOSE(CONTROL!$C$22, $C$13, 100%, $E$13)</f>
        <v>5.6172000000000004</v>
      </c>
      <c r="F267" s="64">
        <f>5.6172 * CHOOSE(CONTROL!$C$22, $C$13, 100%, $E$13)</f>
        <v>5.6172000000000004</v>
      </c>
      <c r="G267" s="64">
        <f>5.6173 * CHOOSE(CONTROL!$C$22, $C$13, 100%, $E$13)</f>
        <v>5.6173000000000002</v>
      </c>
      <c r="H267" s="64">
        <f>9.4047* CHOOSE(CONTROL!$C$22, $C$13, 100%, $E$13)</f>
        <v>9.4047000000000001</v>
      </c>
      <c r="I267" s="64">
        <f>9.4048 * CHOOSE(CONTROL!$C$22, $C$13, 100%, $E$13)</f>
        <v>9.4047999999999998</v>
      </c>
      <c r="J267" s="64">
        <f>5.6172 * CHOOSE(CONTROL!$C$22, $C$13, 100%, $E$13)</f>
        <v>5.6172000000000004</v>
      </c>
      <c r="K267" s="64">
        <f>5.6173 * CHOOSE(CONTROL!$C$22, $C$13, 100%, $E$13)</f>
        <v>5.6173000000000002</v>
      </c>
    </row>
    <row r="268" spans="1:11" ht="15">
      <c r="A268" s="13">
        <v>49644</v>
      </c>
      <c r="B268" s="63">
        <f>4.5946 * CHOOSE(CONTROL!$C$22, $C$13, 100%, $E$13)</f>
        <v>4.5945999999999998</v>
      </c>
      <c r="C268" s="63">
        <f>4.5946 * CHOOSE(CONTROL!$C$22, $C$13, 100%, $E$13)</f>
        <v>4.5945999999999998</v>
      </c>
      <c r="D268" s="63">
        <f>4.5946 * CHOOSE(CONTROL!$C$22, $C$13, 100%, $E$13)</f>
        <v>4.5945999999999998</v>
      </c>
      <c r="E268" s="64">
        <f>5.5717 * CHOOSE(CONTROL!$C$22, $C$13, 100%, $E$13)</f>
        <v>5.5716999999999999</v>
      </c>
      <c r="F268" s="64">
        <f>5.5717 * CHOOSE(CONTROL!$C$22, $C$13, 100%, $E$13)</f>
        <v>5.5716999999999999</v>
      </c>
      <c r="G268" s="64">
        <f>5.5717 * CHOOSE(CONTROL!$C$22, $C$13, 100%, $E$13)</f>
        <v>5.5716999999999999</v>
      </c>
      <c r="H268" s="64">
        <f>9.4243* CHOOSE(CONTROL!$C$22, $C$13, 100%, $E$13)</f>
        <v>9.4243000000000006</v>
      </c>
      <c r="I268" s="64">
        <f>9.4244 * CHOOSE(CONTROL!$C$22, $C$13, 100%, $E$13)</f>
        <v>9.4244000000000003</v>
      </c>
      <c r="J268" s="64">
        <f>5.5717 * CHOOSE(CONTROL!$C$22, $C$13, 100%, $E$13)</f>
        <v>5.5716999999999999</v>
      </c>
      <c r="K268" s="64">
        <f>5.5717 * CHOOSE(CONTROL!$C$22, $C$13, 100%, $E$13)</f>
        <v>5.5716999999999999</v>
      </c>
    </row>
    <row r="269" spans="1:11" ht="15">
      <c r="A269" s="13">
        <v>49675</v>
      </c>
      <c r="B269" s="63">
        <f>4.6362 * CHOOSE(CONTROL!$C$22, $C$13, 100%, $E$13)</f>
        <v>4.6361999999999997</v>
      </c>
      <c r="C269" s="63">
        <f>4.6362 * CHOOSE(CONTROL!$C$22, $C$13, 100%, $E$13)</f>
        <v>4.6361999999999997</v>
      </c>
      <c r="D269" s="63">
        <f>4.6362 * CHOOSE(CONTROL!$C$22, $C$13, 100%, $E$13)</f>
        <v>4.6361999999999997</v>
      </c>
      <c r="E269" s="64">
        <f>5.6558 * CHOOSE(CONTROL!$C$22, $C$13, 100%, $E$13)</f>
        <v>5.6558000000000002</v>
      </c>
      <c r="F269" s="64">
        <f>5.6558 * CHOOSE(CONTROL!$C$22, $C$13, 100%, $E$13)</f>
        <v>5.6558000000000002</v>
      </c>
      <c r="G269" s="64">
        <f>5.6559 * CHOOSE(CONTROL!$C$22, $C$13, 100%, $E$13)</f>
        <v>5.6558999999999999</v>
      </c>
      <c r="H269" s="64">
        <f>9.444* CHOOSE(CONTROL!$C$22, $C$13, 100%, $E$13)</f>
        <v>9.4440000000000008</v>
      </c>
      <c r="I269" s="64">
        <f>9.4441 * CHOOSE(CONTROL!$C$22, $C$13, 100%, $E$13)</f>
        <v>9.4441000000000006</v>
      </c>
      <c r="J269" s="64">
        <f>5.6558 * CHOOSE(CONTROL!$C$22, $C$13, 100%, $E$13)</f>
        <v>5.6558000000000002</v>
      </c>
      <c r="K269" s="64">
        <f>5.6559 * CHOOSE(CONTROL!$C$22, $C$13, 100%, $E$13)</f>
        <v>5.6558999999999999</v>
      </c>
    </row>
    <row r="270" spans="1:11" ht="15">
      <c r="A270" s="13">
        <v>49706</v>
      </c>
      <c r="B270" s="63">
        <f>4.6332 * CHOOSE(CONTROL!$C$22, $C$13, 100%, $E$13)</f>
        <v>4.6332000000000004</v>
      </c>
      <c r="C270" s="63">
        <f>4.6332 * CHOOSE(CONTROL!$C$22, $C$13, 100%, $E$13)</f>
        <v>4.6332000000000004</v>
      </c>
      <c r="D270" s="63">
        <f>4.6332 * CHOOSE(CONTROL!$C$22, $C$13, 100%, $E$13)</f>
        <v>4.6332000000000004</v>
      </c>
      <c r="E270" s="64">
        <f>5.5653 * CHOOSE(CONTROL!$C$22, $C$13, 100%, $E$13)</f>
        <v>5.5652999999999997</v>
      </c>
      <c r="F270" s="64">
        <f>5.5653 * CHOOSE(CONTROL!$C$22, $C$13, 100%, $E$13)</f>
        <v>5.5652999999999997</v>
      </c>
      <c r="G270" s="64">
        <f>5.5654 * CHOOSE(CONTROL!$C$22, $C$13, 100%, $E$13)</f>
        <v>5.5654000000000003</v>
      </c>
      <c r="H270" s="64">
        <f>9.4636* CHOOSE(CONTROL!$C$22, $C$13, 100%, $E$13)</f>
        <v>9.4635999999999996</v>
      </c>
      <c r="I270" s="64">
        <f>9.4637 * CHOOSE(CONTROL!$C$22, $C$13, 100%, $E$13)</f>
        <v>9.4636999999999993</v>
      </c>
      <c r="J270" s="64">
        <f>5.5653 * CHOOSE(CONTROL!$C$22, $C$13, 100%, $E$13)</f>
        <v>5.5652999999999997</v>
      </c>
      <c r="K270" s="64">
        <f>5.5654 * CHOOSE(CONTROL!$C$22, $C$13, 100%, $E$13)</f>
        <v>5.5654000000000003</v>
      </c>
    </row>
    <row r="271" spans="1:11" ht="15">
      <c r="A271" s="13">
        <v>49735</v>
      </c>
      <c r="B271" s="63">
        <f>4.6301 * CHOOSE(CONTROL!$C$22, $C$13, 100%, $E$13)</f>
        <v>4.6300999999999997</v>
      </c>
      <c r="C271" s="63">
        <f>4.6301 * CHOOSE(CONTROL!$C$22, $C$13, 100%, $E$13)</f>
        <v>4.6300999999999997</v>
      </c>
      <c r="D271" s="63">
        <f>4.6301 * CHOOSE(CONTROL!$C$22, $C$13, 100%, $E$13)</f>
        <v>4.6300999999999997</v>
      </c>
      <c r="E271" s="64">
        <f>5.6329 * CHOOSE(CONTROL!$C$22, $C$13, 100%, $E$13)</f>
        <v>5.6329000000000002</v>
      </c>
      <c r="F271" s="64">
        <f>5.6329 * CHOOSE(CONTROL!$C$22, $C$13, 100%, $E$13)</f>
        <v>5.6329000000000002</v>
      </c>
      <c r="G271" s="64">
        <f>5.633 * CHOOSE(CONTROL!$C$22, $C$13, 100%, $E$13)</f>
        <v>5.633</v>
      </c>
      <c r="H271" s="64">
        <f>9.4834* CHOOSE(CONTROL!$C$22, $C$13, 100%, $E$13)</f>
        <v>9.4833999999999996</v>
      </c>
      <c r="I271" s="64">
        <f>9.4834 * CHOOSE(CONTROL!$C$22, $C$13, 100%, $E$13)</f>
        <v>9.4833999999999996</v>
      </c>
      <c r="J271" s="64">
        <f>5.6329 * CHOOSE(CONTROL!$C$22, $C$13, 100%, $E$13)</f>
        <v>5.6329000000000002</v>
      </c>
      <c r="K271" s="64">
        <f>5.633 * CHOOSE(CONTROL!$C$22, $C$13, 100%, $E$13)</f>
        <v>5.633</v>
      </c>
    </row>
    <row r="272" spans="1:11" ht="15">
      <c r="A272" s="13">
        <v>49766</v>
      </c>
      <c r="B272" s="63">
        <f>4.6283 * CHOOSE(CONTROL!$C$22, $C$13, 100%, $E$13)</f>
        <v>4.6283000000000003</v>
      </c>
      <c r="C272" s="63">
        <f>4.6283 * CHOOSE(CONTROL!$C$22, $C$13, 100%, $E$13)</f>
        <v>4.6283000000000003</v>
      </c>
      <c r="D272" s="63">
        <f>4.6283 * CHOOSE(CONTROL!$C$22, $C$13, 100%, $E$13)</f>
        <v>4.6283000000000003</v>
      </c>
      <c r="E272" s="64">
        <f>5.7035 * CHOOSE(CONTROL!$C$22, $C$13, 100%, $E$13)</f>
        <v>5.7035</v>
      </c>
      <c r="F272" s="64">
        <f>5.7035 * CHOOSE(CONTROL!$C$22, $C$13, 100%, $E$13)</f>
        <v>5.7035</v>
      </c>
      <c r="G272" s="64">
        <f>5.7036 * CHOOSE(CONTROL!$C$22, $C$13, 100%, $E$13)</f>
        <v>5.7035999999999998</v>
      </c>
      <c r="H272" s="64">
        <f>9.5031* CHOOSE(CONTROL!$C$22, $C$13, 100%, $E$13)</f>
        <v>9.5030999999999999</v>
      </c>
      <c r="I272" s="64">
        <f>9.5032 * CHOOSE(CONTROL!$C$22, $C$13, 100%, $E$13)</f>
        <v>9.5031999999999996</v>
      </c>
      <c r="J272" s="64">
        <f>5.7035 * CHOOSE(CONTROL!$C$22, $C$13, 100%, $E$13)</f>
        <v>5.7035</v>
      </c>
      <c r="K272" s="64">
        <f>5.7036 * CHOOSE(CONTROL!$C$22, $C$13, 100%, $E$13)</f>
        <v>5.7035999999999998</v>
      </c>
    </row>
    <row r="273" spans="1:11" ht="15">
      <c r="A273" s="13">
        <v>49796</v>
      </c>
      <c r="B273" s="63">
        <f>4.6283 * CHOOSE(CONTROL!$C$22, $C$13, 100%, $E$13)</f>
        <v>4.6283000000000003</v>
      </c>
      <c r="C273" s="63">
        <f>4.6283 * CHOOSE(CONTROL!$C$22, $C$13, 100%, $E$13)</f>
        <v>4.6283000000000003</v>
      </c>
      <c r="D273" s="63">
        <f>4.6367 * CHOOSE(CONTROL!$C$22, $C$13, 100%, $E$13)</f>
        <v>4.6367000000000003</v>
      </c>
      <c r="E273" s="64">
        <f>5.7315 * CHOOSE(CONTROL!$C$22, $C$13, 100%, $E$13)</f>
        <v>5.7314999999999996</v>
      </c>
      <c r="F273" s="64">
        <f>5.7315 * CHOOSE(CONTROL!$C$22, $C$13, 100%, $E$13)</f>
        <v>5.7314999999999996</v>
      </c>
      <c r="G273" s="64">
        <f>5.7418 * CHOOSE(CONTROL!$C$22, $C$13, 100%, $E$13)</f>
        <v>5.7417999999999996</v>
      </c>
      <c r="H273" s="64">
        <f>9.5229* CHOOSE(CONTROL!$C$22, $C$13, 100%, $E$13)</f>
        <v>9.5228999999999999</v>
      </c>
      <c r="I273" s="64">
        <f>9.5331 * CHOOSE(CONTROL!$C$22, $C$13, 100%, $E$13)</f>
        <v>9.5330999999999992</v>
      </c>
      <c r="J273" s="64">
        <f>5.7315 * CHOOSE(CONTROL!$C$22, $C$13, 100%, $E$13)</f>
        <v>5.7314999999999996</v>
      </c>
      <c r="K273" s="64">
        <f>5.7418 * CHOOSE(CONTROL!$C$22, $C$13, 100%, $E$13)</f>
        <v>5.7417999999999996</v>
      </c>
    </row>
    <row r="274" spans="1:11" ht="15">
      <c r="A274" s="13">
        <v>49827</v>
      </c>
      <c r="B274" s="63">
        <f>4.6344 * CHOOSE(CONTROL!$C$22, $C$13, 100%, $E$13)</f>
        <v>4.6344000000000003</v>
      </c>
      <c r="C274" s="63">
        <f>4.6344 * CHOOSE(CONTROL!$C$22, $C$13, 100%, $E$13)</f>
        <v>4.6344000000000003</v>
      </c>
      <c r="D274" s="63">
        <f>4.6428 * CHOOSE(CONTROL!$C$22, $C$13, 100%, $E$13)</f>
        <v>4.6428000000000003</v>
      </c>
      <c r="E274" s="64">
        <f>5.7077 * CHOOSE(CONTROL!$C$22, $C$13, 100%, $E$13)</f>
        <v>5.7077</v>
      </c>
      <c r="F274" s="64">
        <f>5.7077 * CHOOSE(CONTROL!$C$22, $C$13, 100%, $E$13)</f>
        <v>5.7077</v>
      </c>
      <c r="G274" s="64">
        <f>5.7179 * CHOOSE(CONTROL!$C$22, $C$13, 100%, $E$13)</f>
        <v>5.7179000000000002</v>
      </c>
      <c r="H274" s="64">
        <f>9.5428* CHOOSE(CONTROL!$C$22, $C$13, 100%, $E$13)</f>
        <v>9.5427999999999997</v>
      </c>
      <c r="I274" s="64">
        <f>9.553 * CHOOSE(CONTROL!$C$22, $C$13, 100%, $E$13)</f>
        <v>9.5530000000000008</v>
      </c>
      <c r="J274" s="64">
        <f>5.7077 * CHOOSE(CONTROL!$C$22, $C$13, 100%, $E$13)</f>
        <v>5.7077</v>
      </c>
      <c r="K274" s="64">
        <f>5.7179 * CHOOSE(CONTROL!$C$22, $C$13, 100%, $E$13)</f>
        <v>5.7179000000000002</v>
      </c>
    </row>
    <row r="275" spans="1:11" ht="15">
      <c r="A275" s="13">
        <v>49857</v>
      </c>
      <c r="B275" s="63">
        <f>4.7122 * CHOOSE(CONTROL!$C$22, $C$13, 100%, $E$13)</f>
        <v>4.7122000000000002</v>
      </c>
      <c r="C275" s="63">
        <f>4.7122 * CHOOSE(CONTROL!$C$22, $C$13, 100%, $E$13)</f>
        <v>4.7122000000000002</v>
      </c>
      <c r="D275" s="63">
        <f>4.7206 * CHOOSE(CONTROL!$C$22, $C$13, 100%, $E$13)</f>
        <v>4.7206000000000001</v>
      </c>
      <c r="E275" s="64">
        <f>5.8199 * CHOOSE(CONTROL!$C$22, $C$13, 100%, $E$13)</f>
        <v>5.8198999999999996</v>
      </c>
      <c r="F275" s="64">
        <f>5.8199 * CHOOSE(CONTROL!$C$22, $C$13, 100%, $E$13)</f>
        <v>5.8198999999999996</v>
      </c>
      <c r="G275" s="64">
        <f>5.8301 * CHOOSE(CONTROL!$C$22, $C$13, 100%, $E$13)</f>
        <v>5.8300999999999998</v>
      </c>
      <c r="H275" s="64">
        <f>9.5626* CHOOSE(CONTROL!$C$22, $C$13, 100%, $E$13)</f>
        <v>9.5625999999999998</v>
      </c>
      <c r="I275" s="64">
        <f>9.5729 * CHOOSE(CONTROL!$C$22, $C$13, 100%, $E$13)</f>
        <v>9.5729000000000006</v>
      </c>
      <c r="J275" s="64">
        <f>5.8199 * CHOOSE(CONTROL!$C$22, $C$13, 100%, $E$13)</f>
        <v>5.8198999999999996</v>
      </c>
      <c r="K275" s="64">
        <f>5.8301 * CHOOSE(CONTROL!$C$22, $C$13, 100%, $E$13)</f>
        <v>5.8300999999999998</v>
      </c>
    </row>
    <row r="276" spans="1:11" ht="15">
      <c r="A276" s="13">
        <v>49888</v>
      </c>
      <c r="B276" s="63">
        <f>4.7188 * CHOOSE(CONTROL!$C$22, $C$13, 100%, $E$13)</f>
        <v>4.7187999999999999</v>
      </c>
      <c r="C276" s="63">
        <f>4.7188 * CHOOSE(CONTROL!$C$22, $C$13, 100%, $E$13)</f>
        <v>4.7187999999999999</v>
      </c>
      <c r="D276" s="63">
        <f>4.7273 * CHOOSE(CONTROL!$C$22, $C$13, 100%, $E$13)</f>
        <v>4.7272999999999996</v>
      </c>
      <c r="E276" s="64">
        <f>5.7404 * CHOOSE(CONTROL!$C$22, $C$13, 100%, $E$13)</f>
        <v>5.7404000000000002</v>
      </c>
      <c r="F276" s="64">
        <f>5.7404 * CHOOSE(CONTROL!$C$22, $C$13, 100%, $E$13)</f>
        <v>5.7404000000000002</v>
      </c>
      <c r="G276" s="64">
        <f>5.7506 * CHOOSE(CONTROL!$C$22, $C$13, 100%, $E$13)</f>
        <v>5.7506000000000004</v>
      </c>
      <c r="H276" s="64">
        <f>9.5826* CHOOSE(CONTROL!$C$22, $C$13, 100%, $E$13)</f>
        <v>9.5825999999999993</v>
      </c>
      <c r="I276" s="64">
        <f>9.5928 * CHOOSE(CONTROL!$C$22, $C$13, 100%, $E$13)</f>
        <v>9.5928000000000004</v>
      </c>
      <c r="J276" s="64">
        <f>5.7404 * CHOOSE(CONTROL!$C$22, $C$13, 100%, $E$13)</f>
        <v>5.7404000000000002</v>
      </c>
      <c r="K276" s="64">
        <f>5.7506 * CHOOSE(CONTROL!$C$22, $C$13, 100%, $E$13)</f>
        <v>5.7506000000000004</v>
      </c>
    </row>
    <row r="277" spans="1:11" ht="15">
      <c r="A277" s="13">
        <v>49919</v>
      </c>
      <c r="B277" s="63">
        <f>4.7158 * CHOOSE(CONTROL!$C$22, $C$13, 100%, $E$13)</f>
        <v>4.7157999999999998</v>
      </c>
      <c r="C277" s="63">
        <f>4.7158 * CHOOSE(CONTROL!$C$22, $C$13, 100%, $E$13)</f>
        <v>4.7157999999999998</v>
      </c>
      <c r="D277" s="63">
        <f>4.7242 * CHOOSE(CONTROL!$C$22, $C$13, 100%, $E$13)</f>
        <v>4.7241999999999997</v>
      </c>
      <c r="E277" s="64">
        <f>5.7289 * CHOOSE(CONTROL!$C$22, $C$13, 100%, $E$13)</f>
        <v>5.7289000000000003</v>
      </c>
      <c r="F277" s="64">
        <f>5.7289 * CHOOSE(CONTROL!$C$22, $C$13, 100%, $E$13)</f>
        <v>5.7289000000000003</v>
      </c>
      <c r="G277" s="64">
        <f>5.7391 * CHOOSE(CONTROL!$C$22, $C$13, 100%, $E$13)</f>
        <v>5.7390999999999996</v>
      </c>
      <c r="H277" s="64">
        <f>9.6025* CHOOSE(CONTROL!$C$22, $C$13, 100%, $E$13)</f>
        <v>9.6024999999999991</v>
      </c>
      <c r="I277" s="64">
        <f>9.6127 * CHOOSE(CONTROL!$C$22, $C$13, 100%, $E$13)</f>
        <v>9.6127000000000002</v>
      </c>
      <c r="J277" s="64">
        <f>5.7289 * CHOOSE(CONTROL!$C$22, $C$13, 100%, $E$13)</f>
        <v>5.7289000000000003</v>
      </c>
      <c r="K277" s="64">
        <f>5.7391 * CHOOSE(CONTROL!$C$22, $C$13, 100%, $E$13)</f>
        <v>5.7390999999999996</v>
      </c>
    </row>
    <row r="278" spans="1:11" ht="15">
      <c r="A278" s="13">
        <v>49949</v>
      </c>
      <c r="B278" s="63">
        <f>4.7132 * CHOOSE(CONTROL!$C$22, $C$13, 100%, $E$13)</f>
        <v>4.7131999999999996</v>
      </c>
      <c r="C278" s="63">
        <f>4.7132 * CHOOSE(CONTROL!$C$22, $C$13, 100%, $E$13)</f>
        <v>4.7131999999999996</v>
      </c>
      <c r="D278" s="63">
        <f>4.7132 * CHOOSE(CONTROL!$C$22, $C$13, 100%, $E$13)</f>
        <v>4.7131999999999996</v>
      </c>
      <c r="E278" s="64">
        <f>5.7529 * CHOOSE(CONTROL!$C$22, $C$13, 100%, $E$13)</f>
        <v>5.7529000000000003</v>
      </c>
      <c r="F278" s="64">
        <f>5.7529 * CHOOSE(CONTROL!$C$22, $C$13, 100%, $E$13)</f>
        <v>5.7529000000000003</v>
      </c>
      <c r="G278" s="64">
        <f>5.753 * CHOOSE(CONTROL!$C$22, $C$13, 100%, $E$13)</f>
        <v>5.7530000000000001</v>
      </c>
      <c r="H278" s="64">
        <f>9.6225* CHOOSE(CONTROL!$C$22, $C$13, 100%, $E$13)</f>
        <v>9.6225000000000005</v>
      </c>
      <c r="I278" s="64">
        <f>9.6226 * CHOOSE(CONTROL!$C$22, $C$13, 100%, $E$13)</f>
        <v>9.6226000000000003</v>
      </c>
      <c r="J278" s="64">
        <f>5.7529 * CHOOSE(CONTROL!$C$22, $C$13, 100%, $E$13)</f>
        <v>5.7529000000000003</v>
      </c>
      <c r="K278" s="64">
        <f>5.753 * CHOOSE(CONTROL!$C$22, $C$13, 100%, $E$13)</f>
        <v>5.7530000000000001</v>
      </c>
    </row>
    <row r="279" spans="1:11" ht="15">
      <c r="A279" s="13">
        <v>49980</v>
      </c>
      <c r="B279" s="63">
        <f>4.7163 * CHOOSE(CONTROL!$C$22, $C$13, 100%, $E$13)</f>
        <v>4.7163000000000004</v>
      </c>
      <c r="C279" s="63">
        <f>4.7163 * CHOOSE(CONTROL!$C$22, $C$13, 100%, $E$13)</f>
        <v>4.7163000000000004</v>
      </c>
      <c r="D279" s="63">
        <f>4.7163 * CHOOSE(CONTROL!$C$22, $C$13, 100%, $E$13)</f>
        <v>4.7163000000000004</v>
      </c>
      <c r="E279" s="64">
        <f>5.7737 * CHOOSE(CONTROL!$C$22, $C$13, 100%, $E$13)</f>
        <v>5.7736999999999998</v>
      </c>
      <c r="F279" s="64">
        <f>5.7737 * CHOOSE(CONTROL!$C$22, $C$13, 100%, $E$13)</f>
        <v>5.7736999999999998</v>
      </c>
      <c r="G279" s="64">
        <f>5.7738 * CHOOSE(CONTROL!$C$22, $C$13, 100%, $E$13)</f>
        <v>5.7737999999999996</v>
      </c>
      <c r="H279" s="64">
        <f>9.6426* CHOOSE(CONTROL!$C$22, $C$13, 100%, $E$13)</f>
        <v>9.6425999999999998</v>
      </c>
      <c r="I279" s="64">
        <f>9.6427 * CHOOSE(CONTROL!$C$22, $C$13, 100%, $E$13)</f>
        <v>9.6426999999999996</v>
      </c>
      <c r="J279" s="64">
        <f>5.7737 * CHOOSE(CONTROL!$C$22, $C$13, 100%, $E$13)</f>
        <v>5.7736999999999998</v>
      </c>
      <c r="K279" s="64">
        <f>5.7738 * CHOOSE(CONTROL!$C$22, $C$13, 100%, $E$13)</f>
        <v>5.7737999999999996</v>
      </c>
    </row>
    <row r="280" spans="1:11" ht="15">
      <c r="A280" s="13">
        <v>50010</v>
      </c>
      <c r="B280" s="63">
        <f>4.7163 * CHOOSE(CONTROL!$C$22, $C$13, 100%, $E$13)</f>
        <v>4.7163000000000004</v>
      </c>
      <c r="C280" s="63">
        <f>4.7163 * CHOOSE(CONTROL!$C$22, $C$13, 100%, $E$13)</f>
        <v>4.7163000000000004</v>
      </c>
      <c r="D280" s="63">
        <f>4.7163 * CHOOSE(CONTROL!$C$22, $C$13, 100%, $E$13)</f>
        <v>4.7163000000000004</v>
      </c>
      <c r="E280" s="64">
        <f>5.7269 * CHOOSE(CONTROL!$C$22, $C$13, 100%, $E$13)</f>
        <v>5.7268999999999997</v>
      </c>
      <c r="F280" s="64">
        <f>5.7269 * CHOOSE(CONTROL!$C$22, $C$13, 100%, $E$13)</f>
        <v>5.7268999999999997</v>
      </c>
      <c r="G280" s="64">
        <f>5.727 * CHOOSE(CONTROL!$C$22, $C$13, 100%, $E$13)</f>
        <v>5.7270000000000003</v>
      </c>
      <c r="H280" s="64">
        <f>9.6627* CHOOSE(CONTROL!$C$22, $C$13, 100%, $E$13)</f>
        <v>9.6626999999999992</v>
      </c>
      <c r="I280" s="64">
        <f>9.6627 * CHOOSE(CONTROL!$C$22, $C$13, 100%, $E$13)</f>
        <v>9.6626999999999992</v>
      </c>
      <c r="J280" s="64">
        <f>5.7269 * CHOOSE(CONTROL!$C$22, $C$13, 100%, $E$13)</f>
        <v>5.7268999999999997</v>
      </c>
      <c r="K280" s="64">
        <f>5.727 * CHOOSE(CONTROL!$C$22, $C$13, 100%, $E$13)</f>
        <v>5.7270000000000003</v>
      </c>
    </row>
    <row r="281" spans="1:11" ht="15">
      <c r="A281" s="13">
        <v>50041</v>
      </c>
      <c r="B281" s="63">
        <f>4.7586 * CHOOSE(CONTROL!$C$22, $C$13, 100%, $E$13)</f>
        <v>4.7586000000000004</v>
      </c>
      <c r="C281" s="63">
        <f>4.7586 * CHOOSE(CONTROL!$C$22, $C$13, 100%, $E$13)</f>
        <v>4.7586000000000004</v>
      </c>
      <c r="D281" s="63">
        <f>4.7586 * CHOOSE(CONTROL!$C$22, $C$13, 100%, $E$13)</f>
        <v>4.7586000000000004</v>
      </c>
      <c r="E281" s="64">
        <f>5.8119 * CHOOSE(CONTROL!$C$22, $C$13, 100%, $E$13)</f>
        <v>5.8118999999999996</v>
      </c>
      <c r="F281" s="64">
        <f>5.8119 * CHOOSE(CONTROL!$C$22, $C$13, 100%, $E$13)</f>
        <v>5.8118999999999996</v>
      </c>
      <c r="G281" s="64">
        <f>5.812 * CHOOSE(CONTROL!$C$22, $C$13, 100%, $E$13)</f>
        <v>5.8120000000000003</v>
      </c>
      <c r="H281" s="64">
        <f>9.6828* CHOOSE(CONTROL!$C$22, $C$13, 100%, $E$13)</f>
        <v>9.6828000000000003</v>
      </c>
      <c r="I281" s="64">
        <f>9.6829 * CHOOSE(CONTROL!$C$22, $C$13, 100%, $E$13)</f>
        <v>9.6829000000000001</v>
      </c>
      <c r="J281" s="64">
        <f>5.8119 * CHOOSE(CONTROL!$C$22, $C$13, 100%, $E$13)</f>
        <v>5.8118999999999996</v>
      </c>
      <c r="K281" s="64">
        <f>5.812 * CHOOSE(CONTROL!$C$22, $C$13, 100%, $E$13)</f>
        <v>5.8120000000000003</v>
      </c>
    </row>
    <row r="282" spans="1:11" ht="15">
      <c r="A282" s="13">
        <v>50072</v>
      </c>
      <c r="B282" s="63">
        <f>4.7555 * CHOOSE(CONTROL!$C$22, $C$13, 100%, $E$13)</f>
        <v>4.7554999999999996</v>
      </c>
      <c r="C282" s="63">
        <f>4.7555 * CHOOSE(CONTROL!$C$22, $C$13, 100%, $E$13)</f>
        <v>4.7554999999999996</v>
      </c>
      <c r="D282" s="63">
        <f>4.7555 * CHOOSE(CONTROL!$C$22, $C$13, 100%, $E$13)</f>
        <v>4.7554999999999996</v>
      </c>
      <c r="E282" s="64">
        <f>5.719 * CHOOSE(CONTROL!$C$22, $C$13, 100%, $E$13)</f>
        <v>5.7190000000000003</v>
      </c>
      <c r="F282" s="64">
        <f>5.719 * CHOOSE(CONTROL!$C$22, $C$13, 100%, $E$13)</f>
        <v>5.7190000000000003</v>
      </c>
      <c r="G282" s="64">
        <f>5.7191 * CHOOSE(CONTROL!$C$22, $C$13, 100%, $E$13)</f>
        <v>5.7191000000000001</v>
      </c>
      <c r="H282" s="64">
        <f>9.703* CHOOSE(CONTROL!$C$22, $C$13, 100%, $E$13)</f>
        <v>9.7029999999999994</v>
      </c>
      <c r="I282" s="64">
        <f>9.7031 * CHOOSE(CONTROL!$C$22, $C$13, 100%, $E$13)</f>
        <v>9.7030999999999992</v>
      </c>
      <c r="J282" s="64">
        <f>5.719 * CHOOSE(CONTROL!$C$22, $C$13, 100%, $E$13)</f>
        <v>5.7190000000000003</v>
      </c>
      <c r="K282" s="64">
        <f>5.7191 * CHOOSE(CONTROL!$C$22, $C$13, 100%, $E$13)</f>
        <v>5.7191000000000001</v>
      </c>
    </row>
    <row r="283" spans="1:11" ht="15">
      <c r="A283" s="13">
        <v>50100</v>
      </c>
      <c r="B283" s="63">
        <f>4.7525 * CHOOSE(CONTROL!$C$22, $C$13, 100%, $E$13)</f>
        <v>4.7525000000000004</v>
      </c>
      <c r="C283" s="63">
        <f>4.7525 * CHOOSE(CONTROL!$C$22, $C$13, 100%, $E$13)</f>
        <v>4.7525000000000004</v>
      </c>
      <c r="D283" s="63">
        <f>4.7525 * CHOOSE(CONTROL!$C$22, $C$13, 100%, $E$13)</f>
        <v>4.7525000000000004</v>
      </c>
      <c r="E283" s="64">
        <f>5.7884 * CHOOSE(CONTROL!$C$22, $C$13, 100%, $E$13)</f>
        <v>5.7884000000000002</v>
      </c>
      <c r="F283" s="64">
        <f>5.7884 * CHOOSE(CONTROL!$C$22, $C$13, 100%, $E$13)</f>
        <v>5.7884000000000002</v>
      </c>
      <c r="G283" s="64">
        <f>5.7885 * CHOOSE(CONTROL!$C$22, $C$13, 100%, $E$13)</f>
        <v>5.7885</v>
      </c>
      <c r="H283" s="64">
        <f>9.7232* CHOOSE(CONTROL!$C$22, $C$13, 100%, $E$13)</f>
        <v>9.7232000000000003</v>
      </c>
      <c r="I283" s="64">
        <f>9.7233 * CHOOSE(CONTROL!$C$22, $C$13, 100%, $E$13)</f>
        <v>9.7233000000000001</v>
      </c>
      <c r="J283" s="64">
        <f>5.7884 * CHOOSE(CONTROL!$C$22, $C$13, 100%, $E$13)</f>
        <v>5.7884000000000002</v>
      </c>
      <c r="K283" s="64">
        <f>5.7885 * CHOOSE(CONTROL!$C$22, $C$13, 100%, $E$13)</f>
        <v>5.7885</v>
      </c>
    </row>
    <row r="284" spans="1:11" ht="15">
      <c r="A284" s="13">
        <v>50131</v>
      </c>
      <c r="B284" s="63">
        <f>4.7508 * CHOOSE(CONTROL!$C$22, $C$13, 100%, $E$13)</f>
        <v>4.7507999999999999</v>
      </c>
      <c r="C284" s="63">
        <f>4.7508 * CHOOSE(CONTROL!$C$22, $C$13, 100%, $E$13)</f>
        <v>4.7507999999999999</v>
      </c>
      <c r="D284" s="63">
        <f>4.7508 * CHOOSE(CONTROL!$C$22, $C$13, 100%, $E$13)</f>
        <v>4.7507999999999999</v>
      </c>
      <c r="E284" s="64">
        <f>5.861 * CHOOSE(CONTROL!$C$22, $C$13, 100%, $E$13)</f>
        <v>5.8609999999999998</v>
      </c>
      <c r="F284" s="64">
        <f>5.861 * CHOOSE(CONTROL!$C$22, $C$13, 100%, $E$13)</f>
        <v>5.8609999999999998</v>
      </c>
      <c r="G284" s="64">
        <f>5.8611 * CHOOSE(CONTROL!$C$22, $C$13, 100%, $E$13)</f>
        <v>5.8611000000000004</v>
      </c>
      <c r="H284" s="64">
        <f>9.7434* CHOOSE(CONTROL!$C$22, $C$13, 100%, $E$13)</f>
        <v>9.7433999999999994</v>
      </c>
      <c r="I284" s="64">
        <f>9.7435 * CHOOSE(CONTROL!$C$22, $C$13, 100%, $E$13)</f>
        <v>9.7434999999999992</v>
      </c>
      <c r="J284" s="64">
        <f>5.861 * CHOOSE(CONTROL!$C$22, $C$13, 100%, $E$13)</f>
        <v>5.8609999999999998</v>
      </c>
      <c r="K284" s="64">
        <f>5.8611 * CHOOSE(CONTROL!$C$22, $C$13, 100%, $E$13)</f>
        <v>5.8611000000000004</v>
      </c>
    </row>
    <row r="285" spans="1:11" ht="15">
      <c r="A285" s="13">
        <v>50161</v>
      </c>
      <c r="B285" s="63">
        <f>4.7508 * CHOOSE(CONTROL!$C$22, $C$13, 100%, $E$13)</f>
        <v>4.7507999999999999</v>
      </c>
      <c r="C285" s="63">
        <f>4.7508 * CHOOSE(CONTROL!$C$22, $C$13, 100%, $E$13)</f>
        <v>4.7507999999999999</v>
      </c>
      <c r="D285" s="63">
        <f>4.7592 * CHOOSE(CONTROL!$C$22, $C$13, 100%, $E$13)</f>
        <v>4.7591999999999999</v>
      </c>
      <c r="E285" s="64">
        <f>5.8898 * CHOOSE(CONTROL!$C$22, $C$13, 100%, $E$13)</f>
        <v>5.8898000000000001</v>
      </c>
      <c r="F285" s="64">
        <f>5.8898 * CHOOSE(CONTROL!$C$22, $C$13, 100%, $E$13)</f>
        <v>5.8898000000000001</v>
      </c>
      <c r="G285" s="64">
        <f>5.9001 * CHOOSE(CONTROL!$C$22, $C$13, 100%, $E$13)</f>
        <v>5.9001000000000001</v>
      </c>
      <c r="H285" s="64">
        <f>9.7637* CHOOSE(CONTROL!$C$22, $C$13, 100%, $E$13)</f>
        <v>9.7637</v>
      </c>
      <c r="I285" s="64">
        <f>9.774 * CHOOSE(CONTROL!$C$22, $C$13, 100%, $E$13)</f>
        <v>9.7739999999999991</v>
      </c>
      <c r="J285" s="64">
        <f>5.8898 * CHOOSE(CONTROL!$C$22, $C$13, 100%, $E$13)</f>
        <v>5.8898000000000001</v>
      </c>
      <c r="K285" s="64">
        <f>5.9001 * CHOOSE(CONTROL!$C$22, $C$13, 100%, $E$13)</f>
        <v>5.9001000000000001</v>
      </c>
    </row>
    <row r="286" spans="1:11" ht="15">
      <c r="A286" s="13">
        <v>50192</v>
      </c>
      <c r="B286" s="63">
        <f>4.7569 * CHOOSE(CONTROL!$C$22, $C$13, 100%, $E$13)</f>
        <v>4.7568999999999999</v>
      </c>
      <c r="C286" s="63">
        <f>4.7569 * CHOOSE(CONTROL!$C$22, $C$13, 100%, $E$13)</f>
        <v>4.7568999999999999</v>
      </c>
      <c r="D286" s="63">
        <f>4.7653 * CHOOSE(CONTROL!$C$22, $C$13, 100%, $E$13)</f>
        <v>4.7652999999999999</v>
      </c>
      <c r="E286" s="64">
        <f>5.8653 * CHOOSE(CONTROL!$C$22, $C$13, 100%, $E$13)</f>
        <v>5.8653000000000004</v>
      </c>
      <c r="F286" s="64">
        <f>5.8653 * CHOOSE(CONTROL!$C$22, $C$13, 100%, $E$13)</f>
        <v>5.8653000000000004</v>
      </c>
      <c r="G286" s="64">
        <f>5.8755 * CHOOSE(CONTROL!$C$22, $C$13, 100%, $E$13)</f>
        <v>5.8754999999999997</v>
      </c>
      <c r="H286" s="64">
        <f>9.7841* CHOOSE(CONTROL!$C$22, $C$13, 100%, $E$13)</f>
        <v>9.7841000000000005</v>
      </c>
      <c r="I286" s="64">
        <f>9.7943 * CHOOSE(CONTROL!$C$22, $C$13, 100%, $E$13)</f>
        <v>9.7942999999999998</v>
      </c>
      <c r="J286" s="64">
        <f>5.8653 * CHOOSE(CONTROL!$C$22, $C$13, 100%, $E$13)</f>
        <v>5.8653000000000004</v>
      </c>
      <c r="K286" s="64">
        <f>5.8755 * CHOOSE(CONTROL!$C$22, $C$13, 100%, $E$13)</f>
        <v>5.8754999999999997</v>
      </c>
    </row>
    <row r="287" spans="1:11" ht="15">
      <c r="A287" s="13">
        <v>50222</v>
      </c>
      <c r="B287" s="63">
        <f>4.836 * CHOOSE(CONTROL!$C$22, $C$13, 100%, $E$13)</f>
        <v>4.8360000000000003</v>
      </c>
      <c r="C287" s="63">
        <f>4.836 * CHOOSE(CONTROL!$C$22, $C$13, 100%, $E$13)</f>
        <v>4.8360000000000003</v>
      </c>
      <c r="D287" s="63">
        <f>4.8444 * CHOOSE(CONTROL!$C$22, $C$13, 100%, $E$13)</f>
        <v>4.8444000000000003</v>
      </c>
      <c r="E287" s="64">
        <f>5.9773 * CHOOSE(CONTROL!$C$22, $C$13, 100%, $E$13)</f>
        <v>5.9772999999999996</v>
      </c>
      <c r="F287" s="64">
        <f>5.9773 * CHOOSE(CONTROL!$C$22, $C$13, 100%, $E$13)</f>
        <v>5.9772999999999996</v>
      </c>
      <c r="G287" s="64">
        <f>5.9875 * CHOOSE(CONTROL!$C$22, $C$13, 100%, $E$13)</f>
        <v>5.9874999999999998</v>
      </c>
      <c r="H287" s="64">
        <f>9.8045* CHOOSE(CONTROL!$C$22, $C$13, 100%, $E$13)</f>
        <v>9.8045000000000009</v>
      </c>
      <c r="I287" s="64">
        <f>9.8147 * CHOOSE(CONTROL!$C$22, $C$13, 100%, $E$13)</f>
        <v>9.8147000000000002</v>
      </c>
      <c r="J287" s="64">
        <f>5.9773 * CHOOSE(CONTROL!$C$22, $C$13, 100%, $E$13)</f>
        <v>5.9772999999999996</v>
      </c>
      <c r="K287" s="64">
        <f>5.9875 * CHOOSE(CONTROL!$C$22, $C$13, 100%, $E$13)</f>
        <v>5.9874999999999998</v>
      </c>
    </row>
    <row r="288" spans="1:11" ht="15">
      <c r="A288" s="13">
        <v>50253</v>
      </c>
      <c r="B288" s="63">
        <f>4.8427 * CHOOSE(CONTROL!$C$22, $C$13, 100%, $E$13)</f>
        <v>4.8426999999999998</v>
      </c>
      <c r="C288" s="63">
        <f>4.8427 * CHOOSE(CONTROL!$C$22, $C$13, 100%, $E$13)</f>
        <v>4.8426999999999998</v>
      </c>
      <c r="D288" s="63">
        <f>4.8511 * CHOOSE(CONTROL!$C$22, $C$13, 100%, $E$13)</f>
        <v>4.8510999999999997</v>
      </c>
      <c r="E288" s="64">
        <f>5.8955 * CHOOSE(CONTROL!$C$22, $C$13, 100%, $E$13)</f>
        <v>5.8955000000000002</v>
      </c>
      <c r="F288" s="64">
        <f>5.8955 * CHOOSE(CONTROL!$C$22, $C$13, 100%, $E$13)</f>
        <v>5.8955000000000002</v>
      </c>
      <c r="G288" s="64">
        <f>5.9057 * CHOOSE(CONTROL!$C$22, $C$13, 100%, $E$13)</f>
        <v>5.9057000000000004</v>
      </c>
      <c r="H288" s="64">
        <f>9.8249* CHOOSE(CONTROL!$C$22, $C$13, 100%, $E$13)</f>
        <v>9.8248999999999995</v>
      </c>
      <c r="I288" s="64">
        <f>9.8351 * CHOOSE(CONTROL!$C$22, $C$13, 100%, $E$13)</f>
        <v>9.8351000000000006</v>
      </c>
      <c r="J288" s="64">
        <f>5.8955 * CHOOSE(CONTROL!$C$22, $C$13, 100%, $E$13)</f>
        <v>5.8955000000000002</v>
      </c>
      <c r="K288" s="64">
        <f>5.9057 * CHOOSE(CONTROL!$C$22, $C$13, 100%, $E$13)</f>
        <v>5.9057000000000004</v>
      </c>
    </row>
    <row r="289" spans="1:11" ht="15">
      <c r="A289" s="13">
        <v>50284</v>
      </c>
      <c r="B289" s="63">
        <f>4.8396 * CHOOSE(CONTROL!$C$22, $C$13, 100%, $E$13)</f>
        <v>4.8395999999999999</v>
      </c>
      <c r="C289" s="63">
        <f>4.8396 * CHOOSE(CONTROL!$C$22, $C$13, 100%, $E$13)</f>
        <v>4.8395999999999999</v>
      </c>
      <c r="D289" s="63">
        <f>4.8481 * CHOOSE(CONTROL!$C$22, $C$13, 100%, $E$13)</f>
        <v>4.8480999999999996</v>
      </c>
      <c r="E289" s="64">
        <f>5.8837 * CHOOSE(CONTROL!$C$22, $C$13, 100%, $E$13)</f>
        <v>5.8837000000000002</v>
      </c>
      <c r="F289" s="64">
        <f>5.8837 * CHOOSE(CONTROL!$C$22, $C$13, 100%, $E$13)</f>
        <v>5.8837000000000002</v>
      </c>
      <c r="G289" s="64">
        <f>5.894 * CHOOSE(CONTROL!$C$22, $C$13, 100%, $E$13)</f>
        <v>5.8940000000000001</v>
      </c>
      <c r="H289" s="64">
        <f>9.8454* CHOOSE(CONTROL!$C$22, $C$13, 100%, $E$13)</f>
        <v>9.8453999999999997</v>
      </c>
      <c r="I289" s="64">
        <f>9.8556 * CHOOSE(CONTROL!$C$22, $C$13, 100%, $E$13)</f>
        <v>9.8556000000000008</v>
      </c>
      <c r="J289" s="64">
        <f>5.8837 * CHOOSE(CONTROL!$C$22, $C$13, 100%, $E$13)</f>
        <v>5.8837000000000002</v>
      </c>
      <c r="K289" s="64">
        <f>5.894 * CHOOSE(CONTROL!$C$22, $C$13, 100%, $E$13)</f>
        <v>5.8940000000000001</v>
      </c>
    </row>
    <row r="290" spans="1:11" ht="15">
      <c r="A290" s="13">
        <v>50314</v>
      </c>
      <c r="B290" s="63">
        <f>4.8375 * CHOOSE(CONTROL!$C$22, $C$13, 100%, $E$13)</f>
        <v>4.8375000000000004</v>
      </c>
      <c r="C290" s="63">
        <f>4.8375 * CHOOSE(CONTROL!$C$22, $C$13, 100%, $E$13)</f>
        <v>4.8375000000000004</v>
      </c>
      <c r="D290" s="63">
        <f>4.8375 * CHOOSE(CONTROL!$C$22, $C$13, 100%, $E$13)</f>
        <v>4.8375000000000004</v>
      </c>
      <c r="E290" s="64">
        <f>5.9087 * CHOOSE(CONTROL!$C$22, $C$13, 100%, $E$13)</f>
        <v>5.9086999999999996</v>
      </c>
      <c r="F290" s="64">
        <f>5.9087 * CHOOSE(CONTROL!$C$22, $C$13, 100%, $E$13)</f>
        <v>5.9086999999999996</v>
      </c>
      <c r="G290" s="64">
        <f>5.9088 * CHOOSE(CONTROL!$C$22, $C$13, 100%, $E$13)</f>
        <v>5.9088000000000003</v>
      </c>
      <c r="H290" s="64">
        <f>9.8659* CHOOSE(CONTROL!$C$22, $C$13, 100%, $E$13)</f>
        <v>9.8658999999999999</v>
      </c>
      <c r="I290" s="64">
        <f>9.866 * CHOOSE(CONTROL!$C$22, $C$13, 100%, $E$13)</f>
        <v>9.8659999999999997</v>
      </c>
      <c r="J290" s="64">
        <f>5.9087 * CHOOSE(CONTROL!$C$22, $C$13, 100%, $E$13)</f>
        <v>5.9086999999999996</v>
      </c>
      <c r="K290" s="64">
        <f>5.9088 * CHOOSE(CONTROL!$C$22, $C$13, 100%, $E$13)</f>
        <v>5.9088000000000003</v>
      </c>
    </row>
    <row r="291" spans="1:11" ht="15">
      <c r="A291" s="13">
        <v>50345</v>
      </c>
      <c r="B291" s="63">
        <f>4.8405 * CHOOSE(CONTROL!$C$22, $C$13, 100%, $E$13)</f>
        <v>4.8404999999999996</v>
      </c>
      <c r="C291" s="63">
        <f>4.8405 * CHOOSE(CONTROL!$C$22, $C$13, 100%, $E$13)</f>
        <v>4.8404999999999996</v>
      </c>
      <c r="D291" s="63">
        <f>4.8405 * CHOOSE(CONTROL!$C$22, $C$13, 100%, $E$13)</f>
        <v>4.8404999999999996</v>
      </c>
      <c r="E291" s="64">
        <f>5.9301 * CHOOSE(CONTROL!$C$22, $C$13, 100%, $E$13)</f>
        <v>5.9301000000000004</v>
      </c>
      <c r="F291" s="64">
        <f>5.9301 * CHOOSE(CONTROL!$C$22, $C$13, 100%, $E$13)</f>
        <v>5.9301000000000004</v>
      </c>
      <c r="G291" s="64">
        <f>5.9302 * CHOOSE(CONTROL!$C$22, $C$13, 100%, $E$13)</f>
        <v>5.9302000000000001</v>
      </c>
      <c r="H291" s="64">
        <f>9.8864* CHOOSE(CONTROL!$C$22, $C$13, 100%, $E$13)</f>
        <v>9.8864000000000001</v>
      </c>
      <c r="I291" s="64">
        <f>9.8865 * CHOOSE(CONTROL!$C$22, $C$13, 100%, $E$13)</f>
        <v>9.8864999999999998</v>
      </c>
      <c r="J291" s="64">
        <f>5.9301 * CHOOSE(CONTROL!$C$22, $C$13, 100%, $E$13)</f>
        <v>5.9301000000000004</v>
      </c>
      <c r="K291" s="64">
        <f>5.9302 * CHOOSE(CONTROL!$C$22, $C$13, 100%, $E$13)</f>
        <v>5.9302000000000001</v>
      </c>
    </row>
    <row r="292" spans="1:11" ht="15">
      <c r="A292" s="13">
        <v>50375</v>
      </c>
      <c r="B292" s="63">
        <f>4.8405 * CHOOSE(CONTROL!$C$22, $C$13, 100%, $E$13)</f>
        <v>4.8404999999999996</v>
      </c>
      <c r="C292" s="63">
        <f>4.8405 * CHOOSE(CONTROL!$C$22, $C$13, 100%, $E$13)</f>
        <v>4.8404999999999996</v>
      </c>
      <c r="D292" s="63">
        <f>4.8405 * CHOOSE(CONTROL!$C$22, $C$13, 100%, $E$13)</f>
        <v>4.8404999999999996</v>
      </c>
      <c r="E292" s="64">
        <f>5.8821 * CHOOSE(CONTROL!$C$22, $C$13, 100%, $E$13)</f>
        <v>5.8821000000000003</v>
      </c>
      <c r="F292" s="64">
        <f>5.8821 * CHOOSE(CONTROL!$C$22, $C$13, 100%, $E$13)</f>
        <v>5.8821000000000003</v>
      </c>
      <c r="G292" s="64">
        <f>5.8821 * CHOOSE(CONTROL!$C$22, $C$13, 100%, $E$13)</f>
        <v>5.8821000000000003</v>
      </c>
      <c r="H292" s="64">
        <f>9.907* CHOOSE(CONTROL!$C$22, $C$13, 100%, $E$13)</f>
        <v>9.907</v>
      </c>
      <c r="I292" s="64">
        <f>9.9071 * CHOOSE(CONTROL!$C$22, $C$13, 100%, $E$13)</f>
        <v>9.9070999999999998</v>
      </c>
      <c r="J292" s="64">
        <f>5.8821 * CHOOSE(CONTROL!$C$22, $C$13, 100%, $E$13)</f>
        <v>5.8821000000000003</v>
      </c>
      <c r="K292" s="64">
        <f>5.8821 * CHOOSE(CONTROL!$C$22, $C$13, 100%, $E$13)</f>
        <v>5.8821000000000003</v>
      </c>
    </row>
    <row r="293" spans="1:11" ht="15">
      <c r="A293" s="13">
        <v>50406</v>
      </c>
      <c r="B293" s="63">
        <f>4.8843 * CHOOSE(CONTROL!$C$22, $C$13, 100%, $E$13)</f>
        <v>4.8842999999999996</v>
      </c>
      <c r="C293" s="63">
        <f>4.8843 * CHOOSE(CONTROL!$C$22, $C$13, 100%, $E$13)</f>
        <v>4.8842999999999996</v>
      </c>
      <c r="D293" s="63">
        <f>4.8843 * CHOOSE(CONTROL!$C$22, $C$13, 100%, $E$13)</f>
        <v>4.8842999999999996</v>
      </c>
      <c r="E293" s="64">
        <f>5.9668 * CHOOSE(CONTROL!$C$22, $C$13, 100%, $E$13)</f>
        <v>5.9668000000000001</v>
      </c>
      <c r="F293" s="64">
        <f>5.9668 * CHOOSE(CONTROL!$C$22, $C$13, 100%, $E$13)</f>
        <v>5.9668000000000001</v>
      </c>
      <c r="G293" s="64">
        <f>5.9669 * CHOOSE(CONTROL!$C$22, $C$13, 100%, $E$13)</f>
        <v>5.9668999999999999</v>
      </c>
      <c r="H293" s="64">
        <f>9.9277* CHOOSE(CONTROL!$C$22, $C$13, 100%, $E$13)</f>
        <v>9.9276999999999997</v>
      </c>
      <c r="I293" s="64">
        <f>9.9277 * CHOOSE(CONTROL!$C$22, $C$13, 100%, $E$13)</f>
        <v>9.9276999999999997</v>
      </c>
      <c r="J293" s="64">
        <f>5.9668 * CHOOSE(CONTROL!$C$22, $C$13, 100%, $E$13)</f>
        <v>5.9668000000000001</v>
      </c>
      <c r="K293" s="64">
        <f>5.9669 * CHOOSE(CONTROL!$C$22, $C$13, 100%, $E$13)</f>
        <v>5.9668999999999999</v>
      </c>
    </row>
    <row r="294" spans="1:11" ht="15">
      <c r="A294" s="13">
        <v>50437</v>
      </c>
      <c r="B294" s="63">
        <f>4.8813 * CHOOSE(CONTROL!$C$22, $C$13, 100%, $E$13)</f>
        <v>4.8813000000000004</v>
      </c>
      <c r="C294" s="63">
        <f>4.8813 * CHOOSE(CONTROL!$C$22, $C$13, 100%, $E$13)</f>
        <v>4.8813000000000004</v>
      </c>
      <c r="D294" s="63">
        <f>4.8813 * CHOOSE(CONTROL!$C$22, $C$13, 100%, $E$13)</f>
        <v>4.8813000000000004</v>
      </c>
      <c r="E294" s="64">
        <f>5.8715 * CHOOSE(CONTROL!$C$22, $C$13, 100%, $E$13)</f>
        <v>5.8715000000000002</v>
      </c>
      <c r="F294" s="64">
        <f>5.8715 * CHOOSE(CONTROL!$C$22, $C$13, 100%, $E$13)</f>
        <v>5.8715000000000002</v>
      </c>
      <c r="G294" s="64">
        <f>5.8716 * CHOOSE(CONTROL!$C$22, $C$13, 100%, $E$13)</f>
        <v>5.8715999999999999</v>
      </c>
      <c r="H294" s="64">
        <f>9.9483* CHOOSE(CONTROL!$C$22, $C$13, 100%, $E$13)</f>
        <v>9.9482999999999997</v>
      </c>
      <c r="I294" s="64">
        <f>9.9484 * CHOOSE(CONTROL!$C$22, $C$13, 100%, $E$13)</f>
        <v>9.9483999999999995</v>
      </c>
      <c r="J294" s="64">
        <f>5.8715 * CHOOSE(CONTROL!$C$22, $C$13, 100%, $E$13)</f>
        <v>5.8715000000000002</v>
      </c>
      <c r="K294" s="64">
        <f>5.8716 * CHOOSE(CONTROL!$C$22, $C$13, 100%, $E$13)</f>
        <v>5.8715999999999999</v>
      </c>
    </row>
    <row r="295" spans="1:11" ht="15">
      <c r="A295" s="13">
        <v>50465</v>
      </c>
      <c r="B295" s="63">
        <f>4.8783 * CHOOSE(CONTROL!$C$22, $C$13, 100%, $E$13)</f>
        <v>4.8783000000000003</v>
      </c>
      <c r="C295" s="63">
        <f>4.8783 * CHOOSE(CONTROL!$C$22, $C$13, 100%, $E$13)</f>
        <v>4.8783000000000003</v>
      </c>
      <c r="D295" s="63">
        <f>4.8783 * CHOOSE(CONTROL!$C$22, $C$13, 100%, $E$13)</f>
        <v>4.8783000000000003</v>
      </c>
      <c r="E295" s="64">
        <f>5.9428 * CHOOSE(CONTROL!$C$22, $C$13, 100%, $E$13)</f>
        <v>5.9428000000000001</v>
      </c>
      <c r="F295" s="64">
        <f>5.9428 * CHOOSE(CONTROL!$C$22, $C$13, 100%, $E$13)</f>
        <v>5.9428000000000001</v>
      </c>
      <c r="G295" s="64">
        <f>5.9429 * CHOOSE(CONTROL!$C$22, $C$13, 100%, $E$13)</f>
        <v>5.9428999999999998</v>
      </c>
      <c r="H295" s="64">
        <f>9.9691* CHOOSE(CONTROL!$C$22, $C$13, 100%, $E$13)</f>
        <v>9.9690999999999992</v>
      </c>
      <c r="I295" s="64">
        <f>9.9691 * CHOOSE(CONTROL!$C$22, $C$13, 100%, $E$13)</f>
        <v>9.9690999999999992</v>
      </c>
      <c r="J295" s="64">
        <f>5.9428 * CHOOSE(CONTROL!$C$22, $C$13, 100%, $E$13)</f>
        <v>5.9428000000000001</v>
      </c>
      <c r="K295" s="64">
        <f>5.9429 * CHOOSE(CONTROL!$C$22, $C$13, 100%, $E$13)</f>
        <v>5.9428999999999998</v>
      </c>
    </row>
    <row r="296" spans="1:11" ht="15">
      <c r="A296" s="13">
        <v>50496</v>
      </c>
      <c r="B296" s="63">
        <f>4.8767 * CHOOSE(CONTROL!$C$22, $C$13, 100%, $E$13)</f>
        <v>4.8766999999999996</v>
      </c>
      <c r="C296" s="63">
        <f>4.8767 * CHOOSE(CONTROL!$C$22, $C$13, 100%, $E$13)</f>
        <v>4.8766999999999996</v>
      </c>
      <c r="D296" s="63">
        <f>4.8767 * CHOOSE(CONTROL!$C$22, $C$13, 100%, $E$13)</f>
        <v>4.8766999999999996</v>
      </c>
      <c r="E296" s="64">
        <f>6.0175 * CHOOSE(CONTROL!$C$22, $C$13, 100%, $E$13)</f>
        <v>6.0175000000000001</v>
      </c>
      <c r="F296" s="64">
        <f>6.0175 * CHOOSE(CONTROL!$C$22, $C$13, 100%, $E$13)</f>
        <v>6.0175000000000001</v>
      </c>
      <c r="G296" s="64">
        <f>6.0175 * CHOOSE(CONTROL!$C$22, $C$13, 100%, $E$13)</f>
        <v>6.0175000000000001</v>
      </c>
      <c r="H296" s="64">
        <f>9.9898* CHOOSE(CONTROL!$C$22, $C$13, 100%, $E$13)</f>
        <v>9.9898000000000007</v>
      </c>
      <c r="I296" s="64">
        <f>9.9899 * CHOOSE(CONTROL!$C$22, $C$13, 100%, $E$13)</f>
        <v>9.9899000000000004</v>
      </c>
      <c r="J296" s="64">
        <f>6.0175 * CHOOSE(CONTROL!$C$22, $C$13, 100%, $E$13)</f>
        <v>6.0175000000000001</v>
      </c>
      <c r="K296" s="64">
        <f>6.0175 * CHOOSE(CONTROL!$C$22, $C$13, 100%, $E$13)</f>
        <v>6.0175000000000001</v>
      </c>
    </row>
    <row r="297" spans="1:11" ht="15">
      <c r="A297" s="13">
        <v>50526</v>
      </c>
      <c r="B297" s="63">
        <f>4.8767 * CHOOSE(CONTROL!$C$22, $C$13, 100%, $E$13)</f>
        <v>4.8766999999999996</v>
      </c>
      <c r="C297" s="63">
        <f>4.8767 * CHOOSE(CONTROL!$C$22, $C$13, 100%, $E$13)</f>
        <v>4.8766999999999996</v>
      </c>
      <c r="D297" s="63">
        <f>4.8851 * CHOOSE(CONTROL!$C$22, $C$13, 100%, $E$13)</f>
        <v>4.8851000000000004</v>
      </c>
      <c r="E297" s="64">
        <f>6.047 * CHOOSE(CONTROL!$C$22, $C$13, 100%, $E$13)</f>
        <v>6.0469999999999997</v>
      </c>
      <c r="F297" s="64">
        <f>6.047 * CHOOSE(CONTROL!$C$22, $C$13, 100%, $E$13)</f>
        <v>6.0469999999999997</v>
      </c>
      <c r="G297" s="64">
        <f>6.0572 * CHOOSE(CONTROL!$C$22, $C$13, 100%, $E$13)</f>
        <v>6.0571999999999999</v>
      </c>
      <c r="H297" s="64">
        <f>10.0107* CHOOSE(CONTROL!$C$22, $C$13, 100%, $E$13)</f>
        <v>10.0107</v>
      </c>
      <c r="I297" s="64">
        <f>10.0209 * CHOOSE(CONTROL!$C$22, $C$13, 100%, $E$13)</f>
        <v>10.020899999999999</v>
      </c>
      <c r="J297" s="64">
        <f>6.047 * CHOOSE(CONTROL!$C$22, $C$13, 100%, $E$13)</f>
        <v>6.0469999999999997</v>
      </c>
      <c r="K297" s="64">
        <f>6.0572 * CHOOSE(CONTROL!$C$22, $C$13, 100%, $E$13)</f>
        <v>6.0571999999999999</v>
      </c>
    </row>
    <row r="298" spans="1:11" ht="15">
      <c r="A298" s="13">
        <v>50557</v>
      </c>
      <c r="B298" s="63">
        <f>4.8827 * CHOOSE(CONTROL!$C$22, $C$13, 100%, $E$13)</f>
        <v>4.8826999999999998</v>
      </c>
      <c r="C298" s="63">
        <f>4.8827 * CHOOSE(CONTROL!$C$22, $C$13, 100%, $E$13)</f>
        <v>4.8826999999999998</v>
      </c>
      <c r="D298" s="63">
        <f>4.8912 * CHOOSE(CONTROL!$C$22, $C$13, 100%, $E$13)</f>
        <v>4.8912000000000004</v>
      </c>
      <c r="E298" s="64">
        <f>6.0217 * CHOOSE(CONTROL!$C$22, $C$13, 100%, $E$13)</f>
        <v>6.0217000000000001</v>
      </c>
      <c r="F298" s="64">
        <f>6.0217 * CHOOSE(CONTROL!$C$22, $C$13, 100%, $E$13)</f>
        <v>6.0217000000000001</v>
      </c>
      <c r="G298" s="64">
        <f>6.0319 * CHOOSE(CONTROL!$C$22, $C$13, 100%, $E$13)</f>
        <v>6.0319000000000003</v>
      </c>
      <c r="H298" s="64">
        <f>10.0315* CHOOSE(CONTROL!$C$22, $C$13, 100%, $E$13)</f>
        <v>10.031499999999999</v>
      </c>
      <c r="I298" s="64">
        <f>10.0417 * CHOOSE(CONTROL!$C$22, $C$13, 100%, $E$13)</f>
        <v>10.041700000000001</v>
      </c>
      <c r="J298" s="64">
        <f>6.0217 * CHOOSE(CONTROL!$C$22, $C$13, 100%, $E$13)</f>
        <v>6.0217000000000001</v>
      </c>
      <c r="K298" s="64">
        <f>6.0319 * CHOOSE(CONTROL!$C$22, $C$13, 100%, $E$13)</f>
        <v>6.0319000000000003</v>
      </c>
    </row>
    <row r="299" spans="1:11" ht="15">
      <c r="A299" s="13">
        <v>50587</v>
      </c>
      <c r="B299" s="63">
        <f>4.9646 * CHOOSE(CONTROL!$C$22, $C$13, 100%, $E$13)</f>
        <v>4.9645999999999999</v>
      </c>
      <c r="C299" s="63">
        <f>4.9646 * CHOOSE(CONTROL!$C$22, $C$13, 100%, $E$13)</f>
        <v>4.9645999999999999</v>
      </c>
      <c r="D299" s="63">
        <f>4.9731 * CHOOSE(CONTROL!$C$22, $C$13, 100%, $E$13)</f>
        <v>4.9730999999999996</v>
      </c>
      <c r="E299" s="64">
        <f>6.1322 * CHOOSE(CONTROL!$C$22, $C$13, 100%, $E$13)</f>
        <v>6.1322000000000001</v>
      </c>
      <c r="F299" s="64">
        <f>6.1322 * CHOOSE(CONTROL!$C$22, $C$13, 100%, $E$13)</f>
        <v>6.1322000000000001</v>
      </c>
      <c r="G299" s="64">
        <f>6.1424 * CHOOSE(CONTROL!$C$22, $C$13, 100%, $E$13)</f>
        <v>6.1424000000000003</v>
      </c>
      <c r="H299" s="64">
        <f>10.0524* CHOOSE(CONTROL!$C$22, $C$13, 100%, $E$13)</f>
        <v>10.0524</v>
      </c>
      <c r="I299" s="64">
        <f>10.0626 * CHOOSE(CONTROL!$C$22, $C$13, 100%, $E$13)</f>
        <v>10.0626</v>
      </c>
      <c r="J299" s="64">
        <f>6.1322 * CHOOSE(CONTROL!$C$22, $C$13, 100%, $E$13)</f>
        <v>6.1322000000000001</v>
      </c>
      <c r="K299" s="64">
        <f>6.1424 * CHOOSE(CONTROL!$C$22, $C$13, 100%, $E$13)</f>
        <v>6.1424000000000003</v>
      </c>
    </row>
    <row r="300" spans="1:11" ht="15">
      <c r="A300" s="13">
        <v>50618</v>
      </c>
      <c r="B300" s="63">
        <f>4.9713 * CHOOSE(CONTROL!$C$22, $C$13, 100%, $E$13)</f>
        <v>4.9713000000000003</v>
      </c>
      <c r="C300" s="63">
        <f>4.9713 * CHOOSE(CONTROL!$C$22, $C$13, 100%, $E$13)</f>
        <v>4.9713000000000003</v>
      </c>
      <c r="D300" s="63">
        <f>4.9798 * CHOOSE(CONTROL!$C$22, $C$13, 100%, $E$13)</f>
        <v>4.9798</v>
      </c>
      <c r="E300" s="64">
        <f>6.0481 * CHOOSE(CONTROL!$C$22, $C$13, 100%, $E$13)</f>
        <v>6.0480999999999998</v>
      </c>
      <c r="F300" s="64">
        <f>6.0481 * CHOOSE(CONTROL!$C$22, $C$13, 100%, $E$13)</f>
        <v>6.0480999999999998</v>
      </c>
      <c r="G300" s="64">
        <f>6.0583 * CHOOSE(CONTROL!$C$22, $C$13, 100%, $E$13)</f>
        <v>6.0583</v>
      </c>
      <c r="H300" s="64">
        <f>10.0733* CHOOSE(CONTROL!$C$22, $C$13, 100%, $E$13)</f>
        <v>10.0733</v>
      </c>
      <c r="I300" s="64">
        <f>10.0836 * CHOOSE(CONTROL!$C$22, $C$13, 100%, $E$13)</f>
        <v>10.083600000000001</v>
      </c>
      <c r="J300" s="64">
        <f>6.0481 * CHOOSE(CONTROL!$C$22, $C$13, 100%, $E$13)</f>
        <v>6.0480999999999998</v>
      </c>
      <c r="K300" s="64">
        <f>6.0583 * CHOOSE(CONTROL!$C$22, $C$13, 100%, $E$13)</f>
        <v>6.0583</v>
      </c>
    </row>
    <row r="301" spans="1:11" ht="15">
      <c r="A301" s="13">
        <v>50649</v>
      </c>
      <c r="B301" s="63">
        <f>4.9683 * CHOOSE(CONTROL!$C$22, $C$13, 100%, $E$13)</f>
        <v>4.9683000000000002</v>
      </c>
      <c r="C301" s="63">
        <f>4.9683 * CHOOSE(CONTROL!$C$22, $C$13, 100%, $E$13)</f>
        <v>4.9683000000000002</v>
      </c>
      <c r="D301" s="63">
        <f>4.9767 * CHOOSE(CONTROL!$C$22, $C$13, 100%, $E$13)</f>
        <v>4.9767000000000001</v>
      </c>
      <c r="E301" s="64">
        <f>6.0361 * CHOOSE(CONTROL!$C$22, $C$13, 100%, $E$13)</f>
        <v>6.0361000000000002</v>
      </c>
      <c r="F301" s="64">
        <f>6.0361 * CHOOSE(CONTROL!$C$22, $C$13, 100%, $E$13)</f>
        <v>6.0361000000000002</v>
      </c>
      <c r="G301" s="64">
        <f>6.0464 * CHOOSE(CONTROL!$C$22, $C$13, 100%, $E$13)</f>
        <v>6.0464000000000002</v>
      </c>
      <c r="H301" s="64">
        <f>10.0943* CHOOSE(CONTROL!$C$22, $C$13, 100%, $E$13)</f>
        <v>10.0943</v>
      </c>
      <c r="I301" s="64">
        <f>10.1046 * CHOOSE(CONTROL!$C$22, $C$13, 100%, $E$13)</f>
        <v>10.1046</v>
      </c>
      <c r="J301" s="64">
        <f>6.0361 * CHOOSE(CONTROL!$C$22, $C$13, 100%, $E$13)</f>
        <v>6.0361000000000002</v>
      </c>
      <c r="K301" s="64">
        <f>6.0464 * CHOOSE(CONTROL!$C$22, $C$13, 100%, $E$13)</f>
        <v>6.0464000000000002</v>
      </c>
    </row>
    <row r="302" spans="1:11" ht="15">
      <c r="A302" s="13">
        <v>50679</v>
      </c>
      <c r="B302" s="63">
        <f>4.9666 * CHOOSE(CONTROL!$C$22, $C$13, 100%, $E$13)</f>
        <v>4.9665999999999997</v>
      </c>
      <c r="C302" s="63">
        <f>4.9666 * CHOOSE(CONTROL!$C$22, $C$13, 100%, $E$13)</f>
        <v>4.9665999999999997</v>
      </c>
      <c r="D302" s="63">
        <f>4.9666 * CHOOSE(CONTROL!$C$22, $C$13, 100%, $E$13)</f>
        <v>4.9665999999999997</v>
      </c>
      <c r="E302" s="64">
        <f>6.0622 * CHOOSE(CONTROL!$C$22, $C$13, 100%, $E$13)</f>
        <v>6.0621999999999998</v>
      </c>
      <c r="F302" s="64">
        <f>6.0622 * CHOOSE(CONTROL!$C$22, $C$13, 100%, $E$13)</f>
        <v>6.0621999999999998</v>
      </c>
      <c r="G302" s="64">
        <f>6.0622 * CHOOSE(CONTROL!$C$22, $C$13, 100%, $E$13)</f>
        <v>6.0621999999999998</v>
      </c>
      <c r="H302" s="64">
        <f>10.1154* CHOOSE(CONTROL!$C$22, $C$13, 100%, $E$13)</f>
        <v>10.115399999999999</v>
      </c>
      <c r="I302" s="64">
        <f>10.1154 * CHOOSE(CONTROL!$C$22, $C$13, 100%, $E$13)</f>
        <v>10.115399999999999</v>
      </c>
      <c r="J302" s="64">
        <f>6.0622 * CHOOSE(CONTROL!$C$22, $C$13, 100%, $E$13)</f>
        <v>6.0621999999999998</v>
      </c>
      <c r="K302" s="64">
        <f>6.0622 * CHOOSE(CONTROL!$C$22, $C$13, 100%, $E$13)</f>
        <v>6.0621999999999998</v>
      </c>
    </row>
    <row r="303" spans="1:11" ht="15">
      <c r="A303" s="13">
        <v>50710</v>
      </c>
      <c r="B303" s="63">
        <f>4.9696 * CHOOSE(CONTROL!$C$22, $C$13, 100%, $E$13)</f>
        <v>4.9695999999999998</v>
      </c>
      <c r="C303" s="63">
        <f>4.9696 * CHOOSE(CONTROL!$C$22, $C$13, 100%, $E$13)</f>
        <v>4.9695999999999998</v>
      </c>
      <c r="D303" s="63">
        <f>4.9696 * CHOOSE(CONTROL!$C$22, $C$13, 100%, $E$13)</f>
        <v>4.9695999999999998</v>
      </c>
      <c r="E303" s="64">
        <f>6.084 * CHOOSE(CONTROL!$C$22, $C$13, 100%, $E$13)</f>
        <v>6.0839999999999996</v>
      </c>
      <c r="F303" s="64">
        <f>6.084 * CHOOSE(CONTROL!$C$22, $C$13, 100%, $E$13)</f>
        <v>6.0839999999999996</v>
      </c>
      <c r="G303" s="64">
        <f>6.0841 * CHOOSE(CONTROL!$C$22, $C$13, 100%, $E$13)</f>
        <v>6.0841000000000003</v>
      </c>
      <c r="H303" s="64">
        <f>10.1364* CHOOSE(CONTROL!$C$22, $C$13, 100%, $E$13)</f>
        <v>10.1364</v>
      </c>
      <c r="I303" s="64">
        <f>10.1365 * CHOOSE(CONTROL!$C$22, $C$13, 100%, $E$13)</f>
        <v>10.1365</v>
      </c>
      <c r="J303" s="64">
        <f>6.084 * CHOOSE(CONTROL!$C$22, $C$13, 100%, $E$13)</f>
        <v>6.0839999999999996</v>
      </c>
      <c r="K303" s="64">
        <f>6.0841 * CHOOSE(CONTROL!$C$22, $C$13, 100%, $E$13)</f>
        <v>6.0841000000000003</v>
      </c>
    </row>
    <row r="304" spans="1:11" ht="15">
      <c r="A304" s="13">
        <v>50740</v>
      </c>
      <c r="B304" s="63">
        <f>4.9696 * CHOOSE(CONTROL!$C$22, $C$13, 100%, $E$13)</f>
        <v>4.9695999999999998</v>
      </c>
      <c r="C304" s="63">
        <f>4.9696 * CHOOSE(CONTROL!$C$22, $C$13, 100%, $E$13)</f>
        <v>4.9695999999999998</v>
      </c>
      <c r="D304" s="63">
        <f>4.9696 * CHOOSE(CONTROL!$C$22, $C$13, 100%, $E$13)</f>
        <v>4.9695999999999998</v>
      </c>
      <c r="E304" s="64">
        <f>6.061 * CHOOSE(CONTROL!$C$22, $C$13, 100%, $E$13)</f>
        <v>6.0609999999999999</v>
      </c>
      <c r="F304" s="64">
        <f>6.061 * CHOOSE(CONTROL!$C$22, $C$13, 100%, $E$13)</f>
        <v>6.0609999999999999</v>
      </c>
      <c r="G304" s="64">
        <f>6.0611 * CHOOSE(CONTROL!$C$22, $C$13, 100%, $E$13)</f>
        <v>6.0610999999999997</v>
      </c>
      <c r="H304" s="64">
        <f>10.1576* CHOOSE(CONTROL!$C$22, $C$13, 100%, $E$13)</f>
        <v>10.1576</v>
      </c>
      <c r="I304" s="64">
        <f>10.1576 * CHOOSE(CONTROL!$C$22, $C$13, 100%, $E$13)</f>
        <v>10.1576</v>
      </c>
      <c r="J304" s="64">
        <f>6.061 * CHOOSE(CONTROL!$C$22, $C$13, 100%, $E$13)</f>
        <v>6.0609999999999999</v>
      </c>
      <c r="K304" s="64">
        <f>6.0611 * CHOOSE(CONTROL!$C$22, $C$13, 100%, $E$13)</f>
        <v>6.0610999999999997</v>
      </c>
    </row>
    <row r="305" spans="1:11" ht="15">
      <c r="A305" s="13">
        <v>50771</v>
      </c>
      <c r="B305" s="63">
        <f>5.014 * CHOOSE(CONTROL!$C$22, $C$13, 100%, $E$13)</f>
        <v>5.0140000000000002</v>
      </c>
      <c r="C305" s="63">
        <f>5.014 * CHOOSE(CONTROL!$C$22, $C$13, 100%, $E$13)</f>
        <v>5.0140000000000002</v>
      </c>
      <c r="D305" s="63">
        <f>5.014 * CHOOSE(CONTROL!$C$22, $C$13, 100%, $E$13)</f>
        <v>5.0140000000000002</v>
      </c>
      <c r="E305" s="64">
        <f>6.1195 * CHOOSE(CONTROL!$C$22, $C$13, 100%, $E$13)</f>
        <v>6.1195000000000004</v>
      </c>
      <c r="F305" s="64">
        <f>6.1195 * CHOOSE(CONTROL!$C$22, $C$13, 100%, $E$13)</f>
        <v>6.1195000000000004</v>
      </c>
      <c r="G305" s="64">
        <f>6.1195 * CHOOSE(CONTROL!$C$22, $C$13, 100%, $E$13)</f>
        <v>6.1195000000000004</v>
      </c>
      <c r="H305" s="64">
        <f>10.1787* CHOOSE(CONTROL!$C$22, $C$13, 100%, $E$13)</f>
        <v>10.178699999999999</v>
      </c>
      <c r="I305" s="64">
        <f>10.1788 * CHOOSE(CONTROL!$C$22, $C$13, 100%, $E$13)</f>
        <v>10.178800000000001</v>
      </c>
      <c r="J305" s="64">
        <f>6.1195 * CHOOSE(CONTROL!$C$22, $C$13, 100%, $E$13)</f>
        <v>6.1195000000000004</v>
      </c>
      <c r="K305" s="64">
        <f>6.1195 * CHOOSE(CONTROL!$C$22, $C$13, 100%, $E$13)</f>
        <v>6.1195000000000004</v>
      </c>
    </row>
    <row r="306" spans="1:11" ht="15">
      <c r="A306" s="13">
        <v>50802</v>
      </c>
      <c r="B306" s="63">
        <f>5.0109 * CHOOSE(CONTROL!$C$22, $C$13, 100%, $E$13)</f>
        <v>5.0109000000000004</v>
      </c>
      <c r="C306" s="63">
        <f>5.0109 * CHOOSE(CONTROL!$C$22, $C$13, 100%, $E$13)</f>
        <v>5.0109000000000004</v>
      </c>
      <c r="D306" s="63">
        <f>5.0109 * CHOOSE(CONTROL!$C$22, $C$13, 100%, $E$13)</f>
        <v>5.0109000000000004</v>
      </c>
      <c r="E306" s="64">
        <f>6.0216 * CHOOSE(CONTROL!$C$22, $C$13, 100%, $E$13)</f>
        <v>6.0216000000000003</v>
      </c>
      <c r="F306" s="64">
        <f>6.0216 * CHOOSE(CONTROL!$C$22, $C$13, 100%, $E$13)</f>
        <v>6.0216000000000003</v>
      </c>
      <c r="G306" s="64">
        <f>6.0217 * CHOOSE(CONTROL!$C$22, $C$13, 100%, $E$13)</f>
        <v>6.0217000000000001</v>
      </c>
      <c r="H306" s="64">
        <f>10.1999* CHOOSE(CONTROL!$C$22, $C$13, 100%, $E$13)</f>
        <v>10.1999</v>
      </c>
      <c r="I306" s="64">
        <f>10.2 * CHOOSE(CONTROL!$C$22, $C$13, 100%, $E$13)</f>
        <v>10.199999999999999</v>
      </c>
      <c r="J306" s="64">
        <f>6.0216 * CHOOSE(CONTROL!$C$22, $C$13, 100%, $E$13)</f>
        <v>6.0216000000000003</v>
      </c>
      <c r="K306" s="64">
        <f>6.0217 * CHOOSE(CONTROL!$C$22, $C$13, 100%, $E$13)</f>
        <v>6.0217000000000001</v>
      </c>
    </row>
    <row r="307" spans="1:11" ht="15">
      <c r="A307" s="13">
        <v>50830</v>
      </c>
      <c r="B307" s="63">
        <f>5.0079 * CHOOSE(CONTROL!$C$22, $C$13, 100%, $E$13)</f>
        <v>5.0079000000000002</v>
      </c>
      <c r="C307" s="63">
        <f>5.0079 * CHOOSE(CONTROL!$C$22, $C$13, 100%, $E$13)</f>
        <v>5.0079000000000002</v>
      </c>
      <c r="D307" s="63">
        <f>5.0079 * CHOOSE(CONTROL!$C$22, $C$13, 100%, $E$13)</f>
        <v>5.0079000000000002</v>
      </c>
      <c r="E307" s="64">
        <f>6.095 * CHOOSE(CONTROL!$C$22, $C$13, 100%, $E$13)</f>
        <v>6.0949999999999998</v>
      </c>
      <c r="F307" s="64">
        <f>6.095 * CHOOSE(CONTROL!$C$22, $C$13, 100%, $E$13)</f>
        <v>6.0949999999999998</v>
      </c>
      <c r="G307" s="64">
        <f>6.095 * CHOOSE(CONTROL!$C$22, $C$13, 100%, $E$13)</f>
        <v>6.0949999999999998</v>
      </c>
      <c r="H307" s="64">
        <f>10.2212* CHOOSE(CONTROL!$C$22, $C$13, 100%, $E$13)</f>
        <v>10.2212</v>
      </c>
      <c r="I307" s="64">
        <f>10.2213 * CHOOSE(CONTROL!$C$22, $C$13, 100%, $E$13)</f>
        <v>10.221299999999999</v>
      </c>
      <c r="J307" s="64">
        <f>6.095 * CHOOSE(CONTROL!$C$22, $C$13, 100%, $E$13)</f>
        <v>6.0949999999999998</v>
      </c>
      <c r="K307" s="64">
        <f>6.095 * CHOOSE(CONTROL!$C$22, $C$13, 100%, $E$13)</f>
        <v>6.0949999999999998</v>
      </c>
    </row>
    <row r="308" spans="1:11" ht="15">
      <c r="A308" s="13">
        <v>50861</v>
      </c>
      <c r="B308" s="63">
        <f>5.0064 * CHOOSE(CONTROL!$C$22, $C$13, 100%, $E$13)</f>
        <v>5.0064000000000002</v>
      </c>
      <c r="C308" s="63">
        <f>5.0064 * CHOOSE(CONTROL!$C$22, $C$13, 100%, $E$13)</f>
        <v>5.0064000000000002</v>
      </c>
      <c r="D308" s="63">
        <f>5.0064 * CHOOSE(CONTROL!$C$22, $C$13, 100%, $E$13)</f>
        <v>5.0064000000000002</v>
      </c>
      <c r="E308" s="64">
        <f>6.1718 * CHOOSE(CONTROL!$C$22, $C$13, 100%, $E$13)</f>
        <v>6.1718000000000002</v>
      </c>
      <c r="F308" s="64">
        <f>6.1718 * CHOOSE(CONTROL!$C$22, $C$13, 100%, $E$13)</f>
        <v>6.1718000000000002</v>
      </c>
      <c r="G308" s="64">
        <f>6.1718 * CHOOSE(CONTROL!$C$22, $C$13, 100%, $E$13)</f>
        <v>6.1718000000000002</v>
      </c>
      <c r="H308" s="64">
        <f>10.2425* CHOOSE(CONTROL!$C$22, $C$13, 100%, $E$13)</f>
        <v>10.2425</v>
      </c>
      <c r="I308" s="64">
        <f>10.2425 * CHOOSE(CONTROL!$C$22, $C$13, 100%, $E$13)</f>
        <v>10.2425</v>
      </c>
      <c r="J308" s="64">
        <f>6.1718 * CHOOSE(CONTROL!$C$22, $C$13, 100%, $E$13)</f>
        <v>6.1718000000000002</v>
      </c>
      <c r="K308" s="64">
        <f>6.1718 * CHOOSE(CONTROL!$C$22, $C$13, 100%, $E$13)</f>
        <v>6.1718000000000002</v>
      </c>
    </row>
    <row r="309" spans="1:11" ht="15">
      <c r="A309" s="13">
        <v>50891</v>
      </c>
      <c r="B309" s="63">
        <f>5.0064 * CHOOSE(CONTROL!$C$22, $C$13, 100%, $E$13)</f>
        <v>5.0064000000000002</v>
      </c>
      <c r="C309" s="63">
        <f>5.0064 * CHOOSE(CONTROL!$C$22, $C$13, 100%, $E$13)</f>
        <v>5.0064000000000002</v>
      </c>
      <c r="D309" s="63">
        <f>5.0149 * CHOOSE(CONTROL!$C$22, $C$13, 100%, $E$13)</f>
        <v>5.0148999999999999</v>
      </c>
      <c r="E309" s="64">
        <f>6.2021 * CHOOSE(CONTROL!$C$22, $C$13, 100%, $E$13)</f>
        <v>6.2020999999999997</v>
      </c>
      <c r="F309" s="64">
        <f>6.2021 * CHOOSE(CONTROL!$C$22, $C$13, 100%, $E$13)</f>
        <v>6.2020999999999997</v>
      </c>
      <c r="G309" s="64">
        <f>6.2124 * CHOOSE(CONTROL!$C$22, $C$13, 100%, $E$13)</f>
        <v>6.2123999999999997</v>
      </c>
      <c r="H309" s="64">
        <f>10.2638* CHOOSE(CONTROL!$C$22, $C$13, 100%, $E$13)</f>
        <v>10.2638</v>
      </c>
      <c r="I309" s="64">
        <f>10.274 * CHOOSE(CONTROL!$C$22, $C$13, 100%, $E$13)</f>
        <v>10.273999999999999</v>
      </c>
      <c r="J309" s="64">
        <f>6.2021 * CHOOSE(CONTROL!$C$22, $C$13, 100%, $E$13)</f>
        <v>6.2020999999999997</v>
      </c>
      <c r="K309" s="64">
        <f>6.2124 * CHOOSE(CONTROL!$C$22, $C$13, 100%, $E$13)</f>
        <v>6.2123999999999997</v>
      </c>
    </row>
    <row r="310" spans="1:11" ht="15">
      <c r="A310" s="13">
        <v>50922</v>
      </c>
      <c r="B310" s="63">
        <f>5.0125 * CHOOSE(CONTROL!$C$22, $C$13, 100%, $E$13)</f>
        <v>5.0125000000000002</v>
      </c>
      <c r="C310" s="63">
        <f>5.0125 * CHOOSE(CONTROL!$C$22, $C$13, 100%, $E$13)</f>
        <v>5.0125000000000002</v>
      </c>
      <c r="D310" s="63">
        <f>5.0209 * CHOOSE(CONTROL!$C$22, $C$13, 100%, $E$13)</f>
        <v>5.0209000000000001</v>
      </c>
      <c r="E310" s="64">
        <f>6.176 * CHOOSE(CONTROL!$C$22, $C$13, 100%, $E$13)</f>
        <v>6.1760000000000002</v>
      </c>
      <c r="F310" s="64">
        <f>6.176 * CHOOSE(CONTROL!$C$22, $C$13, 100%, $E$13)</f>
        <v>6.1760000000000002</v>
      </c>
      <c r="G310" s="64">
        <f>6.1862 * CHOOSE(CONTROL!$C$22, $C$13, 100%, $E$13)</f>
        <v>6.1862000000000004</v>
      </c>
      <c r="H310" s="64">
        <f>10.2852* CHOOSE(CONTROL!$C$22, $C$13, 100%, $E$13)</f>
        <v>10.2852</v>
      </c>
      <c r="I310" s="64">
        <f>10.2954 * CHOOSE(CONTROL!$C$22, $C$13, 100%, $E$13)</f>
        <v>10.295400000000001</v>
      </c>
      <c r="J310" s="64">
        <f>6.176 * CHOOSE(CONTROL!$C$22, $C$13, 100%, $E$13)</f>
        <v>6.1760000000000002</v>
      </c>
      <c r="K310" s="64">
        <f>6.1862 * CHOOSE(CONTROL!$C$22, $C$13, 100%, $E$13)</f>
        <v>6.1862000000000004</v>
      </c>
    </row>
    <row r="311" spans="1:11" ht="15">
      <c r="A311" s="13">
        <v>50952</v>
      </c>
      <c r="B311" s="63">
        <f>5.0952 * CHOOSE(CONTROL!$C$22, $C$13, 100%, $E$13)</f>
        <v>5.0952000000000002</v>
      </c>
      <c r="C311" s="63">
        <f>5.0952 * CHOOSE(CONTROL!$C$22, $C$13, 100%, $E$13)</f>
        <v>5.0952000000000002</v>
      </c>
      <c r="D311" s="63">
        <f>5.1036 * CHOOSE(CONTROL!$C$22, $C$13, 100%, $E$13)</f>
        <v>5.1036000000000001</v>
      </c>
      <c r="E311" s="64">
        <f>6.2809 * CHOOSE(CONTROL!$C$22, $C$13, 100%, $E$13)</f>
        <v>6.2808999999999999</v>
      </c>
      <c r="F311" s="64">
        <f>6.2809 * CHOOSE(CONTROL!$C$22, $C$13, 100%, $E$13)</f>
        <v>6.2808999999999999</v>
      </c>
      <c r="G311" s="64">
        <f>6.2911 * CHOOSE(CONTROL!$C$22, $C$13, 100%, $E$13)</f>
        <v>6.2911000000000001</v>
      </c>
      <c r="H311" s="64">
        <f>10.3066* CHOOSE(CONTROL!$C$22, $C$13, 100%, $E$13)</f>
        <v>10.3066</v>
      </c>
      <c r="I311" s="64">
        <f>10.3168 * CHOOSE(CONTROL!$C$22, $C$13, 100%, $E$13)</f>
        <v>10.316800000000001</v>
      </c>
      <c r="J311" s="64">
        <f>6.2809 * CHOOSE(CONTROL!$C$22, $C$13, 100%, $E$13)</f>
        <v>6.2808999999999999</v>
      </c>
      <c r="K311" s="64">
        <f>6.2911 * CHOOSE(CONTROL!$C$22, $C$13, 100%, $E$13)</f>
        <v>6.2911000000000001</v>
      </c>
    </row>
    <row r="312" spans="1:11" ht="15">
      <c r="A312" s="13">
        <v>50983</v>
      </c>
      <c r="B312" s="63">
        <f>5.1019 * CHOOSE(CONTROL!$C$22, $C$13, 100%, $E$13)</f>
        <v>5.1018999999999997</v>
      </c>
      <c r="C312" s="63">
        <f>5.1019 * CHOOSE(CONTROL!$C$22, $C$13, 100%, $E$13)</f>
        <v>5.1018999999999997</v>
      </c>
      <c r="D312" s="63">
        <f>5.1103 * CHOOSE(CONTROL!$C$22, $C$13, 100%, $E$13)</f>
        <v>5.1102999999999996</v>
      </c>
      <c r="E312" s="64">
        <f>6.1944 * CHOOSE(CONTROL!$C$22, $C$13, 100%, $E$13)</f>
        <v>6.1943999999999999</v>
      </c>
      <c r="F312" s="64">
        <f>6.1944 * CHOOSE(CONTROL!$C$22, $C$13, 100%, $E$13)</f>
        <v>6.1943999999999999</v>
      </c>
      <c r="G312" s="64">
        <f>6.2046 * CHOOSE(CONTROL!$C$22, $C$13, 100%, $E$13)</f>
        <v>6.2046000000000001</v>
      </c>
      <c r="H312" s="64">
        <f>10.3281* CHOOSE(CONTROL!$C$22, $C$13, 100%, $E$13)</f>
        <v>10.328099999999999</v>
      </c>
      <c r="I312" s="64">
        <f>10.3383 * CHOOSE(CONTROL!$C$22, $C$13, 100%, $E$13)</f>
        <v>10.3383</v>
      </c>
      <c r="J312" s="64">
        <f>6.1944 * CHOOSE(CONTROL!$C$22, $C$13, 100%, $E$13)</f>
        <v>6.1943999999999999</v>
      </c>
      <c r="K312" s="64">
        <f>6.2046 * CHOOSE(CONTROL!$C$22, $C$13, 100%, $E$13)</f>
        <v>6.2046000000000001</v>
      </c>
    </row>
    <row r="313" spans="1:11" ht="15">
      <c r="A313" s="13">
        <v>51014</v>
      </c>
      <c r="B313" s="63">
        <f>5.0988 * CHOOSE(CONTROL!$C$22, $C$13, 100%, $E$13)</f>
        <v>5.0987999999999998</v>
      </c>
      <c r="C313" s="63">
        <f>5.0988 * CHOOSE(CONTROL!$C$22, $C$13, 100%, $E$13)</f>
        <v>5.0987999999999998</v>
      </c>
      <c r="D313" s="63">
        <f>5.1073 * CHOOSE(CONTROL!$C$22, $C$13, 100%, $E$13)</f>
        <v>5.1073000000000004</v>
      </c>
      <c r="E313" s="64">
        <f>6.1822 * CHOOSE(CONTROL!$C$22, $C$13, 100%, $E$13)</f>
        <v>6.1821999999999999</v>
      </c>
      <c r="F313" s="64">
        <f>6.1822 * CHOOSE(CONTROL!$C$22, $C$13, 100%, $E$13)</f>
        <v>6.1821999999999999</v>
      </c>
      <c r="G313" s="64">
        <f>6.1924 * CHOOSE(CONTROL!$C$22, $C$13, 100%, $E$13)</f>
        <v>6.1924000000000001</v>
      </c>
      <c r="H313" s="64">
        <f>10.3496* CHOOSE(CONTROL!$C$22, $C$13, 100%, $E$13)</f>
        <v>10.349600000000001</v>
      </c>
      <c r="I313" s="64">
        <f>10.3598 * CHOOSE(CONTROL!$C$22, $C$13, 100%, $E$13)</f>
        <v>10.3598</v>
      </c>
      <c r="J313" s="64">
        <f>6.1822 * CHOOSE(CONTROL!$C$22, $C$13, 100%, $E$13)</f>
        <v>6.1821999999999999</v>
      </c>
      <c r="K313" s="64">
        <f>6.1924 * CHOOSE(CONTROL!$C$22, $C$13, 100%, $E$13)</f>
        <v>6.1924000000000001</v>
      </c>
    </row>
    <row r="314" spans="1:11" ht="15">
      <c r="A314" s="13">
        <v>51044</v>
      </c>
      <c r="B314" s="63">
        <f>5.0975 * CHOOSE(CONTROL!$C$22, $C$13, 100%, $E$13)</f>
        <v>5.0975000000000001</v>
      </c>
      <c r="C314" s="63">
        <f>5.0975 * CHOOSE(CONTROL!$C$22, $C$13, 100%, $E$13)</f>
        <v>5.0975000000000001</v>
      </c>
      <c r="D314" s="63">
        <f>5.0975 * CHOOSE(CONTROL!$C$22, $C$13, 100%, $E$13)</f>
        <v>5.0975000000000001</v>
      </c>
      <c r="E314" s="64">
        <f>6.2093 * CHOOSE(CONTROL!$C$22, $C$13, 100%, $E$13)</f>
        <v>6.2092999999999998</v>
      </c>
      <c r="F314" s="64">
        <f>6.2093 * CHOOSE(CONTROL!$C$22, $C$13, 100%, $E$13)</f>
        <v>6.2092999999999998</v>
      </c>
      <c r="G314" s="64">
        <f>6.2094 * CHOOSE(CONTROL!$C$22, $C$13, 100%, $E$13)</f>
        <v>6.2093999999999996</v>
      </c>
      <c r="H314" s="64">
        <f>10.3712* CHOOSE(CONTROL!$C$22, $C$13, 100%, $E$13)</f>
        <v>10.3712</v>
      </c>
      <c r="I314" s="64">
        <f>10.3712 * CHOOSE(CONTROL!$C$22, $C$13, 100%, $E$13)</f>
        <v>10.3712</v>
      </c>
      <c r="J314" s="64">
        <f>6.2093 * CHOOSE(CONTROL!$C$22, $C$13, 100%, $E$13)</f>
        <v>6.2092999999999998</v>
      </c>
      <c r="K314" s="64">
        <f>6.2094 * CHOOSE(CONTROL!$C$22, $C$13, 100%, $E$13)</f>
        <v>6.2093999999999996</v>
      </c>
    </row>
    <row r="315" spans="1:11" ht="15">
      <c r="A315" s="13">
        <v>51075</v>
      </c>
      <c r="B315" s="63">
        <f>5.1006 * CHOOSE(CONTROL!$C$22, $C$13, 100%, $E$13)</f>
        <v>5.1006</v>
      </c>
      <c r="C315" s="63">
        <f>5.1006 * CHOOSE(CONTROL!$C$22, $C$13, 100%, $E$13)</f>
        <v>5.1006</v>
      </c>
      <c r="D315" s="63">
        <f>5.1006 * CHOOSE(CONTROL!$C$22, $C$13, 100%, $E$13)</f>
        <v>5.1006</v>
      </c>
      <c r="E315" s="64">
        <f>6.2316 * CHOOSE(CONTROL!$C$22, $C$13, 100%, $E$13)</f>
        <v>6.2316000000000003</v>
      </c>
      <c r="F315" s="64">
        <f>6.2316 * CHOOSE(CONTROL!$C$22, $C$13, 100%, $E$13)</f>
        <v>6.2316000000000003</v>
      </c>
      <c r="G315" s="64">
        <f>6.2317 * CHOOSE(CONTROL!$C$22, $C$13, 100%, $E$13)</f>
        <v>6.2317</v>
      </c>
      <c r="H315" s="64">
        <f>10.3928* CHOOSE(CONTROL!$C$22, $C$13, 100%, $E$13)</f>
        <v>10.392799999999999</v>
      </c>
      <c r="I315" s="64">
        <f>10.3929 * CHOOSE(CONTROL!$C$22, $C$13, 100%, $E$13)</f>
        <v>10.392899999999999</v>
      </c>
      <c r="J315" s="64">
        <f>6.2316 * CHOOSE(CONTROL!$C$22, $C$13, 100%, $E$13)</f>
        <v>6.2316000000000003</v>
      </c>
      <c r="K315" s="64">
        <f>6.2317 * CHOOSE(CONTROL!$C$22, $C$13, 100%, $E$13)</f>
        <v>6.2317</v>
      </c>
    </row>
    <row r="316" spans="1:11" ht="15">
      <c r="A316" s="13">
        <v>51105</v>
      </c>
      <c r="B316" s="63">
        <f>5.1006 * CHOOSE(CONTROL!$C$22, $C$13, 100%, $E$13)</f>
        <v>5.1006</v>
      </c>
      <c r="C316" s="63">
        <f>5.1006 * CHOOSE(CONTROL!$C$22, $C$13, 100%, $E$13)</f>
        <v>5.1006</v>
      </c>
      <c r="D316" s="63">
        <f>5.1006 * CHOOSE(CONTROL!$C$22, $C$13, 100%, $E$13)</f>
        <v>5.1006</v>
      </c>
      <c r="E316" s="64">
        <f>6.181 * CHOOSE(CONTROL!$C$22, $C$13, 100%, $E$13)</f>
        <v>6.181</v>
      </c>
      <c r="F316" s="64">
        <f>6.181 * CHOOSE(CONTROL!$C$22, $C$13, 100%, $E$13)</f>
        <v>6.181</v>
      </c>
      <c r="G316" s="64">
        <f>6.1811 * CHOOSE(CONTROL!$C$22, $C$13, 100%, $E$13)</f>
        <v>6.1810999999999998</v>
      </c>
      <c r="H316" s="64">
        <f>10.4144* CHOOSE(CONTROL!$C$22, $C$13, 100%, $E$13)</f>
        <v>10.414400000000001</v>
      </c>
      <c r="I316" s="64">
        <f>10.4145 * CHOOSE(CONTROL!$C$22, $C$13, 100%, $E$13)</f>
        <v>10.4145</v>
      </c>
      <c r="J316" s="64">
        <f>6.181 * CHOOSE(CONTROL!$C$22, $C$13, 100%, $E$13)</f>
        <v>6.181</v>
      </c>
      <c r="K316" s="64">
        <f>6.1811 * CHOOSE(CONTROL!$C$22, $C$13, 100%, $E$13)</f>
        <v>6.1810999999999998</v>
      </c>
    </row>
    <row r="317" spans="1:11" ht="15">
      <c r="A317" s="13">
        <v>51136</v>
      </c>
      <c r="B317" s="63">
        <f>5.146 * CHOOSE(CONTROL!$C$22, $C$13, 100%, $E$13)</f>
        <v>5.1459999999999999</v>
      </c>
      <c r="C317" s="63">
        <f>5.146 * CHOOSE(CONTROL!$C$22, $C$13, 100%, $E$13)</f>
        <v>5.1459999999999999</v>
      </c>
      <c r="D317" s="63">
        <f>5.146 * CHOOSE(CONTROL!$C$22, $C$13, 100%, $E$13)</f>
        <v>5.1459999999999999</v>
      </c>
      <c r="E317" s="64">
        <f>6.2686 * CHOOSE(CONTROL!$C$22, $C$13, 100%, $E$13)</f>
        <v>6.2686000000000002</v>
      </c>
      <c r="F317" s="64">
        <f>6.2686 * CHOOSE(CONTROL!$C$22, $C$13, 100%, $E$13)</f>
        <v>6.2686000000000002</v>
      </c>
      <c r="G317" s="64">
        <f>6.2687 * CHOOSE(CONTROL!$C$22, $C$13, 100%, $E$13)</f>
        <v>6.2686999999999999</v>
      </c>
      <c r="H317" s="64">
        <f>10.4361* CHOOSE(CONTROL!$C$22, $C$13, 100%, $E$13)</f>
        <v>10.4361</v>
      </c>
      <c r="I317" s="64">
        <f>10.4362 * CHOOSE(CONTROL!$C$22, $C$13, 100%, $E$13)</f>
        <v>10.436199999999999</v>
      </c>
      <c r="J317" s="64">
        <f>6.2686 * CHOOSE(CONTROL!$C$22, $C$13, 100%, $E$13)</f>
        <v>6.2686000000000002</v>
      </c>
      <c r="K317" s="64">
        <f>6.2687 * CHOOSE(CONTROL!$C$22, $C$13, 100%, $E$13)</f>
        <v>6.2686999999999999</v>
      </c>
    </row>
    <row r="318" spans="1:11" ht="15">
      <c r="A318" s="13">
        <v>51167</v>
      </c>
      <c r="B318" s="63">
        <f>5.1429 * CHOOSE(CONTROL!$C$22, $C$13, 100%, $E$13)</f>
        <v>5.1429</v>
      </c>
      <c r="C318" s="63">
        <f>5.1429 * CHOOSE(CONTROL!$C$22, $C$13, 100%, $E$13)</f>
        <v>5.1429</v>
      </c>
      <c r="D318" s="63">
        <f>5.1429 * CHOOSE(CONTROL!$C$22, $C$13, 100%, $E$13)</f>
        <v>5.1429</v>
      </c>
      <c r="E318" s="64">
        <f>6.1681 * CHOOSE(CONTROL!$C$22, $C$13, 100%, $E$13)</f>
        <v>6.1680999999999999</v>
      </c>
      <c r="F318" s="64">
        <f>6.1681 * CHOOSE(CONTROL!$C$22, $C$13, 100%, $E$13)</f>
        <v>6.1680999999999999</v>
      </c>
      <c r="G318" s="64">
        <f>6.1682 * CHOOSE(CONTROL!$C$22, $C$13, 100%, $E$13)</f>
        <v>6.1681999999999997</v>
      </c>
      <c r="H318" s="64">
        <f>10.4579* CHOOSE(CONTROL!$C$22, $C$13, 100%, $E$13)</f>
        <v>10.4579</v>
      </c>
      <c r="I318" s="64">
        <f>10.4579 * CHOOSE(CONTROL!$C$22, $C$13, 100%, $E$13)</f>
        <v>10.4579</v>
      </c>
      <c r="J318" s="64">
        <f>6.1681 * CHOOSE(CONTROL!$C$22, $C$13, 100%, $E$13)</f>
        <v>6.1680999999999999</v>
      </c>
      <c r="K318" s="64">
        <f>6.1682 * CHOOSE(CONTROL!$C$22, $C$13, 100%, $E$13)</f>
        <v>6.1681999999999997</v>
      </c>
    </row>
    <row r="319" spans="1:11" ht="15">
      <c r="A319" s="13">
        <v>51196</v>
      </c>
      <c r="B319" s="63">
        <f>5.1399 * CHOOSE(CONTROL!$C$22, $C$13, 100%, $E$13)</f>
        <v>5.1398999999999999</v>
      </c>
      <c r="C319" s="63">
        <f>5.1399 * CHOOSE(CONTROL!$C$22, $C$13, 100%, $E$13)</f>
        <v>5.1398999999999999</v>
      </c>
      <c r="D319" s="63">
        <f>5.1399 * CHOOSE(CONTROL!$C$22, $C$13, 100%, $E$13)</f>
        <v>5.1398999999999999</v>
      </c>
      <c r="E319" s="64">
        <f>6.2435 * CHOOSE(CONTROL!$C$22, $C$13, 100%, $E$13)</f>
        <v>6.2435</v>
      </c>
      <c r="F319" s="64">
        <f>6.2435 * CHOOSE(CONTROL!$C$22, $C$13, 100%, $E$13)</f>
        <v>6.2435</v>
      </c>
      <c r="G319" s="64">
        <f>6.2436 * CHOOSE(CONTROL!$C$22, $C$13, 100%, $E$13)</f>
        <v>6.2435999999999998</v>
      </c>
      <c r="H319" s="64">
        <f>10.4796* CHOOSE(CONTROL!$C$22, $C$13, 100%, $E$13)</f>
        <v>10.4796</v>
      </c>
      <c r="I319" s="64">
        <f>10.4797 * CHOOSE(CONTROL!$C$22, $C$13, 100%, $E$13)</f>
        <v>10.479699999999999</v>
      </c>
      <c r="J319" s="64">
        <f>6.2435 * CHOOSE(CONTROL!$C$22, $C$13, 100%, $E$13)</f>
        <v>6.2435</v>
      </c>
      <c r="K319" s="64">
        <f>6.2436 * CHOOSE(CONTROL!$C$22, $C$13, 100%, $E$13)</f>
        <v>6.2435999999999998</v>
      </c>
    </row>
    <row r="320" spans="1:11" ht="15">
      <c r="A320" s="13">
        <v>51227</v>
      </c>
      <c r="B320" s="63">
        <f>5.1385 * CHOOSE(CONTROL!$C$22, $C$13, 100%, $E$13)</f>
        <v>5.1384999999999996</v>
      </c>
      <c r="C320" s="63">
        <f>5.1385 * CHOOSE(CONTROL!$C$22, $C$13, 100%, $E$13)</f>
        <v>5.1384999999999996</v>
      </c>
      <c r="D320" s="63">
        <f>5.1385 * CHOOSE(CONTROL!$C$22, $C$13, 100%, $E$13)</f>
        <v>5.1384999999999996</v>
      </c>
      <c r="E320" s="64">
        <f>6.3226 * CHOOSE(CONTROL!$C$22, $C$13, 100%, $E$13)</f>
        <v>6.3226000000000004</v>
      </c>
      <c r="F320" s="64">
        <f>6.3226 * CHOOSE(CONTROL!$C$22, $C$13, 100%, $E$13)</f>
        <v>6.3226000000000004</v>
      </c>
      <c r="G320" s="64">
        <f>6.3227 * CHOOSE(CONTROL!$C$22, $C$13, 100%, $E$13)</f>
        <v>6.3227000000000002</v>
      </c>
      <c r="H320" s="64">
        <f>10.5015* CHOOSE(CONTROL!$C$22, $C$13, 100%, $E$13)</f>
        <v>10.5015</v>
      </c>
      <c r="I320" s="64">
        <f>10.5016 * CHOOSE(CONTROL!$C$22, $C$13, 100%, $E$13)</f>
        <v>10.5016</v>
      </c>
      <c r="J320" s="64">
        <f>6.3226 * CHOOSE(CONTROL!$C$22, $C$13, 100%, $E$13)</f>
        <v>6.3226000000000004</v>
      </c>
      <c r="K320" s="64">
        <f>6.3227 * CHOOSE(CONTROL!$C$22, $C$13, 100%, $E$13)</f>
        <v>6.3227000000000002</v>
      </c>
    </row>
    <row r="321" spans="1:11" ht="15">
      <c r="A321" s="13">
        <v>51257</v>
      </c>
      <c r="B321" s="63">
        <f>5.1385 * CHOOSE(CONTROL!$C$22, $C$13, 100%, $E$13)</f>
        <v>5.1384999999999996</v>
      </c>
      <c r="C321" s="63">
        <f>5.1385 * CHOOSE(CONTROL!$C$22, $C$13, 100%, $E$13)</f>
        <v>5.1384999999999996</v>
      </c>
      <c r="D321" s="63">
        <f>5.1469 * CHOOSE(CONTROL!$C$22, $C$13, 100%, $E$13)</f>
        <v>5.1468999999999996</v>
      </c>
      <c r="E321" s="64">
        <f>6.3538 * CHOOSE(CONTROL!$C$22, $C$13, 100%, $E$13)</f>
        <v>6.3537999999999997</v>
      </c>
      <c r="F321" s="64">
        <f>6.3538 * CHOOSE(CONTROL!$C$22, $C$13, 100%, $E$13)</f>
        <v>6.3537999999999997</v>
      </c>
      <c r="G321" s="64">
        <f>6.3641 * CHOOSE(CONTROL!$C$22, $C$13, 100%, $E$13)</f>
        <v>6.3640999999999996</v>
      </c>
      <c r="H321" s="64">
        <f>10.5234* CHOOSE(CONTROL!$C$22, $C$13, 100%, $E$13)</f>
        <v>10.523400000000001</v>
      </c>
      <c r="I321" s="64">
        <f>10.5336 * CHOOSE(CONTROL!$C$22, $C$13, 100%, $E$13)</f>
        <v>10.5336</v>
      </c>
      <c r="J321" s="64">
        <f>6.3538 * CHOOSE(CONTROL!$C$22, $C$13, 100%, $E$13)</f>
        <v>6.3537999999999997</v>
      </c>
      <c r="K321" s="64">
        <f>6.3641 * CHOOSE(CONTROL!$C$22, $C$13, 100%, $E$13)</f>
        <v>6.3640999999999996</v>
      </c>
    </row>
    <row r="322" spans="1:11" ht="15">
      <c r="A322" s="13">
        <v>51288</v>
      </c>
      <c r="B322" s="63">
        <f>5.1446 * CHOOSE(CONTROL!$C$22, $C$13, 100%, $E$13)</f>
        <v>5.1445999999999996</v>
      </c>
      <c r="C322" s="63">
        <f>5.1446 * CHOOSE(CONTROL!$C$22, $C$13, 100%, $E$13)</f>
        <v>5.1445999999999996</v>
      </c>
      <c r="D322" s="63">
        <f>5.153 * CHOOSE(CONTROL!$C$22, $C$13, 100%, $E$13)</f>
        <v>5.1529999999999996</v>
      </c>
      <c r="E322" s="64">
        <f>6.3268 * CHOOSE(CONTROL!$C$22, $C$13, 100%, $E$13)</f>
        <v>6.3268000000000004</v>
      </c>
      <c r="F322" s="64">
        <f>6.3268 * CHOOSE(CONTROL!$C$22, $C$13, 100%, $E$13)</f>
        <v>6.3268000000000004</v>
      </c>
      <c r="G322" s="64">
        <f>6.3371 * CHOOSE(CONTROL!$C$22, $C$13, 100%, $E$13)</f>
        <v>6.3371000000000004</v>
      </c>
      <c r="H322" s="64">
        <f>10.5453* CHOOSE(CONTROL!$C$22, $C$13, 100%, $E$13)</f>
        <v>10.545299999999999</v>
      </c>
      <c r="I322" s="64">
        <f>10.5555 * CHOOSE(CONTROL!$C$22, $C$13, 100%, $E$13)</f>
        <v>10.5555</v>
      </c>
      <c r="J322" s="64">
        <f>6.3268 * CHOOSE(CONTROL!$C$22, $C$13, 100%, $E$13)</f>
        <v>6.3268000000000004</v>
      </c>
      <c r="K322" s="64">
        <f>6.3371 * CHOOSE(CONTROL!$C$22, $C$13, 100%, $E$13)</f>
        <v>6.3371000000000004</v>
      </c>
    </row>
    <row r="323" spans="1:11" ht="15">
      <c r="A323" s="13">
        <v>51318</v>
      </c>
      <c r="B323" s="63">
        <f>5.2293 * CHOOSE(CONTROL!$C$22, $C$13, 100%, $E$13)</f>
        <v>5.2293000000000003</v>
      </c>
      <c r="C323" s="63">
        <f>5.2293 * CHOOSE(CONTROL!$C$22, $C$13, 100%, $E$13)</f>
        <v>5.2293000000000003</v>
      </c>
      <c r="D323" s="63">
        <f>5.2378 * CHOOSE(CONTROL!$C$22, $C$13, 100%, $E$13)</f>
        <v>5.2378</v>
      </c>
      <c r="E323" s="64">
        <f>6.4346 * CHOOSE(CONTROL!$C$22, $C$13, 100%, $E$13)</f>
        <v>6.4345999999999997</v>
      </c>
      <c r="F323" s="64">
        <f>6.4346 * CHOOSE(CONTROL!$C$22, $C$13, 100%, $E$13)</f>
        <v>6.4345999999999997</v>
      </c>
      <c r="G323" s="64">
        <f>6.4448 * CHOOSE(CONTROL!$C$22, $C$13, 100%, $E$13)</f>
        <v>6.4447999999999999</v>
      </c>
      <c r="H323" s="64">
        <f>10.5673* CHOOSE(CONTROL!$C$22, $C$13, 100%, $E$13)</f>
        <v>10.567299999999999</v>
      </c>
      <c r="I323" s="64">
        <f>10.5775 * CHOOSE(CONTROL!$C$22, $C$13, 100%, $E$13)</f>
        <v>10.577500000000001</v>
      </c>
      <c r="J323" s="64">
        <f>6.4346 * CHOOSE(CONTROL!$C$22, $C$13, 100%, $E$13)</f>
        <v>6.4345999999999997</v>
      </c>
      <c r="K323" s="64">
        <f>6.4448 * CHOOSE(CONTROL!$C$22, $C$13, 100%, $E$13)</f>
        <v>6.4447999999999999</v>
      </c>
    </row>
    <row r="324" spans="1:11" ht="15">
      <c r="A324" s="13">
        <v>51349</v>
      </c>
      <c r="B324" s="63">
        <f>5.236 * CHOOSE(CONTROL!$C$22, $C$13, 100%, $E$13)</f>
        <v>5.2359999999999998</v>
      </c>
      <c r="C324" s="63">
        <f>5.236 * CHOOSE(CONTROL!$C$22, $C$13, 100%, $E$13)</f>
        <v>5.2359999999999998</v>
      </c>
      <c r="D324" s="63">
        <f>5.2444 * CHOOSE(CONTROL!$C$22, $C$13, 100%, $E$13)</f>
        <v>5.2443999999999997</v>
      </c>
      <c r="E324" s="64">
        <f>6.3455 * CHOOSE(CONTROL!$C$22, $C$13, 100%, $E$13)</f>
        <v>6.3455000000000004</v>
      </c>
      <c r="F324" s="64">
        <f>6.3455 * CHOOSE(CONTROL!$C$22, $C$13, 100%, $E$13)</f>
        <v>6.3455000000000004</v>
      </c>
      <c r="G324" s="64">
        <f>6.3557 * CHOOSE(CONTROL!$C$22, $C$13, 100%, $E$13)</f>
        <v>6.3556999999999997</v>
      </c>
      <c r="H324" s="64">
        <f>10.5893* CHOOSE(CONTROL!$C$22, $C$13, 100%, $E$13)</f>
        <v>10.5893</v>
      </c>
      <c r="I324" s="64">
        <f>10.5995 * CHOOSE(CONTROL!$C$22, $C$13, 100%, $E$13)</f>
        <v>10.599500000000001</v>
      </c>
      <c r="J324" s="64">
        <f>6.3455 * CHOOSE(CONTROL!$C$22, $C$13, 100%, $E$13)</f>
        <v>6.3455000000000004</v>
      </c>
      <c r="K324" s="64">
        <f>6.3557 * CHOOSE(CONTROL!$C$22, $C$13, 100%, $E$13)</f>
        <v>6.3556999999999997</v>
      </c>
    </row>
    <row r="325" spans="1:11" ht="15">
      <c r="A325" s="13">
        <v>51380</v>
      </c>
      <c r="B325" s="63">
        <f>5.233 * CHOOSE(CONTROL!$C$22, $C$13, 100%, $E$13)</f>
        <v>5.2329999999999997</v>
      </c>
      <c r="C325" s="63">
        <f>5.233 * CHOOSE(CONTROL!$C$22, $C$13, 100%, $E$13)</f>
        <v>5.2329999999999997</v>
      </c>
      <c r="D325" s="63">
        <f>5.2414 * CHOOSE(CONTROL!$C$22, $C$13, 100%, $E$13)</f>
        <v>5.2413999999999996</v>
      </c>
      <c r="E325" s="64">
        <f>6.333 * CHOOSE(CONTROL!$C$22, $C$13, 100%, $E$13)</f>
        <v>6.3330000000000002</v>
      </c>
      <c r="F325" s="64">
        <f>6.333 * CHOOSE(CONTROL!$C$22, $C$13, 100%, $E$13)</f>
        <v>6.3330000000000002</v>
      </c>
      <c r="G325" s="64">
        <f>6.3432 * CHOOSE(CONTROL!$C$22, $C$13, 100%, $E$13)</f>
        <v>6.3432000000000004</v>
      </c>
      <c r="H325" s="64">
        <f>10.6113* CHOOSE(CONTROL!$C$22, $C$13, 100%, $E$13)</f>
        <v>10.6113</v>
      </c>
      <c r="I325" s="64">
        <f>10.6215 * CHOOSE(CONTROL!$C$22, $C$13, 100%, $E$13)</f>
        <v>10.621499999999999</v>
      </c>
      <c r="J325" s="64">
        <f>6.333 * CHOOSE(CONTROL!$C$22, $C$13, 100%, $E$13)</f>
        <v>6.3330000000000002</v>
      </c>
      <c r="K325" s="64">
        <f>6.3432 * CHOOSE(CONTROL!$C$22, $C$13, 100%, $E$13)</f>
        <v>6.3432000000000004</v>
      </c>
    </row>
    <row r="326" spans="1:11" ht="15">
      <c r="A326" s="13">
        <v>51410</v>
      </c>
      <c r="B326" s="63">
        <f>5.2321 * CHOOSE(CONTROL!$C$22, $C$13, 100%, $E$13)</f>
        <v>5.2321</v>
      </c>
      <c r="C326" s="63">
        <f>5.2321 * CHOOSE(CONTROL!$C$22, $C$13, 100%, $E$13)</f>
        <v>5.2321</v>
      </c>
      <c r="D326" s="63">
        <f>5.2321 * CHOOSE(CONTROL!$C$22, $C$13, 100%, $E$13)</f>
        <v>5.2321</v>
      </c>
      <c r="E326" s="64">
        <f>6.3612 * CHOOSE(CONTROL!$C$22, $C$13, 100%, $E$13)</f>
        <v>6.3612000000000002</v>
      </c>
      <c r="F326" s="64">
        <f>6.3612 * CHOOSE(CONTROL!$C$22, $C$13, 100%, $E$13)</f>
        <v>6.3612000000000002</v>
      </c>
      <c r="G326" s="64">
        <f>6.3613 * CHOOSE(CONTROL!$C$22, $C$13, 100%, $E$13)</f>
        <v>6.3613</v>
      </c>
      <c r="H326" s="64">
        <f>10.6334* CHOOSE(CONTROL!$C$22, $C$13, 100%, $E$13)</f>
        <v>10.6334</v>
      </c>
      <c r="I326" s="64">
        <f>10.6335 * CHOOSE(CONTROL!$C$22, $C$13, 100%, $E$13)</f>
        <v>10.6335</v>
      </c>
      <c r="J326" s="64">
        <f>6.3612 * CHOOSE(CONTROL!$C$22, $C$13, 100%, $E$13)</f>
        <v>6.3612000000000002</v>
      </c>
      <c r="K326" s="64">
        <f>6.3613 * CHOOSE(CONTROL!$C$22, $C$13, 100%, $E$13)</f>
        <v>6.3613</v>
      </c>
    </row>
    <row r="327" spans="1:11" ht="15">
      <c r="A327" s="13">
        <v>51441</v>
      </c>
      <c r="B327" s="63">
        <f>5.2352 * CHOOSE(CONTROL!$C$22, $C$13, 100%, $E$13)</f>
        <v>5.2351999999999999</v>
      </c>
      <c r="C327" s="63">
        <f>5.2352 * CHOOSE(CONTROL!$C$22, $C$13, 100%, $E$13)</f>
        <v>5.2351999999999999</v>
      </c>
      <c r="D327" s="63">
        <f>5.2352 * CHOOSE(CONTROL!$C$22, $C$13, 100%, $E$13)</f>
        <v>5.2351999999999999</v>
      </c>
      <c r="E327" s="64">
        <f>6.3842 * CHOOSE(CONTROL!$C$22, $C$13, 100%, $E$13)</f>
        <v>6.3841999999999999</v>
      </c>
      <c r="F327" s="64">
        <f>6.3842 * CHOOSE(CONTROL!$C$22, $C$13, 100%, $E$13)</f>
        <v>6.3841999999999999</v>
      </c>
      <c r="G327" s="64">
        <f>6.3842 * CHOOSE(CONTROL!$C$22, $C$13, 100%, $E$13)</f>
        <v>6.3841999999999999</v>
      </c>
      <c r="H327" s="64">
        <f>10.6556* CHOOSE(CONTROL!$C$22, $C$13, 100%, $E$13)</f>
        <v>10.6556</v>
      </c>
      <c r="I327" s="64">
        <f>10.6557 * CHOOSE(CONTROL!$C$22, $C$13, 100%, $E$13)</f>
        <v>10.6557</v>
      </c>
      <c r="J327" s="64">
        <f>6.3842 * CHOOSE(CONTROL!$C$22, $C$13, 100%, $E$13)</f>
        <v>6.3841999999999999</v>
      </c>
      <c r="K327" s="64">
        <f>6.3842 * CHOOSE(CONTROL!$C$22, $C$13, 100%, $E$13)</f>
        <v>6.3841999999999999</v>
      </c>
    </row>
    <row r="328" spans="1:11" ht="15">
      <c r="A328" s="13">
        <v>51471</v>
      </c>
      <c r="B328" s="63">
        <f>5.2352 * CHOOSE(CONTROL!$C$22, $C$13, 100%, $E$13)</f>
        <v>5.2351999999999999</v>
      </c>
      <c r="C328" s="63">
        <f>5.2352 * CHOOSE(CONTROL!$C$22, $C$13, 100%, $E$13)</f>
        <v>5.2351999999999999</v>
      </c>
      <c r="D328" s="63">
        <f>5.2352 * CHOOSE(CONTROL!$C$22, $C$13, 100%, $E$13)</f>
        <v>5.2351999999999999</v>
      </c>
      <c r="E328" s="64">
        <f>6.3321 * CHOOSE(CONTROL!$C$22, $C$13, 100%, $E$13)</f>
        <v>6.3320999999999996</v>
      </c>
      <c r="F328" s="64">
        <f>6.3321 * CHOOSE(CONTROL!$C$22, $C$13, 100%, $E$13)</f>
        <v>6.3320999999999996</v>
      </c>
      <c r="G328" s="64">
        <f>6.3322 * CHOOSE(CONTROL!$C$22, $C$13, 100%, $E$13)</f>
        <v>6.3322000000000003</v>
      </c>
      <c r="H328" s="64">
        <f>10.6778* CHOOSE(CONTROL!$C$22, $C$13, 100%, $E$13)</f>
        <v>10.6778</v>
      </c>
      <c r="I328" s="64">
        <f>10.6779 * CHOOSE(CONTROL!$C$22, $C$13, 100%, $E$13)</f>
        <v>10.677899999999999</v>
      </c>
      <c r="J328" s="64">
        <f>6.3321 * CHOOSE(CONTROL!$C$22, $C$13, 100%, $E$13)</f>
        <v>6.3320999999999996</v>
      </c>
      <c r="K328" s="64">
        <f>6.3322 * CHOOSE(CONTROL!$C$22, $C$13, 100%, $E$13)</f>
        <v>6.3322000000000003</v>
      </c>
    </row>
    <row r="329" spans="1:11" ht="15">
      <c r="A329" s="13">
        <v>51502</v>
      </c>
      <c r="B329" s="63">
        <f>5.2816 * CHOOSE(CONTROL!$C$22, $C$13, 100%, $E$13)</f>
        <v>5.2816000000000001</v>
      </c>
      <c r="C329" s="63">
        <f>5.2816 * CHOOSE(CONTROL!$C$22, $C$13, 100%, $E$13)</f>
        <v>5.2816000000000001</v>
      </c>
      <c r="D329" s="63">
        <f>5.2816 * CHOOSE(CONTROL!$C$22, $C$13, 100%, $E$13)</f>
        <v>5.2816000000000001</v>
      </c>
      <c r="E329" s="64">
        <f>6.4218 * CHOOSE(CONTROL!$C$22, $C$13, 100%, $E$13)</f>
        <v>6.4218000000000002</v>
      </c>
      <c r="F329" s="64">
        <f>6.4218 * CHOOSE(CONTROL!$C$22, $C$13, 100%, $E$13)</f>
        <v>6.4218000000000002</v>
      </c>
      <c r="G329" s="64">
        <f>6.4219 * CHOOSE(CONTROL!$C$22, $C$13, 100%, $E$13)</f>
        <v>6.4218999999999999</v>
      </c>
      <c r="H329" s="64">
        <f>10.7* CHOOSE(CONTROL!$C$22, $C$13, 100%, $E$13)</f>
        <v>10.7</v>
      </c>
      <c r="I329" s="64">
        <f>10.7001 * CHOOSE(CONTROL!$C$22, $C$13, 100%, $E$13)</f>
        <v>10.700100000000001</v>
      </c>
      <c r="J329" s="64">
        <f>6.4218 * CHOOSE(CONTROL!$C$22, $C$13, 100%, $E$13)</f>
        <v>6.4218000000000002</v>
      </c>
      <c r="K329" s="64">
        <f>6.4219 * CHOOSE(CONTROL!$C$22, $C$13, 100%, $E$13)</f>
        <v>6.4218999999999999</v>
      </c>
    </row>
    <row r="330" spans="1:11" ht="15">
      <c r="A330" s="13">
        <v>51533</v>
      </c>
      <c r="B330" s="63">
        <f>5.2786 * CHOOSE(CONTROL!$C$22, $C$13, 100%, $E$13)</f>
        <v>5.2786</v>
      </c>
      <c r="C330" s="63">
        <f>5.2786 * CHOOSE(CONTROL!$C$22, $C$13, 100%, $E$13)</f>
        <v>5.2786</v>
      </c>
      <c r="D330" s="63">
        <f>5.2786 * CHOOSE(CONTROL!$C$22, $C$13, 100%, $E$13)</f>
        <v>5.2786</v>
      </c>
      <c r="E330" s="64">
        <f>6.3185 * CHOOSE(CONTROL!$C$22, $C$13, 100%, $E$13)</f>
        <v>6.3185000000000002</v>
      </c>
      <c r="F330" s="64">
        <f>6.3185 * CHOOSE(CONTROL!$C$22, $C$13, 100%, $E$13)</f>
        <v>6.3185000000000002</v>
      </c>
      <c r="G330" s="64">
        <f>6.3186 * CHOOSE(CONTROL!$C$22, $C$13, 100%, $E$13)</f>
        <v>6.3186</v>
      </c>
      <c r="H330" s="64">
        <f>10.7223* CHOOSE(CONTROL!$C$22, $C$13, 100%, $E$13)</f>
        <v>10.722300000000001</v>
      </c>
      <c r="I330" s="64">
        <f>10.7224 * CHOOSE(CONTROL!$C$22, $C$13, 100%, $E$13)</f>
        <v>10.7224</v>
      </c>
      <c r="J330" s="64">
        <f>6.3185 * CHOOSE(CONTROL!$C$22, $C$13, 100%, $E$13)</f>
        <v>6.3185000000000002</v>
      </c>
      <c r="K330" s="64">
        <f>6.3186 * CHOOSE(CONTROL!$C$22, $C$13, 100%, $E$13)</f>
        <v>6.3186</v>
      </c>
    </row>
    <row r="331" spans="1:11" ht="15">
      <c r="A331" s="13">
        <v>51561</v>
      </c>
      <c r="B331" s="63">
        <f>5.2755 * CHOOSE(CONTROL!$C$22, $C$13, 100%, $E$13)</f>
        <v>5.2755000000000001</v>
      </c>
      <c r="C331" s="63">
        <f>5.2755 * CHOOSE(CONTROL!$C$22, $C$13, 100%, $E$13)</f>
        <v>5.2755000000000001</v>
      </c>
      <c r="D331" s="63">
        <f>5.2755 * CHOOSE(CONTROL!$C$22, $C$13, 100%, $E$13)</f>
        <v>5.2755000000000001</v>
      </c>
      <c r="E331" s="64">
        <f>6.3961 * CHOOSE(CONTROL!$C$22, $C$13, 100%, $E$13)</f>
        <v>6.3960999999999997</v>
      </c>
      <c r="F331" s="64">
        <f>6.3961 * CHOOSE(CONTROL!$C$22, $C$13, 100%, $E$13)</f>
        <v>6.3960999999999997</v>
      </c>
      <c r="G331" s="64">
        <f>6.3962 * CHOOSE(CONTROL!$C$22, $C$13, 100%, $E$13)</f>
        <v>6.3962000000000003</v>
      </c>
      <c r="H331" s="64">
        <f>10.7447* CHOOSE(CONTROL!$C$22, $C$13, 100%, $E$13)</f>
        <v>10.7447</v>
      </c>
      <c r="I331" s="64">
        <f>10.7447 * CHOOSE(CONTROL!$C$22, $C$13, 100%, $E$13)</f>
        <v>10.7447</v>
      </c>
      <c r="J331" s="64">
        <f>6.3961 * CHOOSE(CONTROL!$C$22, $C$13, 100%, $E$13)</f>
        <v>6.3960999999999997</v>
      </c>
      <c r="K331" s="64">
        <f>6.3962 * CHOOSE(CONTROL!$C$22, $C$13, 100%, $E$13)</f>
        <v>6.3962000000000003</v>
      </c>
    </row>
    <row r="332" spans="1:11" ht="15">
      <c r="A332" s="13">
        <v>51592</v>
      </c>
      <c r="B332" s="63">
        <f>5.2743 * CHOOSE(CONTROL!$C$22, $C$13, 100%, $E$13)</f>
        <v>5.2743000000000002</v>
      </c>
      <c r="C332" s="63">
        <f>5.2743 * CHOOSE(CONTROL!$C$22, $C$13, 100%, $E$13)</f>
        <v>5.2743000000000002</v>
      </c>
      <c r="D332" s="63">
        <f>5.2743 * CHOOSE(CONTROL!$C$22, $C$13, 100%, $E$13)</f>
        <v>5.2743000000000002</v>
      </c>
      <c r="E332" s="64">
        <f>6.4775 * CHOOSE(CONTROL!$C$22, $C$13, 100%, $E$13)</f>
        <v>6.4775</v>
      </c>
      <c r="F332" s="64">
        <f>6.4775 * CHOOSE(CONTROL!$C$22, $C$13, 100%, $E$13)</f>
        <v>6.4775</v>
      </c>
      <c r="G332" s="64">
        <f>6.4776 * CHOOSE(CONTROL!$C$22, $C$13, 100%, $E$13)</f>
        <v>6.4775999999999998</v>
      </c>
      <c r="H332" s="64">
        <f>10.767* CHOOSE(CONTROL!$C$22, $C$13, 100%, $E$13)</f>
        <v>10.766999999999999</v>
      </c>
      <c r="I332" s="64">
        <f>10.7671 * CHOOSE(CONTROL!$C$22, $C$13, 100%, $E$13)</f>
        <v>10.767099999999999</v>
      </c>
      <c r="J332" s="64">
        <f>6.4775 * CHOOSE(CONTROL!$C$22, $C$13, 100%, $E$13)</f>
        <v>6.4775</v>
      </c>
      <c r="K332" s="64">
        <f>6.4776 * CHOOSE(CONTROL!$C$22, $C$13, 100%, $E$13)</f>
        <v>6.4775999999999998</v>
      </c>
    </row>
    <row r="333" spans="1:11" ht="15">
      <c r="A333" s="13">
        <v>51622</v>
      </c>
      <c r="B333" s="63">
        <f>5.2743 * CHOOSE(CONTROL!$C$22, $C$13, 100%, $E$13)</f>
        <v>5.2743000000000002</v>
      </c>
      <c r="C333" s="63">
        <f>5.2743 * CHOOSE(CONTROL!$C$22, $C$13, 100%, $E$13)</f>
        <v>5.2743000000000002</v>
      </c>
      <c r="D333" s="63">
        <f>5.2827 * CHOOSE(CONTROL!$C$22, $C$13, 100%, $E$13)</f>
        <v>5.2827000000000002</v>
      </c>
      <c r="E333" s="64">
        <f>6.5097 * CHOOSE(CONTROL!$C$22, $C$13, 100%, $E$13)</f>
        <v>6.5096999999999996</v>
      </c>
      <c r="F333" s="64">
        <f>6.5097 * CHOOSE(CONTROL!$C$22, $C$13, 100%, $E$13)</f>
        <v>6.5096999999999996</v>
      </c>
      <c r="G333" s="64">
        <f>6.5199 * CHOOSE(CONTROL!$C$22, $C$13, 100%, $E$13)</f>
        <v>6.5198999999999998</v>
      </c>
      <c r="H333" s="64">
        <f>10.7895* CHOOSE(CONTROL!$C$22, $C$13, 100%, $E$13)</f>
        <v>10.7895</v>
      </c>
      <c r="I333" s="64">
        <f>10.7997 * CHOOSE(CONTROL!$C$22, $C$13, 100%, $E$13)</f>
        <v>10.7997</v>
      </c>
      <c r="J333" s="64">
        <f>6.5097 * CHOOSE(CONTROL!$C$22, $C$13, 100%, $E$13)</f>
        <v>6.5096999999999996</v>
      </c>
      <c r="K333" s="64">
        <f>6.5199 * CHOOSE(CONTROL!$C$22, $C$13, 100%, $E$13)</f>
        <v>6.5198999999999998</v>
      </c>
    </row>
    <row r="334" spans="1:11" ht="15">
      <c r="A334" s="13">
        <v>51653</v>
      </c>
      <c r="B334" s="63">
        <f>5.2804 * CHOOSE(CONTROL!$C$22, $C$13, 100%, $E$13)</f>
        <v>5.2804000000000002</v>
      </c>
      <c r="C334" s="63">
        <f>5.2804 * CHOOSE(CONTROL!$C$22, $C$13, 100%, $E$13)</f>
        <v>5.2804000000000002</v>
      </c>
      <c r="D334" s="63">
        <f>5.2888 * CHOOSE(CONTROL!$C$22, $C$13, 100%, $E$13)</f>
        <v>5.2888000000000002</v>
      </c>
      <c r="E334" s="64">
        <f>6.4818 * CHOOSE(CONTROL!$C$22, $C$13, 100%, $E$13)</f>
        <v>6.4817999999999998</v>
      </c>
      <c r="F334" s="64">
        <f>6.4818 * CHOOSE(CONTROL!$C$22, $C$13, 100%, $E$13)</f>
        <v>6.4817999999999998</v>
      </c>
      <c r="G334" s="64">
        <f>6.492 * CHOOSE(CONTROL!$C$22, $C$13, 100%, $E$13)</f>
        <v>6.492</v>
      </c>
      <c r="H334" s="64">
        <f>10.812* CHOOSE(CONTROL!$C$22, $C$13, 100%, $E$13)</f>
        <v>10.811999999999999</v>
      </c>
      <c r="I334" s="64">
        <f>10.8222 * CHOOSE(CONTROL!$C$22, $C$13, 100%, $E$13)</f>
        <v>10.8222</v>
      </c>
      <c r="J334" s="64">
        <f>6.4818 * CHOOSE(CONTROL!$C$22, $C$13, 100%, $E$13)</f>
        <v>6.4817999999999998</v>
      </c>
      <c r="K334" s="64">
        <f>6.492 * CHOOSE(CONTROL!$C$22, $C$13, 100%, $E$13)</f>
        <v>6.492</v>
      </c>
    </row>
    <row r="335" spans="1:11" ht="15">
      <c r="A335" s="13">
        <v>51683</v>
      </c>
      <c r="B335" s="63">
        <f>5.3669 * CHOOSE(CONTROL!$C$22, $C$13, 100%, $E$13)</f>
        <v>5.3669000000000002</v>
      </c>
      <c r="C335" s="63">
        <f>5.3669 * CHOOSE(CONTROL!$C$22, $C$13, 100%, $E$13)</f>
        <v>5.3669000000000002</v>
      </c>
      <c r="D335" s="63">
        <f>5.3753 * CHOOSE(CONTROL!$C$22, $C$13, 100%, $E$13)</f>
        <v>5.3753000000000002</v>
      </c>
      <c r="E335" s="64">
        <f>6.5916 * CHOOSE(CONTROL!$C$22, $C$13, 100%, $E$13)</f>
        <v>6.5915999999999997</v>
      </c>
      <c r="F335" s="64">
        <f>6.5916 * CHOOSE(CONTROL!$C$22, $C$13, 100%, $E$13)</f>
        <v>6.5915999999999997</v>
      </c>
      <c r="G335" s="64">
        <f>6.6018 * CHOOSE(CONTROL!$C$22, $C$13, 100%, $E$13)</f>
        <v>6.6017999999999999</v>
      </c>
      <c r="H335" s="64">
        <f>10.8345* CHOOSE(CONTROL!$C$22, $C$13, 100%, $E$13)</f>
        <v>10.8345</v>
      </c>
      <c r="I335" s="64">
        <f>10.8447 * CHOOSE(CONTROL!$C$22, $C$13, 100%, $E$13)</f>
        <v>10.8447</v>
      </c>
      <c r="J335" s="64">
        <f>6.5916 * CHOOSE(CONTROL!$C$22, $C$13, 100%, $E$13)</f>
        <v>6.5915999999999997</v>
      </c>
      <c r="K335" s="64">
        <f>6.6018 * CHOOSE(CONTROL!$C$22, $C$13, 100%, $E$13)</f>
        <v>6.6017999999999999</v>
      </c>
    </row>
    <row r="336" spans="1:11" ht="15">
      <c r="A336" s="13">
        <v>51714</v>
      </c>
      <c r="B336" s="63">
        <f>5.3736 * CHOOSE(CONTROL!$C$22, $C$13, 100%, $E$13)</f>
        <v>5.3735999999999997</v>
      </c>
      <c r="C336" s="63">
        <f>5.3736 * CHOOSE(CONTROL!$C$22, $C$13, 100%, $E$13)</f>
        <v>5.3735999999999997</v>
      </c>
      <c r="D336" s="63">
        <f>5.382 * CHOOSE(CONTROL!$C$22, $C$13, 100%, $E$13)</f>
        <v>5.3819999999999997</v>
      </c>
      <c r="E336" s="64">
        <f>6.4999 * CHOOSE(CONTROL!$C$22, $C$13, 100%, $E$13)</f>
        <v>6.4999000000000002</v>
      </c>
      <c r="F336" s="64">
        <f>6.4999 * CHOOSE(CONTROL!$C$22, $C$13, 100%, $E$13)</f>
        <v>6.4999000000000002</v>
      </c>
      <c r="G336" s="64">
        <f>6.5101 * CHOOSE(CONTROL!$C$22, $C$13, 100%, $E$13)</f>
        <v>6.5101000000000004</v>
      </c>
      <c r="H336" s="64">
        <f>10.8571* CHOOSE(CONTROL!$C$22, $C$13, 100%, $E$13)</f>
        <v>10.857100000000001</v>
      </c>
      <c r="I336" s="64">
        <f>10.8673 * CHOOSE(CONTROL!$C$22, $C$13, 100%, $E$13)</f>
        <v>10.8673</v>
      </c>
      <c r="J336" s="64">
        <f>6.4999 * CHOOSE(CONTROL!$C$22, $C$13, 100%, $E$13)</f>
        <v>6.4999000000000002</v>
      </c>
      <c r="K336" s="64">
        <f>6.5101 * CHOOSE(CONTROL!$C$22, $C$13, 100%, $E$13)</f>
        <v>6.5101000000000004</v>
      </c>
    </row>
    <row r="337" spans="1:11" ht="15">
      <c r="A337" s="13">
        <v>51745</v>
      </c>
      <c r="B337" s="63">
        <f>5.3705 * CHOOSE(CONTROL!$C$22, $C$13, 100%, $E$13)</f>
        <v>5.3704999999999998</v>
      </c>
      <c r="C337" s="63">
        <f>5.3705 * CHOOSE(CONTROL!$C$22, $C$13, 100%, $E$13)</f>
        <v>5.3704999999999998</v>
      </c>
      <c r="D337" s="63">
        <f>5.3789 * CHOOSE(CONTROL!$C$22, $C$13, 100%, $E$13)</f>
        <v>5.3788999999999998</v>
      </c>
      <c r="E337" s="64">
        <f>6.4871 * CHOOSE(CONTROL!$C$22, $C$13, 100%, $E$13)</f>
        <v>6.4870999999999999</v>
      </c>
      <c r="F337" s="64">
        <f>6.4871 * CHOOSE(CONTROL!$C$22, $C$13, 100%, $E$13)</f>
        <v>6.4870999999999999</v>
      </c>
      <c r="G337" s="64">
        <f>6.4973 * CHOOSE(CONTROL!$C$22, $C$13, 100%, $E$13)</f>
        <v>6.4973000000000001</v>
      </c>
      <c r="H337" s="64">
        <f>10.8797* CHOOSE(CONTROL!$C$22, $C$13, 100%, $E$13)</f>
        <v>10.8797</v>
      </c>
      <c r="I337" s="64">
        <f>10.8899 * CHOOSE(CONTROL!$C$22, $C$13, 100%, $E$13)</f>
        <v>10.889900000000001</v>
      </c>
      <c r="J337" s="64">
        <f>6.4871 * CHOOSE(CONTROL!$C$22, $C$13, 100%, $E$13)</f>
        <v>6.4870999999999999</v>
      </c>
      <c r="K337" s="64">
        <f>6.4973 * CHOOSE(CONTROL!$C$22, $C$13, 100%, $E$13)</f>
        <v>6.4973000000000001</v>
      </c>
    </row>
    <row r="338" spans="1:11" ht="15">
      <c r="A338" s="13">
        <v>51775</v>
      </c>
      <c r="B338" s="63">
        <f>5.3701 * CHOOSE(CONTROL!$C$22, $C$13, 100%, $E$13)</f>
        <v>5.3700999999999999</v>
      </c>
      <c r="C338" s="63">
        <f>5.3701 * CHOOSE(CONTROL!$C$22, $C$13, 100%, $E$13)</f>
        <v>5.3700999999999999</v>
      </c>
      <c r="D338" s="63">
        <f>5.3701 * CHOOSE(CONTROL!$C$22, $C$13, 100%, $E$13)</f>
        <v>5.3700999999999999</v>
      </c>
      <c r="E338" s="64">
        <f>6.5165 * CHOOSE(CONTROL!$C$22, $C$13, 100%, $E$13)</f>
        <v>6.5164999999999997</v>
      </c>
      <c r="F338" s="64">
        <f>6.5165 * CHOOSE(CONTROL!$C$22, $C$13, 100%, $E$13)</f>
        <v>6.5164999999999997</v>
      </c>
      <c r="G338" s="64">
        <f>6.5166 * CHOOSE(CONTROL!$C$22, $C$13, 100%, $E$13)</f>
        <v>6.5166000000000004</v>
      </c>
      <c r="H338" s="64">
        <f>10.9023* CHOOSE(CONTROL!$C$22, $C$13, 100%, $E$13)</f>
        <v>10.9023</v>
      </c>
      <c r="I338" s="64">
        <f>10.9024 * CHOOSE(CONTROL!$C$22, $C$13, 100%, $E$13)</f>
        <v>10.9024</v>
      </c>
      <c r="J338" s="64">
        <f>6.5165 * CHOOSE(CONTROL!$C$22, $C$13, 100%, $E$13)</f>
        <v>6.5164999999999997</v>
      </c>
      <c r="K338" s="64">
        <f>6.5166 * CHOOSE(CONTROL!$C$22, $C$13, 100%, $E$13)</f>
        <v>6.5166000000000004</v>
      </c>
    </row>
    <row r="339" spans="1:11" ht="15">
      <c r="A339" s="13">
        <v>51806</v>
      </c>
      <c r="B339" s="63">
        <f>5.3732 * CHOOSE(CONTROL!$C$22, $C$13, 100%, $E$13)</f>
        <v>5.3731999999999998</v>
      </c>
      <c r="C339" s="63">
        <f>5.3732 * CHOOSE(CONTROL!$C$22, $C$13, 100%, $E$13)</f>
        <v>5.3731999999999998</v>
      </c>
      <c r="D339" s="63">
        <f>5.3732 * CHOOSE(CONTROL!$C$22, $C$13, 100%, $E$13)</f>
        <v>5.3731999999999998</v>
      </c>
      <c r="E339" s="64">
        <f>6.54 * CHOOSE(CONTROL!$C$22, $C$13, 100%, $E$13)</f>
        <v>6.54</v>
      </c>
      <c r="F339" s="64">
        <f>6.54 * CHOOSE(CONTROL!$C$22, $C$13, 100%, $E$13)</f>
        <v>6.54</v>
      </c>
      <c r="G339" s="64">
        <f>6.5401 * CHOOSE(CONTROL!$C$22, $C$13, 100%, $E$13)</f>
        <v>6.5400999999999998</v>
      </c>
      <c r="H339" s="64">
        <f>10.9251* CHOOSE(CONTROL!$C$22, $C$13, 100%, $E$13)</f>
        <v>10.9251</v>
      </c>
      <c r="I339" s="64">
        <f>10.9251 * CHOOSE(CONTROL!$C$22, $C$13, 100%, $E$13)</f>
        <v>10.9251</v>
      </c>
      <c r="J339" s="64">
        <f>6.54 * CHOOSE(CONTROL!$C$22, $C$13, 100%, $E$13)</f>
        <v>6.54</v>
      </c>
      <c r="K339" s="64">
        <f>6.5401 * CHOOSE(CONTROL!$C$22, $C$13, 100%, $E$13)</f>
        <v>6.5400999999999998</v>
      </c>
    </row>
    <row r="340" spans="1:11" ht="15">
      <c r="A340" s="13">
        <v>51836</v>
      </c>
      <c r="B340" s="63">
        <f>5.3732 * CHOOSE(CONTROL!$C$22, $C$13, 100%, $E$13)</f>
        <v>5.3731999999999998</v>
      </c>
      <c r="C340" s="63">
        <f>5.3732 * CHOOSE(CONTROL!$C$22, $C$13, 100%, $E$13)</f>
        <v>5.3731999999999998</v>
      </c>
      <c r="D340" s="63">
        <f>5.3732 * CHOOSE(CONTROL!$C$22, $C$13, 100%, $E$13)</f>
        <v>5.3731999999999998</v>
      </c>
      <c r="E340" s="64">
        <f>6.4865 * CHOOSE(CONTROL!$C$22, $C$13, 100%, $E$13)</f>
        <v>6.4865000000000004</v>
      </c>
      <c r="F340" s="64">
        <f>6.4865 * CHOOSE(CONTROL!$C$22, $C$13, 100%, $E$13)</f>
        <v>6.4865000000000004</v>
      </c>
      <c r="G340" s="64">
        <f>6.4866 * CHOOSE(CONTROL!$C$22, $C$13, 100%, $E$13)</f>
        <v>6.4866000000000001</v>
      </c>
      <c r="H340" s="64">
        <f>10.9478* CHOOSE(CONTROL!$C$22, $C$13, 100%, $E$13)</f>
        <v>10.947800000000001</v>
      </c>
      <c r="I340" s="64">
        <f>10.9479 * CHOOSE(CONTROL!$C$22, $C$13, 100%, $E$13)</f>
        <v>10.947900000000001</v>
      </c>
      <c r="J340" s="64">
        <f>6.4865 * CHOOSE(CONTROL!$C$22, $C$13, 100%, $E$13)</f>
        <v>6.4865000000000004</v>
      </c>
      <c r="K340" s="64">
        <f>6.4866 * CHOOSE(CONTROL!$C$22, $C$13, 100%, $E$13)</f>
        <v>6.4866000000000001</v>
      </c>
    </row>
    <row r="341" spans="1:11" ht="15">
      <c r="A341" s="13">
        <v>51867</v>
      </c>
      <c r="B341" s="63">
        <f>5.4207 * CHOOSE(CONTROL!$C$22, $C$13, 100%, $E$13)</f>
        <v>5.4207000000000001</v>
      </c>
      <c r="C341" s="63">
        <f>5.4207 * CHOOSE(CONTROL!$C$22, $C$13, 100%, $E$13)</f>
        <v>5.4207000000000001</v>
      </c>
      <c r="D341" s="63">
        <f>5.4207 * CHOOSE(CONTROL!$C$22, $C$13, 100%, $E$13)</f>
        <v>5.4207000000000001</v>
      </c>
      <c r="E341" s="64">
        <f>6.5785 * CHOOSE(CONTROL!$C$22, $C$13, 100%, $E$13)</f>
        <v>6.5785</v>
      </c>
      <c r="F341" s="64">
        <f>6.5785 * CHOOSE(CONTROL!$C$22, $C$13, 100%, $E$13)</f>
        <v>6.5785</v>
      </c>
      <c r="G341" s="64">
        <f>6.5786 * CHOOSE(CONTROL!$C$22, $C$13, 100%, $E$13)</f>
        <v>6.5785999999999998</v>
      </c>
      <c r="H341" s="64">
        <f>10.9706* CHOOSE(CONTROL!$C$22, $C$13, 100%, $E$13)</f>
        <v>10.970599999999999</v>
      </c>
      <c r="I341" s="64">
        <f>10.9707 * CHOOSE(CONTROL!$C$22, $C$13, 100%, $E$13)</f>
        <v>10.970700000000001</v>
      </c>
      <c r="J341" s="64">
        <f>6.5785 * CHOOSE(CONTROL!$C$22, $C$13, 100%, $E$13)</f>
        <v>6.5785</v>
      </c>
      <c r="K341" s="64">
        <f>6.5786 * CHOOSE(CONTROL!$C$22, $C$13, 100%, $E$13)</f>
        <v>6.5785999999999998</v>
      </c>
    </row>
    <row r="342" spans="1:11" ht="15">
      <c r="A342" s="13">
        <v>51898</v>
      </c>
      <c r="B342" s="63">
        <f>5.4177 * CHOOSE(CONTROL!$C$22, $C$13, 100%, $E$13)</f>
        <v>5.4177</v>
      </c>
      <c r="C342" s="63">
        <f>5.4177 * CHOOSE(CONTROL!$C$22, $C$13, 100%, $E$13)</f>
        <v>5.4177</v>
      </c>
      <c r="D342" s="63">
        <f>5.4177 * CHOOSE(CONTROL!$C$22, $C$13, 100%, $E$13)</f>
        <v>5.4177</v>
      </c>
      <c r="E342" s="64">
        <f>6.4724 * CHOOSE(CONTROL!$C$22, $C$13, 100%, $E$13)</f>
        <v>6.4724000000000004</v>
      </c>
      <c r="F342" s="64">
        <f>6.4724 * CHOOSE(CONTROL!$C$22, $C$13, 100%, $E$13)</f>
        <v>6.4724000000000004</v>
      </c>
      <c r="G342" s="64">
        <f>6.4725 * CHOOSE(CONTROL!$C$22, $C$13, 100%, $E$13)</f>
        <v>6.4725000000000001</v>
      </c>
      <c r="H342" s="64">
        <f>10.9935* CHOOSE(CONTROL!$C$22, $C$13, 100%, $E$13)</f>
        <v>10.993499999999999</v>
      </c>
      <c r="I342" s="64">
        <f>10.9936 * CHOOSE(CONTROL!$C$22, $C$13, 100%, $E$13)</f>
        <v>10.993600000000001</v>
      </c>
      <c r="J342" s="64">
        <f>6.4724 * CHOOSE(CONTROL!$C$22, $C$13, 100%, $E$13)</f>
        <v>6.4724000000000004</v>
      </c>
      <c r="K342" s="64">
        <f>6.4725 * CHOOSE(CONTROL!$C$22, $C$13, 100%, $E$13)</f>
        <v>6.4725000000000001</v>
      </c>
    </row>
    <row r="343" spans="1:11" ht="15">
      <c r="A343" s="13">
        <v>51926</v>
      </c>
      <c r="B343" s="63">
        <f>5.4147 * CHOOSE(CONTROL!$C$22, $C$13, 100%, $E$13)</f>
        <v>5.4146999999999998</v>
      </c>
      <c r="C343" s="63">
        <f>5.4147 * CHOOSE(CONTROL!$C$22, $C$13, 100%, $E$13)</f>
        <v>5.4146999999999998</v>
      </c>
      <c r="D343" s="63">
        <f>5.4147 * CHOOSE(CONTROL!$C$22, $C$13, 100%, $E$13)</f>
        <v>5.4146999999999998</v>
      </c>
      <c r="E343" s="64">
        <f>6.5523 * CHOOSE(CONTROL!$C$22, $C$13, 100%, $E$13)</f>
        <v>6.5522999999999998</v>
      </c>
      <c r="F343" s="64">
        <f>6.5523 * CHOOSE(CONTROL!$C$22, $C$13, 100%, $E$13)</f>
        <v>6.5522999999999998</v>
      </c>
      <c r="G343" s="64">
        <f>6.5523 * CHOOSE(CONTROL!$C$22, $C$13, 100%, $E$13)</f>
        <v>6.5522999999999998</v>
      </c>
      <c r="H343" s="64">
        <f>11.0164* CHOOSE(CONTROL!$C$22, $C$13, 100%, $E$13)</f>
        <v>11.016400000000001</v>
      </c>
      <c r="I343" s="64">
        <f>11.0165 * CHOOSE(CONTROL!$C$22, $C$13, 100%, $E$13)</f>
        <v>11.016500000000001</v>
      </c>
      <c r="J343" s="64">
        <f>6.5523 * CHOOSE(CONTROL!$C$22, $C$13, 100%, $E$13)</f>
        <v>6.5522999999999998</v>
      </c>
      <c r="K343" s="64">
        <f>6.5523 * CHOOSE(CONTROL!$C$22, $C$13, 100%, $E$13)</f>
        <v>6.5522999999999998</v>
      </c>
    </row>
    <row r="344" spans="1:11" ht="15">
      <c r="A344" s="13">
        <v>51957</v>
      </c>
      <c r="B344" s="63">
        <f>5.4135 * CHOOSE(CONTROL!$C$22, $C$13, 100%, $E$13)</f>
        <v>5.4135</v>
      </c>
      <c r="C344" s="63">
        <f>5.4135 * CHOOSE(CONTROL!$C$22, $C$13, 100%, $E$13)</f>
        <v>5.4135</v>
      </c>
      <c r="D344" s="63">
        <f>5.4135 * CHOOSE(CONTROL!$C$22, $C$13, 100%, $E$13)</f>
        <v>5.4135</v>
      </c>
      <c r="E344" s="64">
        <f>6.6361 * CHOOSE(CONTROL!$C$22, $C$13, 100%, $E$13)</f>
        <v>6.6360999999999999</v>
      </c>
      <c r="F344" s="64">
        <f>6.6361 * CHOOSE(CONTROL!$C$22, $C$13, 100%, $E$13)</f>
        <v>6.6360999999999999</v>
      </c>
      <c r="G344" s="64">
        <f>6.6362 * CHOOSE(CONTROL!$C$22, $C$13, 100%, $E$13)</f>
        <v>6.6361999999999997</v>
      </c>
      <c r="H344" s="64">
        <f>11.0393* CHOOSE(CONTROL!$C$22, $C$13, 100%, $E$13)</f>
        <v>11.039300000000001</v>
      </c>
      <c r="I344" s="64">
        <f>11.0394 * CHOOSE(CONTROL!$C$22, $C$13, 100%, $E$13)</f>
        <v>11.039400000000001</v>
      </c>
      <c r="J344" s="64">
        <f>6.6361 * CHOOSE(CONTROL!$C$22, $C$13, 100%, $E$13)</f>
        <v>6.6360999999999999</v>
      </c>
      <c r="K344" s="64">
        <f>6.6362 * CHOOSE(CONTROL!$C$22, $C$13, 100%, $E$13)</f>
        <v>6.6361999999999997</v>
      </c>
    </row>
    <row r="345" spans="1:11" ht="15">
      <c r="A345" s="13">
        <v>51987</v>
      </c>
      <c r="B345" s="63">
        <f>5.4135 * CHOOSE(CONTROL!$C$22, $C$13, 100%, $E$13)</f>
        <v>5.4135</v>
      </c>
      <c r="C345" s="63">
        <f>5.4135 * CHOOSE(CONTROL!$C$22, $C$13, 100%, $E$13)</f>
        <v>5.4135</v>
      </c>
      <c r="D345" s="63">
        <f>5.422 * CHOOSE(CONTROL!$C$22, $C$13, 100%, $E$13)</f>
        <v>5.4219999999999997</v>
      </c>
      <c r="E345" s="64">
        <f>6.6691 * CHOOSE(CONTROL!$C$22, $C$13, 100%, $E$13)</f>
        <v>6.6691000000000003</v>
      </c>
      <c r="F345" s="64">
        <f>6.6691 * CHOOSE(CONTROL!$C$22, $C$13, 100%, $E$13)</f>
        <v>6.6691000000000003</v>
      </c>
      <c r="G345" s="64">
        <f>6.6793 * CHOOSE(CONTROL!$C$22, $C$13, 100%, $E$13)</f>
        <v>6.6792999999999996</v>
      </c>
      <c r="H345" s="64">
        <f>11.0623* CHOOSE(CONTROL!$C$22, $C$13, 100%, $E$13)</f>
        <v>11.0623</v>
      </c>
      <c r="I345" s="64">
        <f>11.0725 * CHOOSE(CONTROL!$C$22, $C$13, 100%, $E$13)</f>
        <v>11.0725</v>
      </c>
      <c r="J345" s="64">
        <f>6.6691 * CHOOSE(CONTROL!$C$22, $C$13, 100%, $E$13)</f>
        <v>6.6691000000000003</v>
      </c>
      <c r="K345" s="64">
        <f>6.6793 * CHOOSE(CONTROL!$C$22, $C$13, 100%, $E$13)</f>
        <v>6.6792999999999996</v>
      </c>
    </row>
    <row r="346" spans="1:11" ht="15">
      <c r="A346" s="13">
        <v>52018</v>
      </c>
      <c r="B346" s="63">
        <f>5.4196 * CHOOSE(CONTROL!$C$22, $C$13, 100%, $E$13)</f>
        <v>5.4196</v>
      </c>
      <c r="C346" s="63">
        <f>5.4196 * CHOOSE(CONTROL!$C$22, $C$13, 100%, $E$13)</f>
        <v>5.4196</v>
      </c>
      <c r="D346" s="63">
        <f>5.428 * CHOOSE(CONTROL!$C$22, $C$13, 100%, $E$13)</f>
        <v>5.4279999999999999</v>
      </c>
      <c r="E346" s="64">
        <f>6.6403 * CHOOSE(CONTROL!$C$22, $C$13, 100%, $E$13)</f>
        <v>6.6402999999999999</v>
      </c>
      <c r="F346" s="64">
        <f>6.6403 * CHOOSE(CONTROL!$C$22, $C$13, 100%, $E$13)</f>
        <v>6.6402999999999999</v>
      </c>
      <c r="G346" s="64">
        <f>6.6505 * CHOOSE(CONTROL!$C$22, $C$13, 100%, $E$13)</f>
        <v>6.6505000000000001</v>
      </c>
      <c r="H346" s="64">
        <f>11.0854* CHOOSE(CONTROL!$C$22, $C$13, 100%, $E$13)</f>
        <v>11.0854</v>
      </c>
      <c r="I346" s="64">
        <f>11.0956 * CHOOSE(CONTROL!$C$22, $C$13, 100%, $E$13)</f>
        <v>11.095599999999999</v>
      </c>
      <c r="J346" s="64">
        <f>6.6403 * CHOOSE(CONTROL!$C$22, $C$13, 100%, $E$13)</f>
        <v>6.6402999999999999</v>
      </c>
      <c r="K346" s="64">
        <f>6.6505 * CHOOSE(CONTROL!$C$22, $C$13, 100%, $E$13)</f>
        <v>6.6505000000000001</v>
      </c>
    </row>
    <row r="347" spans="1:11" ht="15">
      <c r="A347" s="13">
        <v>52048</v>
      </c>
      <c r="B347" s="63">
        <f>5.5082 * CHOOSE(CONTROL!$C$22, $C$13, 100%, $E$13)</f>
        <v>5.5082000000000004</v>
      </c>
      <c r="C347" s="63">
        <f>5.5082 * CHOOSE(CONTROL!$C$22, $C$13, 100%, $E$13)</f>
        <v>5.5082000000000004</v>
      </c>
      <c r="D347" s="63">
        <f>5.5166 * CHOOSE(CONTROL!$C$22, $C$13, 100%, $E$13)</f>
        <v>5.5166000000000004</v>
      </c>
      <c r="E347" s="64">
        <f>6.7527 * CHOOSE(CONTROL!$C$22, $C$13, 100%, $E$13)</f>
        <v>6.7526999999999999</v>
      </c>
      <c r="F347" s="64">
        <f>6.7527 * CHOOSE(CONTROL!$C$22, $C$13, 100%, $E$13)</f>
        <v>6.7526999999999999</v>
      </c>
      <c r="G347" s="64">
        <f>6.7629 * CHOOSE(CONTROL!$C$22, $C$13, 100%, $E$13)</f>
        <v>6.7629000000000001</v>
      </c>
      <c r="H347" s="64">
        <f>11.1085* CHOOSE(CONTROL!$C$22, $C$13, 100%, $E$13)</f>
        <v>11.108499999999999</v>
      </c>
      <c r="I347" s="64">
        <f>11.1187 * CHOOSE(CONTROL!$C$22, $C$13, 100%, $E$13)</f>
        <v>11.1187</v>
      </c>
      <c r="J347" s="64">
        <f>6.7527 * CHOOSE(CONTROL!$C$22, $C$13, 100%, $E$13)</f>
        <v>6.7526999999999999</v>
      </c>
      <c r="K347" s="64">
        <f>6.7629 * CHOOSE(CONTROL!$C$22, $C$13, 100%, $E$13)</f>
        <v>6.7629000000000001</v>
      </c>
    </row>
    <row r="348" spans="1:11" ht="15">
      <c r="A348" s="13">
        <v>52079</v>
      </c>
      <c r="B348" s="63">
        <f>5.5149 * CHOOSE(CONTROL!$C$22, $C$13, 100%, $E$13)</f>
        <v>5.5148999999999999</v>
      </c>
      <c r="C348" s="63">
        <f>5.5149 * CHOOSE(CONTROL!$C$22, $C$13, 100%, $E$13)</f>
        <v>5.5148999999999999</v>
      </c>
      <c r="D348" s="63">
        <f>5.5233 * CHOOSE(CONTROL!$C$22, $C$13, 100%, $E$13)</f>
        <v>5.5232999999999999</v>
      </c>
      <c r="E348" s="64">
        <f>6.6583 * CHOOSE(CONTROL!$C$22, $C$13, 100%, $E$13)</f>
        <v>6.6582999999999997</v>
      </c>
      <c r="F348" s="64">
        <f>6.6583 * CHOOSE(CONTROL!$C$22, $C$13, 100%, $E$13)</f>
        <v>6.6582999999999997</v>
      </c>
      <c r="G348" s="64">
        <f>6.6685 * CHOOSE(CONTROL!$C$22, $C$13, 100%, $E$13)</f>
        <v>6.6684999999999999</v>
      </c>
      <c r="H348" s="64">
        <f>11.1316* CHOOSE(CONTROL!$C$22, $C$13, 100%, $E$13)</f>
        <v>11.131600000000001</v>
      </c>
      <c r="I348" s="64">
        <f>11.1418 * CHOOSE(CONTROL!$C$22, $C$13, 100%, $E$13)</f>
        <v>11.1418</v>
      </c>
      <c r="J348" s="64">
        <f>6.6583 * CHOOSE(CONTROL!$C$22, $C$13, 100%, $E$13)</f>
        <v>6.6582999999999997</v>
      </c>
      <c r="K348" s="64">
        <f>6.6685 * CHOOSE(CONTROL!$C$22, $C$13, 100%, $E$13)</f>
        <v>6.6684999999999999</v>
      </c>
    </row>
    <row r="349" spans="1:11" ht="15">
      <c r="A349" s="13">
        <v>52110</v>
      </c>
      <c r="B349" s="63">
        <f>5.5119 * CHOOSE(CONTROL!$C$22, $C$13, 100%, $E$13)</f>
        <v>5.5118999999999998</v>
      </c>
      <c r="C349" s="63">
        <f>5.5119 * CHOOSE(CONTROL!$C$22, $C$13, 100%, $E$13)</f>
        <v>5.5118999999999998</v>
      </c>
      <c r="D349" s="63">
        <f>5.5203 * CHOOSE(CONTROL!$C$22, $C$13, 100%, $E$13)</f>
        <v>5.5202999999999998</v>
      </c>
      <c r="E349" s="64">
        <f>6.6452 * CHOOSE(CONTROL!$C$22, $C$13, 100%, $E$13)</f>
        <v>6.6452</v>
      </c>
      <c r="F349" s="64">
        <f>6.6452 * CHOOSE(CONTROL!$C$22, $C$13, 100%, $E$13)</f>
        <v>6.6452</v>
      </c>
      <c r="G349" s="64">
        <f>6.6554 * CHOOSE(CONTROL!$C$22, $C$13, 100%, $E$13)</f>
        <v>6.6554000000000002</v>
      </c>
      <c r="H349" s="64">
        <f>11.1548* CHOOSE(CONTROL!$C$22, $C$13, 100%, $E$13)</f>
        <v>11.1548</v>
      </c>
      <c r="I349" s="64">
        <f>11.165 * CHOOSE(CONTROL!$C$22, $C$13, 100%, $E$13)</f>
        <v>11.164999999999999</v>
      </c>
      <c r="J349" s="64">
        <f>6.6452 * CHOOSE(CONTROL!$C$22, $C$13, 100%, $E$13)</f>
        <v>6.6452</v>
      </c>
      <c r="K349" s="64">
        <f>6.6554 * CHOOSE(CONTROL!$C$22, $C$13, 100%, $E$13)</f>
        <v>6.6554000000000002</v>
      </c>
    </row>
    <row r="350" spans="1:11" ht="15">
      <c r="A350" s="13">
        <v>52140</v>
      </c>
      <c r="B350" s="63">
        <f>5.5119 * CHOOSE(CONTROL!$C$22, $C$13, 100%, $E$13)</f>
        <v>5.5118999999999998</v>
      </c>
      <c r="C350" s="63">
        <f>5.5119 * CHOOSE(CONTROL!$C$22, $C$13, 100%, $E$13)</f>
        <v>5.5118999999999998</v>
      </c>
      <c r="D350" s="63">
        <f>5.5119 * CHOOSE(CONTROL!$C$22, $C$13, 100%, $E$13)</f>
        <v>5.5118999999999998</v>
      </c>
      <c r="E350" s="64">
        <f>6.6758 * CHOOSE(CONTROL!$C$22, $C$13, 100%, $E$13)</f>
        <v>6.6757999999999997</v>
      </c>
      <c r="F350" s="64">
        <f>6.6758 * CHOOSE(CONTROL!$C$22, $C$13, 100%, $E$13)</f>
        <v>6.6757999999999997</v>
      </c>
      <c r="G350" s="64">
        <f>6.6759 * CHOOSE(CONTROL!$C$22, $C$13, 100%, $E$13)</f>
        <v>6.6759000000000004</v>
      </c>
      <c r="H350" s="64">
        <f>11.178* CHOOSE(CONTROL!$C$22, $C$13, 100%, $E$13)</f>
        <v>11.178000000000001</v>
      </c>
      <c r="I350" s="64">
        <f>11.1781 * CHOOSE(CONTROL!$C$22, $C$13, 100%, $E$13)</f>
        <v>11.178100000000001</v>
      </c>
      <c r="J350" s="64">
        <f>6.6758 * CHOOSE(CONTROL!$C$22, $C$13, 100%, $E$13)</f>
        <v>6.6757999999999997</v>
      </c>
      <c r="K350" s="64">
        <f>6.6759 * CHOOSE(CONTROL!$C$22, $C$13, 100%, $E$13)</f>
        <v>6.6759000000000004</v>
      </c>
    </row>
    <row r="351" spans="1:11" ht="15">
      <c r="A351" s="13">
        <v>52171</v>
      </c>
      <c r="B351" s="63">
        <f>5.515 * CHOOSE(CONTROL!$C$22, $C$13, 100%, $E$13)</f>
        <v>5.5149999999999997</v>
      </c>
      <c r="C351" s="63">
        <f>5.515 * CHOOSE(CONTROL!$C$22, $C$13, 100%, $E$13)</f>
        <v>5.5149999999999997</v>
      </c>
      <c r="D351" s="63">
        <f>5.515 * CHOOSE(CONTROL!$C$22, $C$13, 100%, $E$13)</f>
        <v>5.5149999999999997</v>
      </c>
      <c r="E351" s="64">
        <f>6.6999 * CHOOSE(CONTROL!$C$22, $C$13, 100%, $E$13)</f>
        <v>6.6999000000000004</v>
      </c>
      <c r="F351" s="64">
        <f>6.6999 * CHOOSE(CONTROL!$C$22, $C$13, 100%, $E$13)</f>
        <v>6.6999000000000004</v>
      </c>
      <c r="G351" s="64">
        <f>6.7 * CHOOSE(CONTROL!$C$22, $C$13, 100%, $E$13)</f>
        <v>6.7</v>
      </c>
      <c r="H351" s="64">
        <f>11.2013* CHOOSE(CONTROL!$C$22, $C$13, 100%, $E$13)</f>
        <v>11.2013</v>
      </c>
      <c r="I351" s="64">
        <f>11.2014 * CHOOSE(CONTROL!$C$22, $C$13, 100%, $E$13)</f>
        <v>11.2014</v>
      </c>
      <c r="J351" s="64">
        <f>6.6999 * CHOOSE(CONTROL!$C$22, $C$13, 100%, $E$13)</f>
        <v>6.6999000000000004</v>
      </c>
      <c r="K351" s="64">
        <f>6.7 * CHOOSE(CONTROL!$C$22, $C$13, 100%, $E$13)</f>
        <v>6.7</v>
      </c>
    </row>
    <row r="352" spans="1:11" ht="15">
      <c r="A352" s="13">
        <v>52201</v>
      </c>
      <c r="B352" s="63">
        <f>5.515 * CHOOSE(CONTROL!$C$22, $C$13, 100%, $E$13)</f>
        <v>5.5149999999999997</v>
      </c>
      <c r="C352" s="63">
        <f>5.515 * CHOOSE(CONTROL!$C$22, $C$13, 100%, $E$13)</f>
        <v>5.5149999999999997</v>
      </c>
      <c r="D352" s="63">
        <f>5.515 * CHOOSE(CONTROL!$C$22, $C$13, 100%, $E$13)</f>
        <v>5.5149999999999997</v>
      </c>
      <c r="E352" s="64">
        <f>6.6449 * CHOOSE(CONTROL!$C$22, $C$13, 100%, $E$13)</f>
        <v>6.6448999999999998</v>
      </c>
      <c r="F352" s="64">
        <f>6.6449 * CHOOSE(CONTROL!$C$22, $C$13, 100%, $E$13)</f>
        <v>6.6448999999999998</v>
      </c>
      <c r="G352" s="64">
        <f>6.645 * CHOOSE(CONTROL!$C$22, $C$13, 100%, $E$13)</f>
        <v>6.6449999999999996</v>
      </c>
      <c r="H352" s="64">
        <f>11.2247* CHOOSE(CONTROL!$C$22, $C$13, 100%, $E$13)</f>
        <v>11.2247</v>
      </c>
      <c r="I352" s="64">
        <f>11.2247 * CHOOSE(CONTROL!$C$22, $C$13, 100%, $E$13)</f>
        <v>11.2247</v>
      </c>
      <c r="J352" s="64">
        <f>6.6449 * CHOOSE(CONTROL!$C$22, $C$13, 100%, $E$13)</f>
        <v>6.6448999999999998</v>
      </c>
      <c r="K352" s="64">
        <f>6.645 * CHOOSE(CONTROL!$C$22, $C$13, 100%, $E$13)</f>
        <v>6.6449999999999996</v>
      </c>
    </row>
    <row r="353" spans="1:11" ht="15">
      <c r="A353" s="13">
        <v>52232</v>
      </c>
      <c r="B353" s="63">
        <f>5.5637 * CHOOSE(CONTROL!$C$22, $C$13, 100%, $E$13)</f>
        <v>5.5636999999999999</v>
      </c>
      <c r="C353" s="63">
        <f>5.5637 * CHOOSE(CONTROL!$C$22, $C$13, 100%, $E$13)</f>
        <v>5.5636999999999999</v>
      </c>
      <c r="D353" s="63">
        <f>5.5637 * CHOOSE(CONTROL!$C$22, $C$13, 100%, $E$13)</f>
        <v>5.5636999999999999</v>
      </c>
      <c r="E353" s="64">
        <f>6.7392 * CHOOSE(CONTROL!$C$22, $C$13, 100%, $E$13)</f>
        <v>6.7392000000000003</v>
      </c>
      <c r="F353" s="64">
        <f>6.7392 * CHOOSE(CONTROL!$C$22, $C$13, 100%, $E$13)</f>
        <v>6.7392000000000003</v>
      </c>
      <c r="G353" s="64">
        <f>6.7393 * CHOOSE(CONTROL!$C$22, $C$13, 100%, $E$13)</f>
        <v>6.7393000000000001</v>
      </c>
      <c r="H353" s="64">
        <f>11.2481* CHOOSE(CONTROL!$C$22, $C$13, 100%, $E$13)</f>
        <v>11.248100000000001</v>
      </c>
      <c r="I353" s="64">
        <f>11.2481 * CHOOSE(CONTROL!$C$22, $C$13, 100%, $E$13)</f>
        <v>11.248100000000001</v>
      </c>
      <c r="J353" s="64">
        <f>6.7392 * CHOOSE(CONTROL!$C$22, $C$13, 100%, $E$13)</f>
        <v>6.7392000000000003</v>
      </c>
      <c r="K353" s="64">
        <f>6.7393 * CHOOSE(CONTROL!$C$22, $C$13, 100%, $E$13)</f>
        <v>6.7393000000000001</v>
      </c>
    </row>
    <row r="354" spans="1:11" ht="15">
      <c r="A354" s="13">
        <v>52263</v>
      </c>
      <c r="B354" s="63">
        <f>5.5606 * CHOOSE(CONTROL!$C$22, $C$13, 100%, $E$13)</f>
        <v>5.5606</v>
      </c>
      <c r="C354" s="63">
        <f>5.5606 * CHOOSE(CONTROL!$C$22, $C$13, 100%, $E$13)</f>
        <v>5.5606</v>
      </c>
      <c r="D354" s="63">
        <f>5.5606 * CHOOSE(CONTROL!$C$22, $C$13, 100%, $E$13)</f>
        <v>5.5606</v>
      </c>
      <c r="E354" s="64">
        <f>6.6302 * CHOOSE(CONTROL!$C$22, $C$13, 100%, $E$13)</f>
        <v>6.6302000000000003</v>
      </c>
      <c r="F354" s="64">
        <f>6.6302 * CHOOSE(CONTROL!$C$22, $C$13, 100%, $E$13)</f>
        <v>6.6302000000000003</v>
      </c>
      <c r="G354" s="64">
        <f>6.6303 * CHOOSE(CONTROL!$C$22, $C$13, 100%, $E$13)</f>
        <v>6.6303000000000001</v>
      </c>
      <c r="H354" s="64">
        <f>11.2715* CHOOSE(CONTROL!$C$22, $C$13, 100%, $E$13)</f>
        <v>11.2715</v>
      </c>
      <c r="I354" s="64">
        <f>11.2716 * CHOOSE(CONTROL!$C$22, $C$13, 100%, $E$13)</f>
        <v>11.271599999999999</v>
      </c>
      <c r="J354" s="64">
        <f>6.6302 * CHOOSE(CONTROL!$C$22, $C$13, 100%, $E$13)</f>
        <v>6.6302000000000003</v>
      </c>
      <c r="K354" s="64">
        <f>6.6303 * CHOOSE(CONTROL!$C$22, $C$13, 100%, $E$13)</f>
        <v>6.6303000000000001</v>
      </c>
    </row>
    <row r="355" spans="1:11" ht="15">
      <c r="A355" s="13">
        <v>52291</v>
      </c>
      <c r="B355" s="63">
        <f>5.5576 * CHOOSE(CONTROL!$C$22, $C$13, 100%, $E$13)</f>
        <v>5.5575999999999999</v>
      </c>
      <c r="C355" s="63">
        <f>5.5576 * CHOOSE(CONTROL!$C$22, $C$13, 100%, $E$13)</f>
        <v>5.5575999999999999</v>
      </c>
      <c r="D355" s="63">
        <f>5.5576 * CHOOSE(CONTROL!$C$22, $C$13, 100%, $E$13)</f>
        <v>5.5575999999999999</v>
      </c>
      <c r="E355" s="64">
        <f>6.7123 * CHOOSE(CONTROL!$C$22, $C$13, 100%, $E$13)</f>
        <v>6.7122999999999999</v>
      </c>
      <c r="F355" s="64">
        <f>6.7123 * CHOOSE(CONTROL!$C$22, $C$13, 100%, $E$13)</f>
        <v>6.7122999999999999</v>
      </c>
      <c r="G355" s="64">
        <f>6.7124 * CHOOSE(CONTROL!$C$22, $C$13, 100%, $E$13)</f>
        <v>6.7123999999999997</v>
      </c>
      <c r="H355" s="64">
        <f>11.295* CHOOSE(CONTROL!$C$22, $C$13, 100%, $E$13)</f>
        <v>11.295</v>
      </c>
      <c r="I355" s="64">
        <f>11.295 * CHOOSE(CONTROL!$C$22, $C$13, 100%, $E$13)</f>
        <v>11.295</v>
      </c>
      <c r="J355" s="64">
        <f>6.7123 * CHOOSE(CONTROL!$C$22, $C$13, 100%, $E$13)</f>
        <v>6.7122999999999999</v>
      </c>
      <c r="K355" s="64">
        <f>6.7124 * CHOOSE(CONTROL!$C$22, $C$13, 100%, $E$13)</f>
        <v>6.7123999999999997</v>
      </c>
    </row>
    <row r="356" spans="1:11" ht="15">
      <c r="A356" s="13">
        <v>52322</v>
      </c>
      <c r="B356" s="63">
        <f>5.5566 * CHOOSE(CONTROL!$C$22, $C$13, 100%, $E$13)</f>
        <v>5.5566000000000004</v>
      </c>
      <c r="C356" s="63">
        <f>5.5566 * CHOOSE(CONTROL!$C$22, $C$13, 100%, $E$13)</f>
        <v>5.5566000000000004</v>
      </c>
      <c r="D356" s="63">
        <f>5.5566 * CHOOSE(CONTROL!$C$22, $C$13, 100%, $E$13)</f>
        <v>5.5566000000000004</v>
      </c>
      <c r="E356" s="64">
        <f>6.7986 * CHOOSE(CONTROL!$C$22, $C$13, 100%, $E$13)</f>
        <v>6.7986000000000004</v>
      </c>
      <c r="F356" s="64">
        <f>6.7986 * CHOOSE(CONTROL!$C$22, $C$13, 100%, $E$13)</f>
        <v>6.7986000000000004</v>
      </c>
      <c r="G356" s="64">
        <f>6.7987 * CHOOSE(CONTROL!$C$22, $C$13, 100%, $E$13)</f>
        <v>6.7987000000000002</v>
      </c>
      <c r="H356" s="64">
        <f>11.3185* CHOOSE(CONTROL!$C$22, $C$13, 100%, $E$13)</f>
        <v>11.3185</v>
      </c>
      <c r="I356" s="64">
        <f>11.3186 * CHOOSE(CONTROL!$C$22, $C$13, 100%, $E$13)</f>
        <v>11.3186</v>
      </c>
      <c r="J356" s="64">
        <f>6.7986 * CHOOSE(CONTROL!$C$22, $C$13, 100%, $E$13)</f>
        <v>6.7986000000000004</v>
      </c>
      <c r="K356" s="64">
        <f>6.7987 * CHOOSE(CONTROL!$C$22, $C$13, 100%, $E$13)</f>
        <v>6.7987000000000002</v>
      </c>
    </row>
    <row r="357" spans="1:11" ht="15">
      <c r="A357" s="13">
        <v>52352</v>
      </c>
      <c r="B357" s="63">
        <f>5.5566 * CHOOSE(CONTROL!$C$22, $C$13, 100%, $E$13)</f>
        <v>5.5566000000000004</v>
      </c>
      <c r="C357" s="63">
        <f>5.5566 * CHOOSE(CONTROL!$C$22, $C$13, 100%, $E$13)</f>
        <v>5.5566000000000004</v>
      </c>
      <c r="D357" s="63">
        <f>5.565 * CHOOSE(CONTROL!$C$22, $C$13, 100%, $E$13)</f>
        <v>5.5650000000000004</v>
      </c>
      <c r="E357" s="64">
        <f>6.8326 * CHOOSE(CONTROL!$C$22, $C$13, 100%, $E$13)</f>
        <v>6.8326000000000002</v>
      </c>
      <c r="F357" s="64">
        <f>6.8326 * CHOOSE(CONTROL!$C$22, $C$13, 100%, $E$13)</f>
        <v>6.8326000000000002</v>
      </c>
      <c r="G357" s="64">
        <f>6.8428 * CHOOSE(CONTROL!$C$22, $C$13, 100%, $E$13)</f>
        <v>6.8428000000000004</v>
      </c>
      <c r="H357" s="64">
        <f>11.3421* CHOOSE(CONTROL!$C$22, $C$13, 100%, $E$13)</f>
        <v>11.3421</v>
      </c>
      <c r="I357" s="64">
        <f>11.3523 * CHOOSE(CONTROL!$C$22, $C$13, 100%, $E$13)</f>
        <v>11.3523</v>
      </c>
      <c r="J357" s="64">
        <f>6.8326 * CHOOSE(CONTROL!$C$22, $C$13, 100%, $E$13)</f>
        <v>6.8326000000000002</v>
      </c>
      <c r="K357" s="64">
        <f>6.8428 * CHOOSE(CONTROL!$C$22, $C$13, 100%, $E$13)</f>
        <v>6.8428000000000004</v>
      </c>
    </row>
    <row r="358" spans="1:11" ht="15">
      <c r="A358" s="13">
        <v>52383</v>
      </c>
      <c r="B358" s="63">
        <f>5.5627 * CHOOSE(CONTROL!$C$22, $C$13, 100%, $E$13)</f>
        <v>5.5627000000000004</v>
      </c>
      <c r="C358" s="63">
        <f>5.5627 * CHOOSE(CONTROL!$C$22, $C$13, 100%, $E$13)</f>
        <v>5.5627000000000004</v>
      </c>
      <c r="D358" s="63">
        <f>5.5711 * CHOOSE(CONTROL!$C$22, $C$13, 100%, $E$13)</f>
        <v>5.5711000000000004</v>
      </c>
      <c r="E358" s="64">
        <f>6.8029 * CHOOSE(CONTROL!$C$22, $C$13, 100%, $E$13)</f>
        <v>6.8029000000000002</v>
      </c>
      <c r="F358" s="64">
        <f>6.8029 * CHOOSE(CONTROL!$C$22, $C$13, 100%, $E$13)</f>
        <v>6.8029000000000002</v>
      </c>
      <c r="G358" s="64">
        <f>6.8131 * CHOOSE(CONTROL!$C$22, $C$13, 100%, $E$13)</f>
        <v>6.8131000000000004</v>
      </c>
      <c r="H358" s="64">
        <f>11.3657* CHOOSE(CONTROL!$C$22, $C$13, 100%, $E$13)</f>
        <v>11.3657</v>
      </c>
      <c r="I358" s="64">
        <f>11.3759 * CHOOSE(CONTROL!$C$22, $C$13, 100%, $E$13)</f>
        <v>11.3759</v>
      </c>
      <c r="J358" s="64">
        <f>6.8029 * CHOOSE(CONTROL!$C$22, $C$13, 100%, $E$13)</f>
        <v>6.8029000000000002</v>
      </c>
      <c r="K358" s="64">
        <f>6.8131 * CHOOSE(CONTROL!$C$22, $C$13, 100%, $E$13)</f>
        <v>6.8131000000000004</v>
      </c>
    </row>
    <row r="359" spans="1:11" ht="15">
      <c r="A359" s="13">
        <v>52413</v>
      </c>
      <c r="B359" s="63">
        <f>5.6532 * CHOOSE(CONTROL!$C$22, $C$13, 100%, $E$13)</f>
        <v>5.6532</v>
      </c>
      <c r="C359" s="63">
        <f>5.6532 * CHOOSE(CONTROL!$C$22, $C$13, 100%, $E$13)</f>
        <v>5.6532</v>
      </c>
      <c r="D359" s="63">
        <f>5.6616 * CHOOSE(CONTROL!$C$22, $C$13, 100%, $E$13)</f>
        <v>5.6616</v>
      </c>
      <c r="E359" s="64">
        <f>6.9177 * CHOOSE(CONTROL!$C$22, $C$13, 100%, $E$13)</f>
        <v>6.9177</v>
      </c>
      <c r="F359" s="64">
        <f>6.9177 * CHOOSE(CONTROL!$C$22, $C$13, 100%, $E$13)</f>
        <v>6.9177</v>
      </c>
      <c r="G359" s="64">
        <f>6.9279 * CHOOSE(CONTROL!$C$22, $C$13, 100%, $E$13)</f>
        <v>6.9279000000000002</v>
      </c>
      <c r="H359" s="64">
        <f>11.3894* CHOOSE(CONTROL!$C$22, $C$13, 100%, $E$13)</f>
        <v>11.3894</v>
      </c>
      <c r="I359" s="64">
        <f>11.3996 * CHOOSE(CONTROL!$C$22, $C$13, 100%, $E$13)</f>
        <v>11.3996</v>
      </c>
      <c r="J359" s="64">
        <f>6.9177 * CHOOSE(CONTROL!$C$22, $C$13, 100%, $E$13)</f>
        <v>6.9177</v>
      </c>
      <c r="K359" s="64">
        <f>6.9279 * CHOOSE(CONTROL!$C$22, $C$13, 100%, $E$13)</f>
        <v>6.9279000000000002</v>
      </c>
    </row>
    <row r="360" spans="1:11" ht="15">
      <c r="A360" s="13">
        <v>52444</v>
      </c>
      <c r="B360" s="63">
        <f>5.6599 * CHOOSE(CONTROL!$C$22, $C$13, 100%, $E$13)</f>
        <v>5.6599000000000004</v>
      </c>
      <c r="C360" s="63">
        <f>5.6599 * CHOOSE(CONTROL!$C$22, $C$13, 100%, $E$13)</f>
        <v>5.6599000000000004</v>
      </c>
      <c r="D360" s="63">
        <f>5.6683 * CHOOSE(CONTROL!$C$22, $C$13, 100%, $E$13)</f>
        <v>5.6683000000000003</v>
      </c>
      <c r="E360" s="64">
        <f>6.8205 * CHOOSE(CONTROL!$C$22, $C$13, 100%, $E$13)</f>
        <v>6.8205</v>
      </c>
      <c r="F360" s="64">
        <f>6.8205 * CHOOSE(CONTROL!$C$22, $C$13, 100%, $E$13)</f>
        <v>6.8205</v>
      </c>
      <c r="G360" s="64">
        <f>6.8307 * CHOOSE(CONTROL!$C$22, $C$13, 100%, $E$13)</f>
        <v>6.8307000000000002</v>
      </c>
      <c r="H360" s="64">
        <f>11.4131* CHOOSE(CONTROL!$C$22, $C$13, 100%, $E$13)</f>
        <v>11.4131</v>
      </c>
      <c r="I360" s="64">
        <f>11.4233 * CHOOSE(CONTROL!$C$22, $C$13, 100%, $E$13)</f>
        <v>11.423299999999999</v>
      </c>
      <c r="J360" s="64">
        <f>6.8205 * CHOOSE(CONTROL!$C$22, $C$13, 100%, $E$13)</f>
        <v>6.8205</v>
      </c>
      <c r="K360" s="64">
        <f>6.8307 * CHOOSE(CONTROL!$C$22, $C$13, 100%, $E$13)</f>
        <v>6.8307000000000002</v>
      </c>
    </row>
    <row r="361" spans="1:11" ht="15">
      <c r="A361" s="13">
        <v>52475</v>
      </c>
      <c r="B361" s="63">
        <f>5.6569 * CHOOSE(CONTROL!$C$22, $C$13, 100%, $E$13)</f>
        <v>5.6569000000000003</v>
      </c>
      <c r="C361" s="63">
        <f>5.6569 * CHOOSE(CONTROL!$C$22, $C$13, 100%, $E$13)</f>
        <v>5.6569000000000003</v>
      </c>
      <c r="D361" s="63">
        <f>5.6653 * CHOOSE(CONTROL!$C$22, $C$13, 100%, $E$13)</f>
        <v>5.6653000000000002</v>
      </c>
      <c r="E361" s="64">
        <f>6.8071 * CHOOSE(CONTROL!$C$22, $C$13, 100%, $E$13)</f>
        <v>6.8071000000000002</v>
      </c>
      <c r="F361" s="64">
        <f>6.8071 * CHOOSE(CONTROL!$C$22, $C$13, 100%, $E$13)</f>
        <v>6.8071000000000002</v>
      </c>
      <c r="G361" s="64">
        <f>6.8173 * CHOOSE(CONTROL!$C$22, $C$13, 100%, $E$13)</f>
        <v>6.8173000000000004</v>
      </c>
      <c r="H361" s="64">
        <f>11.4369* CHOOSE(CONTROL!$C$22, $C$13, 100%, $E$13)</f>
        <v>11.4369</v>
      </c>
      <c r="I361" s="64">
        <f>11.4471 * CHOOSE(CONTROL!$C$22, $C$13, 100%, $E$13)</f>
        <v>11.447100000000001</v>
      </c>
      <c r="J361" s="64">
        <f>6.8071 * CHOOSE(CONTROL!$C$22, $C$13, 100%, $E$13)</f>
        <v>6.8071000000000002</v>
      </c>
      <c r="K361" s="64">
        <f>6.8173 * CHOOSE(CONTROL!$C$22, $C$13, 100%, $E$13)</f>
        <v>6.8173000000000004</v>
      </c>
    </row>
    <row r="362" spans="1:11" ht="15">
      <c r="A362" s="13">
        <v>52505</v>
      </c>
      <c r="B362" s="63">
        <f>5.6574 * CHOOSE(CONTROL!$C$22, $C$13, 100%, $E$13)</f>
        <v>5.6574</v>
      </c>
      <c r="C362" s="63">
        <f>5.6574 * CHOOSE(CONTROL!$C$22, $C$13, 100%, $E$13)</f>
        <v>5.6574</v>
      </c>
      <c r="D362" s="63">
        <f>5.6574 * CHOOSE(CONTROL!$C$22, $C$13, 100%, $E$13)</f>
        <v>5.6574</v>
      </c>
      <c r="E362" s="64">
        <f>6.8389 * CHOOSE(CONTROL!$C$22, $C$13, 100%, $E$13)</f>
        <v>6.8388999999999998</v>
      </c>
      <c r="F362" s="64">
        <f>6.8389 * CHOOSE(CONTROL!$C$22, $C$13, 100%, $E$13)</f>
        <v>6.8388999999999998</v>
      </c>
      <c r="G362" s="64">
        <f>6.839 * CHOOSE(CONTROL!$C$22, $C$13, 100%, $E$13)</f>
        <v>6.8390000000000004</v>
      </c>
      <c r="H362" s="64">
        <f>11.4607* CHOOSE(CONTROL!$C$22, $C$13, 100%, $E$13)</f>
        <v>11.460699999999999</v>
      </c>
      <c r="I362" s="64">
        <f>11.4608 * CHOOSE(CONTROL!$C$22, $C$13, 100%, $E$13)</f>
        <v>11.460800000000001</v>
      </c>
      <c r="J362" s="64">
        <f>6.8389 * CHOOSE(CONTROL!$C$22, $C$13, 100%, $E$13)</f>
        <v>6.8388999999999998</v>
      </c>
      <c r="K362" s="64">
        <f>6.839 * CHOOSE(CONTROL!$C$22, $C$13, 100%, $E$13)</f>
        <v>6.8390000000000004</v>
      </c>
    </row>
    <row r="363" spans="1:11" ht="15">
      <c r="A363" s="13">
        <v>52536</v>
      </c>
      <c r="B363" s="63">
        <f>5.6605 * CHOOSE(CONTROL!$C$22, $C$13, 100%, $E$13)</f>
        <v>5.6604999999999999</v>
      </c>
      <c r="C363" s="63">
        <f>5.6605 * CHOOSE(CONTROL!$C$22, $C$13, 100%, $E$13)</f>
        <v>5.6604999999999999</v>
      </c>
      <c r="D363" s="63">
        <f>5.6605 * CHOOSE(CONTROL!$C$22, $C$13, 100%, $E$13)</f>
        <v>5.6604999999999999</v>
      </c>
      <c r="E363" s="64">
        <f>6.8636 * CHOOSE(CONTROL!$C$22, $C$13, 100%, $E$13)</f>
        <v>6.8635999999999999</v>
      </c>
      <c r="F363" s="64">
        <f>6.8636 * CHOOSE(CONTROL!$C$22, $C$13, 100%, $E$13)</f>
        <v>6.8635999999999999</v>
      </c>
      <c r="G363" s="64">
        <f>6.8637 * CHOOSE(CONTROL!$C$22, $C$13, 100%, $E$13)</f>
        <v>6.8636999999999997</v>
      </c>
      <c r="H363" s="64">
        <f>11.4846* CHOOSE(CONTROL!$C$22, $C$13, 100%, $E$13)</f>
        <v>11.4846</v>
      </c>
      <c r="I363" s="64">
        <f>11.4847 * CHOOSE(CONTROL!$C$22, $C$13, 100%, $E$13)</f>
        <v>11.4847</v>
      </c>
      <c r="J363" s="64">
        <f>6.8636 * CHOOSE(CONTROL!$C$22, $C$13, 100%, $E$13)</f>
        <v>6.8635999999999999</v>
      </c>
      <c r="K363" s="64">
        <f>6.8637 * CHOOSE(CONTROL!$C$22, $C$13, 100%, $E$13)</f>
        <v>6.8636999999999997</v>
      </c>
    </row>
    <row r="364" spans="1:11" ht="15">
      <c r="A364" s="13">
        <v>52566</v>
      </c>
      <c r="B364" s="63">
        <f>5.6605 * CHOOSE(CONTROL!$C$22, $C$13, 100%, $E$13)</f>
        <v>5.6604999999999999</v>
      </c>
      <c r="C364" s="63">
        <f>5.6605 * CHOOSE(CONTROL!$C$22, $C$13, 100%, $E$13)</f>
        <v>5.6604999999999999</v>
      </c>
      <c r="D364" s="63">
        <f>5.6605 * CHOOSE(CONTROL!$C$22, $C$13, 100%, $E$13)</f>
        <v>5.6604999999999999</v>
      </c>
      <c r="E364" s="64">
        <f>6.8071 * CHOOSE(CONTROL!$C$22, $C$13, 100%, $E$13)</f>
        <v>6.8071000000000002</v>
      </c>
      <c r="F364" s="64">
        <f>6.8071 * CHOOSE(CONTROL!$C$22, $C$13, 100%, $E$13)</f>
        <v>6.8071000000000002</v>
      </c>
      <c r="G364" s="64">
        <f>6.8072 * CHOOSE(CONTROL!$C$22, $C$13, 100%, $E$13)</f>
        <v>6.8071999999999999</v>
      </c>
      <c r="H364" s="64">
        <f>11.5085* CHOOSE(CONTROL!$C$22, $C$13, 100%, $E$13)</f>
        <v>11.5085</v>
      </c>
      <c r="I364" s="64">
        <f>11.5086 * CHOOSE(CONTROL!$C$22, $C$13, 100%, $E$13)</f>
        <v>11.508599999999999</v>
      </c>
      <c r="J364" s="64">
        <f>6.8071 * CHOOSE(CONTROL!$C$22, $C$13, 100%, $E$13)</f>
        <v>6.8071000000000002</v>
      </c>
      <c r="K364" s="64">
        <f>6.8072 * CHOOSE(CONTROL!$C$22, $C$13, 100%, $E$13)</f>
        <v>6.8071999999999999</v>
      </c>
    </row>
    <row r="365" spans="1:11" ht="15">
      <c r="A365" s="13">
        <v>52597</v>
      </c>
      <c r="B365" s="63">
        <f>5.7103 * CHOOSE(CONTROL!$C$22, $C$13, 100%, $E$13)</f>
        <v>5.7103000000000002</v>
      </c>
      <c r="C365" s="63">
        <f>5.7103 * CHOOSE(CONTROL!$C$22, $C$13, 100%, $E$13)</f>
        <v>5.7103000000000002</v>
      </c>
      <c r="D365" s="63">
        <f>5.7103 * CHOOSE(CONTROL!$C$22, $C$13, 100%, $E$13)</f>
        <v>5.7103000000000002</v>
      </c>
      <c r="E365" s="64">
        <f>6.9038 * CHOOSE(CONTROL!$C$22, $C$13, 100%, $E$13)</f>
        <v>6.9038000000000004</v>
      </c>
      <c r="F365" s="64">
        <f>6.9038 * CHOOSE(CONTROL!$C$22, $C$13, 100%, $E$13)</f>
        <v>6.9038000000000004</v>
      </c>
      <c r="G365" s="64">
        <f>6.9039 * CHOOSE(CONTROL!$C$22, $C$13, 100%, $E$13)</f>
        <v>6.9039000000000001</v>
      </c>
      <c r="H365" s="64">
        <f>11.5325* CHOOSE(CONTROL!$C$22, $C$13, 100%, $E$13)</f>
        <v>11.532500000000001</v>
      </c>
      <c r="I365" s="64">
        <f>11.5326 * CHOOSE(CONTROL!$C$22, $C$13, 100%, $E$13)</f>
        <v>11.5326</v>
      </c>
      <c r="J365" s="64">
        <f>6.9038 * CHOOSE(CONTROL!$C$22, $C$13, 100%, $E$13)</f>
        <v>6.9038000000000004</v>
      </c>
      <c r="K365" s="64">
        <f>6.9039 * CHOOSE(CONTROL!$C$22, $C$13, 100%, $E$13)</f>
        <v>6.9039000000000001</v>
      </c>
    </row>
    <row r="366" spans="1:11" ht="15">
      <c r="A366" s="13">
        <v>52628</v>
      </c>
      <c r="B366" s="63">
        <f>5.7073 * CHOOSE(CONTROL!$C$22, $C$13, 100%, $E$13)</f>
        <v>5.7073</v>
      </c>
      <c r="C366" s="63">
        <f>5.7073 * CHOOSE(CONTROL!$C$22, $C$13, 100%, $E$13)</f>
        <v>5.7073</v>
      </c>
      <c r="D366" s="63">
        <f>5.7073 * CHOOSE(CONTROL!$C$22, $C$13, 100%, $E$13)</f>
        <v>5.7073</v>
      </c>
      <c r="E366" s="64">
        <f>6.7917 * CHOOSE(CONTROL!$C$22, $C$13, 100%, $E$13)</f>
        <v>6.7916999999999996</v>
      </c>
      <c r="F366" s="64">
        <f>6.7917 * CHOOSE(CONTROL!$C$22, $C$13, 100%, $E$13)</f>
        <v>6.7916999999999996</v>
      </c>
      <c r="G366" s="64">
        <f>6.7918 * CHOOSE(CONTROL!$C$22, $C$13, 100%, $E$13)</f>
        <v>6.7918000000000003</v>
      </c>
      <c r="H366" s="64">
        <f>11.5565* CHOOSE(CONTROL!$C$22, $C$13, 100%, $E$13)</f>
        <v>11.5565</v>
      </c>
      <c r="I366" s="64">
        <f>11.5566 * CHOOSE(CONTROL!$C$22, $C$13, 100%, $E$13)</f>
        <v>11.5566</v>
      </c>
      <c r="J366" s="64">
        <f>6.7917 * CHOOSE(CONTROL!$C$22, $C$13, 100%, $E$13)</f>
        <v>6.7916999999999996</v>
      </c>
      <c r="K366" s="64">
        <f>6.7918 * CHOOSE(CONTROL!$C$22, $C$13, 100%, $E$13)</f>
        <v>6.7918000000000003</v>
      </c>
    </row>
    <row r="367" spans="1:11" ht="15">
      <c r="A367" s="13">
        <v>52657</v>
      </c>
      <c r="B367" s="63">
        <f>5.7042 * CHOOSE(CONTROL!$C$22, $C$13, 100%, $E$13)</f>
        <v>5.7042000000000002</v>
      </c>
      <c r="C367" s="63">
        <f>5.7042 * CHOOSE(CONTROL!$C$22, $C$13, 100%, $E$13)</f>
        <v>5.7042000000000002</v>
      </c>
      <c r="D367" s="63">
        <f>5.7042 * CHOOSE(CONTROL!$C$22, $C$13, 100%, $E$13)</f>
        <v>5.7042000000000002</v>
      </c>
      <c r="E367" s="64">
        <f>6.8763 * CHOOSE(CONTROL!$C$22, $C$13, 100%, $E$13)</f>
        <v>6.8762999999999996</v>
      </c>
      <c r="F367" s="64">
        <f>6.8763 * CHOOSE(CONTROL!$C$22, $C$13, 100%, $E$13)</f>
        <v>6.8762999999999996</v>
      </c>
      <c r="G367" s="64">
        <f>6.8764 * CHOOSE(CONTROL!$C$22, $C$13, 100%, $E$13)</f>
        <v>6.8764000000000003</v>
      </c>
      <c r="H367" s="64">
        <f>11.5806* CHOOSE(CONTROL!$C$22, $C$13, 100%, $E$13)</f>
        <v>11.5806</v>
      </c>
      <c r="I367" s="64">
        <f>11.5807 * CHOOSE(CONTROL!$C$22, $C$13, 100%, $E$13)</f>
        <v>11.5807</v>
      </c>
      <c r="J367" s="64">
        <f>6.8763 * CHOOSE(CONTROL!$C$22, $C$13, 100%, $E$13)</f>
        <v>6.8762999999999996</v>
      </c>
      <c r="K367" s="64">
        <f>6.8764 * CHOOSE(CONTROL!$C$22, $C$13, 100%, $E$13)</f>
        <v>6.8764000000000003</v>
      </c>
    </row>
    <row r="368" spans="1:11" ht="15">
      <c r="A368" s="13">
        <v>52688</v>
      </c>
      <c r="B368" s="63">
        <f>5.7034 * CHOOSE(CONTROL!$C$22, $C$13, 100%, $E$13)</f>
        <v>5.7034000000000002</v>
      </c>
      <c r="C368" s="63">
        <f>5.7034 * CHOOSE(CONTROL!$C$22, $C$13, 100%, $E$13)</f>
        <v>5.7034000000000002</v>
      </c>
      <c r="D368" s="63">
        <f>5.7034 * CHOOSE(CONTROL!$C$22, $C$13, 100%, $E$13)</f>
        <v>5.7034000000000002</v>
      </c>
      <c r="E368" s="64">
        <f>6.9651 * CHOOSE(CONTROL!$C$22, $C$13, 100%, $E$13)</f>
        <v>6.9650999999999996</v>
      </c>
      <c r="F368" s="64">
        <f>6.9651 * CHOOSE(CONTROL!$C$22, $C$13, 100%, $E$13)</f>
        <v>6.9650999999999996</v>
      </c>
      <c r="G368" s="64">
        <f>6.9652 * CHOOSE(CONTROL!$C$22, $C$13, 100%, $E$13)</f>
        <v>6.9652000000000003</v>
      </c>
      <c r="H368" s="64">
        <f>11.6047* CHOOSE(CONTROL!$C$22, $C$13, 100%, $E$13)</f>
        <v>11.604699999999999</v>
      </c>
      <c r="I368" s="64">
        <f>11.6048 * CHOOSE(CONTROL!$C$22, $C$13, 100%, $E$13)</f>
        <v>11.604799999999999</v>
      </c>
      <c r="J368" s="64">
        <f>6.9651 * CHOOSE(CONTROL!$C$22, $C$13, 100%, $E$13)</f>
        <v>6.9650999999999996</v>
      </c>
      <c r="K368" s="64">
        <f>6.9652 * CHOOSE(CONTROL!$C$22, $C$13, 100%, $E$13)</f>
        <v>6.9652000000000003</v>
      </c>
    </row>
    <row r="369" spans="1:11" ht="15">
      <c r="A369" s="13">
        <v>52718</v>
      </c>
      <c r="B369" s="63">
        <f>5.7034 * CHOOSE(CONTROL!$C$22, $C$13, 100%, $E$13)</f>
        <v>5.7034000000000002</v>
      </c>
      <c r="C369" s="63">
        <f>5.7034 * CHOOSE(CONTROL!$C$22, $C$13, 100%, $E$13)</f>
        <v>5.7034000000000002</v>
      </c>
      <c r="D369" s="63">
        <f>5.7118 * CHOOSE(CONTROL!$C$22, $C$13, 100%, $E$13)</f>
        <v>5.7118000000000002</v>
      </c>
      <c r="E369" s="64">
        <f>7 * CHOOSE(CONTROL!$C$22, $C$13, 100%, $E$13)</f>
        <v>7</v>
      </c>
      <c r="F369" s="64">
        <f>7 * CHOOSE(CONTROL!$C$22, $C$13, 100%, $E$13)</f>
        <v>7</v>
      </c>
      <c r="G369" s="64">
        <f>7.0102 * CHOOSE(CONTROL!$C$22, $C$13, 100%, $E$13)</f>
        <v>7.0102000000000002</v>
      </c>
      <c r="H369" s="64">
        <f>11.6289* CHOOSE(CONTROL!$C$22, $C$13, 100%, $E$13)</f>
        <v>11.6289</v>
      </c>
      <c r="I369" s="64">
        <f>11.6391 * CHOOSE(CONTROL!$C$22, $C$13, 100%, $E$13)</f>
        <v>11.639099999999999</v>
      </c>
      <c r="J369" s="64">
        <f>7 * CHOOSE(CONTROL!$C$22, $C$13, 100%, $E$13)</f>
        <v>7</v>
      </c>
      <c r="K369" s="64">
        <f>7.0102 * CHOOSE(CONTROL!$C$22, $C$13, 100%, $E$13)</f>
        <v>7.0102000000000002</v>
      </c>
    </row>
    <row r="370" spans="1:11" ht="15">
      <c r="A370" s="13">
        <v>52749</v>
      </c>
      <c r="B370" s="63">
        <f>5.7094 * CHOOSE(CONTROL!$C$22, $C$13, 100%, $E$13)</f>
        <v>5.7093999999999996</v>
      </c>
      <c r="C370" s="63">
        <f>5.7094 * CHOOSE(CONTROL!$C$22, $C$13, 100%, $E$13)</f>
        <v>5.7093999999999996</v>
      </c>
      <c r="D370" s="63">
        <f>5.7179 * CHOOSE(CONTROL!$C$22, $C$13, 100%, $E$13)</f>
        <v>5.7179000000000002</v>
      </c>
      <c r="E370" s="64">
        <f>6.9693 * CHOOSE(CONTROL!$C$22, $C$13, 100%, $E$13)</f>
        <v>6.9692999999999996</v>
      </c>
      <c r="F370" s="64">
        <f>6.9693 * CHOOSE(CONTROL!$C$22, $C$13, 100%, $E$13)</f>
        <v>6.9692999999999996</v>
      </c>
      <c r="G370" s="64">
        <f>6.9796 * CHOOSE(CONTROL!$C$22, $C$13, 100%, $E$13)</f>
        <v>6.9795999999999996</v>
      </c>
      <c r="H370" s="64">
        <f>11.6531* CHOOSE(CONTROL!$C$22, $C$13, 100%, $E$13)</f>
        <v>11.6531</v>
      </c>
      <c r="I370" s="64">
        <f>11.6633 * CHOOSE(CONTROL!$C$22, $C$13, 100%, $E$13)</f>
        <v>11.6633</v>
      </c>
      <c r="J370" s="64">
        <f>6.9693 * CHOOSE(CONTROL!$C$22, $C$13, 100%, $E$13)</f>
        <v>6.9692999999999996</v>
      </c>
      <c r="K370" s="64">
        <f>6.9796 * CHOOSE(CONTROL!$C$22, $C$13, 100%, $E$13)</f>
        <v>6.9795999999999996</v>
      </c>
    </row>
    <row r="371" spans="1:11" ht="15">
      <c r="A371" s="13">
        <v>52779</v>
      </c>
      <c r="B371" s="63">
        <f>5.8021 * CHOOSE(CONTROL!$C$22, $C$13, 100%, $E$13)</f>
        <v>5.8021000000000003</v>
      </c>
      <c r="C371" s="63">
        <f>5.8021 * CHOOSE(CONTROL!$C$22, $C$13, 100%, $E$13)</f>
        <v>5.8021000000000003</v>
      </c>
      <c r="D371" s="63">
        <f>5.8106 * CHOOSE(CONTROL!$C$22, $C$13, 100%, $E$13)</f>
        <v>5.8106</v>
      </c>
      <c r="E371" s="64">
        <f>7.0867 * CHOOSE(CONTROL!$C$22, $C$13, 100%, $E$13)</f>
        <v>7.0867000000000004</v>
      </c>
      <c r="F371" s="64">
        <f>7.0867 * CHOOSE(CONTROL!$C$22, $C$13, 100%, $E$13)</f>
        <v>7.0867000000000004</v>
      </c>
      <c r="G371" s="64">
        <f>7.0969 * CHOOSE(CONTROL!$C$22, $C$13, 100%, $E$13)</f>
        <v>7.0968999999999998</v>
      </c>
      <c r="H371" s="64">
        <f>11.6774* CHOOSE(CONTROL!$C$22, $C$13, 100%, $E$13)</f>
        <v>11.6774</v>
      </c>
      <c r="I371" s="64">
        <f>11.6876 * CHOOSE(CONTROL!$C$22, $C$13, 100%, $E$13)</f>
        <v>11.6876</v>
      </c>
      <c r="J371" s="64">
        <f>7.0867 * CHOOSE(CONTROL!$C$22, $C$13, 100%, $E$13)</f>
        <v>7.0867000000000004</v>
      </c>
      <c r="K371" s="64">
        <f>7.0969 * CHOOSE(CONTROL!$C$22, $C$13, 100%, $E$13)</f>
        <v>7.0968999999999998</v>
      </c>
    </row>
    <row r="372" spans="1:11" ht="15">
      <c r="A372" s="13">
        <v>52810</v>
      </c>
      <c r="B372" s="63">
        <f>5.8088 * CHOOSE(CONTROL!$C$22, $C$13, 100%, $E$13)</f>
        <v>5.8087999999999997</v>
      </c>
      <c r="C372" s="63">
        <f>5.8088 * CHOOSE(CONTROL!$C$22, $C$13, 100%, $E$13)</f>
        <v>5.8087999999999997</v>
      </c>
      <c r="D372" s="63">
        <f>5.8173 * CHOOSE(CONTROL!$C$22, $C$13, 100%, $E$13)</f>
        <v>5.8173000000000004</v>
      </c>
      <c r="E372" s="64">
        <f>6.9867 * CHOOSE(CONTROL!$C$22, $C$13, 100%, $E$13)</f>
        <v>6.9866999999999999</v>
      </c>
      <c r="F372" s="64">
        <f>6.9867 * CHOOSE(CONTROL!$C$22, $C$13, 100%, $E$13)</f>
        <v>6.9866999999999999</v>
      </c>
      <c r="G372" s="64">
        <f>6.9969 * CHOOSE(CONTROL!$C$22, $C$13, 100%, $E$13)</f>
        <v>6.9969000000000001</v>
      </c>
      <c r="H372" s="64">
        <f>11.7017* CHOOSE(CONTROL!$C$22, $C$13, 100%, $E$13)</f>
        <v>11.701700000000001</v>
      </c>
      <c r="I372" s="64">
        <f>11.712 * CHOOSE(CONTROL!$C$22, $C$13, 100%, $E$13)</f>
        <v>11.712</v>
      </c>
      <c r="J372" s="64">
        <f>6.9867 * CHOOSE(CONTROL!$C$22, $C$13, 100%, $E$13)</f>
        <v>6.9866999999999999</v>
      </c>
      <c r="K372" s="64">
        <f>6.9969 * CHOOSE(CONTROL!$C$22, $C$13, 100%, $E$13)</f>
        <v>6.9969000000000001</v>
      </c>
    </row>
    <row r="373" spans="1:11" ht="15">
      <c r="A373" s="13">
        <v>52841</v>
      </c>
      <c r="B373" s="63">
        <f>5.8058 * CHOOSE(CONTROL!$C$22, $C$13, 100%, $E$13)</f>
        <v>5.8057999999999996</v>
      </c>
      <c r="C373" s="63">
        <f>5.8058 * CHOOSE(CONTROL!$C$22, $C$13, 100%, $E$13)</f>
        <v>5.8057999999999996</v>
      </c>
      <c r="D373" s="63">
        <f>5.8142 * CHOOSE(CONTROL!$C$22, $C$13, 100%, $E$13)</f>
        <v>5.8141999999999996</v>
      </c>
      <c r="E373" s="64">
        <f>6.9729 * CHOOSE(CONTROL!$C$22, $C$13, 100%, $E$13)</f>
        <v>6.9729000000000001</v>
      </c>
      <c r="F373" s="64">
        <f>6.9729 * CHOOSE(CONTROL!$C$22, $C$13, 100%, $E$13)</f>
        <v>6.9729000000000001</v>
      </c>
      <c r="G373" s="64">
        <f>6.9832 * CHOOSE(CONTROL!$C$22, $C$13, 100%, $E$13)</f>
        <v>6.9832000000000001</v>
      </c>
      <c r="H373" s="64">
        <f>11.7261* CHOOSE(CONTROL!$C$22, $C$13, 100%, $E$13)</f>
        <v>11.726100000000001</v>
      </c>
      <c r="I373" s="64">
        <f>11.7363 * CHOOSE(CONTROL!$C$22, $C$13, 100%, $E$13)</f>
        <v>11.7363</v>
      </c>
      <c r="J373" s="64">
        <f>6.9729 * CHOOSE(CONTROL!$C$22, $C$13, 100%, $E$13)</f>
        <v>6.9729000000000001</v>
      </c>
      <c r="K373" s="64">
        <f>6.9832 * CHOOSE(CONTROL!$C$22, $C$13, 100%, $E$13)</f>
        <v>6.9832000000000001</v>
      </c>
    </row>
    <row r="374" spans="1:11" ht="15">
      <c r="A374" s="13">
        <v>52871</v>
      </c>
      <c r="B374" s="63">
        <f>5.8068 * CHOOSE(CONTROL!$C$22, $C$13, 100%, $E$13)</f>
        <v>5.8068</v>
      </c>
      <c r="C374" s="63">
        <f>5.8068 * CHOOSE(CONTROL!$C$22, $C$13, 100%, $E$13)</f>
        <v>5.8068</v>
      </c>
      <c r="D374" s="63">
        <f>5.8068 * CHOOSE(CONTROL!$C$22, $C$13, 100%, $E$13)</f>
        <v>5.8068</v>
      </c>
      <c r="E374" s="64">
        <f>7.0061 * CHOOSE(CONTROL!$C$22, $C$13, 100%, $E$13)</f>
        <v>7.0061</v>
      </c>
      <c r="F374" s="64">
        <f>7.0061 * CHOOSE(CONTROL!$C$22, $C$13, 100%, $E$13)</f>
        <v>7.0061</v>
      </c>
      <c r="G374" s="64">
        <f>7.0061 * CHOOSE(CONTROL!$C$22, $C$13, 100%, $E$13)</f>
        <v>7.0061</v>
      </c>
      <c r="H374" s="64">
        <f>11.7505* CHOOSE(CONTROL!$C$22, $C$13, 100%, $E$13)</f>
        <v>11.750500000000001</v>
      </c>
      <c r="I374" s="64">
        <f>11.7506 * CHOOSE(CONTROL!$C$22, $C$13, 100%, $E$13)</f>
        <v>11.7506</v>
      </c>
      <c r="J374" s="64">
        <f>7.0061 * CHOOSE(CONTROL!$C$22, $C$13, 100%, $E$13)</f>
        <v>7.0061</v>
      </c>
      <c r="K374" s="64">
        <f>7.0061 * CHOOSE(CONTROL!$C$22, $C$13, 100%, $E$13)</f>
        <v>7.0061</v>
      </c>
    </row>
    <row r="375" spans="1:11" ht="15">
      <c r="A375" s="13">
        <v>52902</v>
      </c>
      <c r="B375" s="63">
        <f>5.8099 * CHOOSE(CONTROL!$C$22, $C$13, 100%, $E$13)</f>
        <v>5.8098999999999998</v>
      </c>
      <c r="C375" s="63">
        <f>5.8099 * CHOOSE(CONTROL!$C$22, $C$13, 100%, $E$13)</f>
        <v>5.8098999999999998</v>
      </c>
      <c r="D375" s="63">
        <f>5.8099 * CHOOSE(CONTROL!$C$22, $C$13, 100%, $E$13)</f>
        <v>5.8098999999999998</v>
      </c>
      <c r="E375" s="64">
        <f>7.0314 * CHOOSE(CONTROL!$C$22, $C$13, 100%, $E$13)</f>
        <v>7.0313999999999997</v>
      </c>
      <c r="F375" s="64">
        <f>7.0314 * CHOOSE(CONTROL!$C$22, $C$13, 100%, $E$13)</f>
        <v>7.0313999999999997</v>
      </c>
      <c r="G375" s="64">
        <f>7.0315 * CHOOSE(CONTROL!$C$22, $C$13, 100%, $E$13)</f>
        <v>7.0315000000000003</v>
      </c>
      <c r="H375" s="64">
        <f>11.775* CHOOSE(CONTROL!$C$22, $C$13, 100%, $E$13)</f>
        <v>11.775</v>
      </c>
      <c r="I375" s="64">
        <f>11.7751 * CHOOSE(CONTROL!$C$22, $C$13, 100%, $E$13)</f>
        <v>11.7751</v>
      </c>
      <c r="J375" s="64">
        <f>7.0314 * CHOOSE(CONTROL!$C$22, $C$13, 100%, $E$13)</f>
        <v>7.0313999999999997</v>
      </c>
      <c r="K375" s="64">
        <f>7.0315 * CHOOSE(CONTROL!$C$22, $C$13, 100%, $E$13)</f>
        <v>7.0315000000000003</v>
      </c>
    </row>
    <row r="376" spans="1:11" ht="15">
      <c r="A376" s="13">
        <v>52932</v>
      </c>
      <c r="B376" s="63">
        <f>5.8099 * CHOOSE(CONTROL!$C$22, $C$13, 100%, $E$13)</f>
        <v>5.8098999999999998</v>
      </c>
      <c r="C376" s="63">
        <f>5.8099 * CHOOSE(CONTROL!$C$22, $C$13, 100%, $E$13)</f>
        <v>5.8098999999999998</v>
      </c>
      <c r="D376" s="63">
        <f>5.8099 * CHOOSE(CONTROL!$C$22, $C$13, 100%, $E$13)</f>
        <v>5.8098999999999998</v>
      </c>
      <c r="E376" s="64">
        <f>6.9733 * CHOOSE(CONTROL!$C$22, $C$13, 100%, $E$13)</f>
        <v>6.9733000000000001</v>
      </c>
      <c r="F376" s="64">
        <f>6.9733 * CHOOSE(CONTROL!$C$22, $C$13, 100%, $E$13)</f>
        <v>6.9733000000000001</v>
      </c>
      <c r="G376" s="64">
        <f>6.9734 * CHOOSE(CONTROL!$C$22, $C$13, 100%, $E$13)</f>
        <v>6.9733999999999998</v>
      </c>
      <c r="H376" s="64">
        <f>11.7996* CHOOSE(CONTROL!$C$22, $C$13, 100%, $E$13)</f>
        <v>11.7996</v>
      </c>
      <c r="I376" s="64">
        <f>11.7996 * CHOOSE(CONTROL!$C$22, $C$13, 100%, $E$13)</f>
        <v>11.7996</v>
      </c>
      <c r="J376" s="64">
        <f>6.9733 * CHOOSE(CONTROL!$C$22, $C$13, 100%, $E$13)</f>
        <v>6.9733000000000001</v>
      </c>
      <c r="K376" s="64">
        <f>6.9734 * CHOOSE(CONTROL!$C$22, $C$13, 100%, $E$13)</f>
        <v>6.9733999999999998</v>
      </c>
    </row>
    <row r="377" spans="1:11" ht="15">
      <c r="A377" s="13">
        <v>52963</v>
      </c>
      <c r="B377" s="63">
        <f>5.8609 * CHOOSE(CONTROL!$C$22, $C$13, 100%, $E$13)</f>
        <v>5.8609</v>
      </c>
      <c r="C377" s="63">
        <f>5.8609 * CHOOSE(CONTROL!$C$22, $C$13, 100%, $E$13)</f>
        <v>5.8609</v>
      </c>
      <c r="D377" s="63">
        <f>5.8609 * CHOOSE(CONTROL!$C$22, $C$13, 100%, $E$13)</f>
        <v>5.8609</v>
      </c>
      <c r="E377" s="64">
        <f>7.0724 * CHOOSE(CONTROL!$C$22, $C$13, 100%, $E$13)</f>
        <v>7.0724</v>
      </c>
      <c r="F377" s="64">
        <f>7.0724 * CHOOSE(CONTROL!$C$22, $C$13, 100%, $E$13)</f>
        <v>7.0724</v>
      </c>
      <c r="G377" s="64">
        <f>7.0725 * CHOOSE(CONTROL!$C$22, $C$13, 100%, $E$13)</f>
        <v>7.0724999999999998</v>
      </c>
      <c r="H377" s="64">
        <f>11.8241* CHOOSE(CONTROL!$C$22, $C$13, 100%, $E$13)</f>
        <v>11.8241</v>
      </c>
      <c r="I377" s="64">
        <f>11.8242 * CHOOSE(CONTROL!$C$22, $C$13, 100%, $E$13)</f>
        <v>11.824199999999999</v>
      </c>
      <c r="J377" s="64">
        <f>7.0724 * CHOOSE(CONTROL!$C$22, $C$13, 100%, $E$13)</f>
        <v>7.0724</v>
      </c>
      <c r="K377" s="64">
        <f>7.0725 * CHOOSE(CONTROL!$C$22, $C$13, 100%, $E$13)</f>
        <v>7.0724999999999998</v>
      </c>
    </row>
    <row r="378" spans="1:11" ht="15">
      <c r="A378" s="13">
        <v>52994</v>
      </c>
      <c r="B378" s="63">
        <f>5.8579 * CHOOSE(CONTROL!$C$22, $C$13, 100%, $E$13)</f>
        <v>5.8578999999999999</v>
      </c>
      <c r="C378" s="63">
        <f>5.8579 * CHOOSE(CONTROL!$C$22, $C$13, 100%, $E$13)</f>
        <v>5.8578999999999999</v>
      </c>
      <c r="D378" s="63">
        <f>5.8579 * CHOOSE(CONTROL!$C$22, $C$13, 100%, $E$13)</f>
        <v>5.8578999999999999</v>
      </c>
      <c r="E378" s="64">
        <f>6.9573 * CHOOSE(CONTROL!$C$22, $C$13, 100%, $E$13)</f>
        <v>6.9573</v>
      </c>
      <c r="F378" s="64">
        <f>6.9573 * CHOOSE(CONTROL!$C$22, $C$13, 100%, $E$13)</f>
        <v>6.9573</v>
      </c>
      <c r="G378" s="64">
        <f>6.9574 * CHOOSE(CONTROL!$C$22, $C$13, 100%, $E$13)</f>
        <v>6.9573999999999998</v>
      </c>
      <c r="H378" s="64">
        <f>11.8488* CHOOSE(CONTROL!$C$22, $C$13, 100%, $E$13)</f>
        <v>11.848800000000001</v>
      </c>
      <c r="I378" s="64">
        <f>11.8488 * CHOOSE(CONTROL!$C$22, $C$13, 100%, $E$13)</f>
        <v>11.848800000000001</v>
      </c>
      <c r="J378" s="64">
        <f>6.9573 * CHOOSE(CONTROL!$C$22, $C$13, 100%, $E$13)</f>
        <v>6.9573</v>
      </c>
      <c r="K378" s="64">
        <f>6.9574 * CHOOSE(CONTROL!$C$22, $C$13, 100%, $E$13)</f>
        <v>6.9573999999999998</v>
      </c>
    </row>
    <row r="379" spans="1:11" ht="15">
      <c r="A379" s="13">
        <v>53022</v>
      </c>
      <c r="B379" s="63">
        <f>5.8548 * CHOOSE(CONTROL!$C$22, $C$13, 100%, $E$13)</f>
        <v>5.8548</v>
      </c>
      <c r="C379" s="63">
        <f>5.8548 * CHOOSE(CONTROL!$C$22, $C$13, 100%, $E$13)</f>
        <v>5.8548</v>
      </c>
      <c r="D379" s="63">
        <f>5.8548 * CHOOSE(CONTROL!$C$22, $C$13, 100%, $E$13)</f>
        <v>5.8548</v>
      </c>
      <c r="E379" s="64">
        <f>7.0443 * CHOOSE(CONTROL!$C$22, $C$13, 100%, $E$13)</f>
        <v>7.0442999999999998</v>
      </c>
      <c r="F379" s="64">
        <f>7.0443 * CHOOSE(CONTROL!$C$22, $C$13, 100%, $E$13)</f>
        <v>7.0442999999999998</v>
      </c>
      <c r="G379" s="64">
        <f>7.0443 * CHOOSE(CONTROL!$C$22, $C$13, 100%, $E$13)</f>
        <v>7.0442999999999998</v>
      </c>
      <c r="H379" s="64">
        <f>11.8735* CHOOSE(CONTROL!$C$22, $C$13, 100%, $E$13)</f>
        <v>11.8735</v>
      </c>
      <c r="I379" s="64">
        <f>11.8735 * CHOOSE(CONTROL!$C$22, $C$13, 100%, $E$13)</f>
        <v>11.8735</v>
      </c>
      <c r="J379" s="64">
        <f>7.0443 * CHOOSE(CONTROL!$C$22, $C$13, 100%, $E$13)</f>
        <v>7.0442999999999998</v>
      </c>
      <c r="K379" s="64">
        <f>7.0443 * CHOOSE(CONTROL!$C$22, $C$13, 100%, $E$13)</f>
        <v>7.0442999999999998</v>
      </c>
    </row>
    <row r="380" spans="1:11" ht="15">
      <c r="A380" s="13">
        <v>53053</v>
      </c>
      <c r="B380" s="63">
        <f>5.8541 * CHOOSE(CONTROL!$C$22, $C$13, 100%, $E$13)</f>
        <v>5.8540999999999999</v>
      </c>
      <c r="C380" s="63">
        <f>5.8541 * CHOOSE(CONTROL!$C$22, $C$13, 100%, $E$13)</f>
        <v>5.8540999999999999</v>
      </c>
      <c r="D380" s="63">
        <f>5.8541 * CHOOSE(CONTROL!$C$22, $C$13, 100%, $E$13)</f>
        <v>5.8540999999999999</v>
      </c>
      <c r="E380" s="64">
        <f>7.1357 * CHOOSE(CONTROL!$C$22, $C$13, 100%, $E$13)</f>
        <v>7.1356999999999999</v>
      </c>
      <c r="F380" s="64">
        <f>7.1357 * CHOOSE(CONTROL!$C$22, $C$13, 100%, $E$13)</f>
        <v>7.1356999999999999</v>
      </c>
      <c r="G380" s="64">
        <f>7.1358 * CHOOSE(CONTROL!$C$22, $C$13, 100%, $E$13)</f>
        <v>7.1357999999999997</v>
      </c>
      <c r="H380" s="64">
        <f>11.8982* CHOOSE(CONTROL!$C$22, $C$13, 100%, $E$13)</f>
        <v>11.898199999999999</v>
      </c>
      <c r="I380" s="64">
        <f>11.8983 * CHOOSE(CONTROL!$C$22, $C$13, 100%, $E$13)</f>
        <v>11.898300000000001</v>
      </c>
      <c r="J380" s="64">
        <f>7.1357 * CHOOSE(CONTROL!$C$22, $C$13, 100%, $E$13)</f>
        <v>7.1356999999999999</v>
      </c>
      <c r="K380" s="64">
        <f>7.1358 * CHOOSE(CONTROL!$C$22, $C$13, 100%, $E$13)</f>
        <v>7.1357999999999997</v>
      </c>
    </row>
    <row r="381" spans="1:11" ht="15">
      <c r="A381" s="13">
        <v>53083</v>
      </c>
      <c r="B381" s="63">
        <f>5.8541 * CHOOSE(CONTROL!$C$22, $C$13, 100%, $E$13)</f>
        <v>5.8540999999999999</v>
      </c>
      <c r="C381" s="63">
        <f>5.8541 * CHOOSE(CONTROL!$C$22, $C$13, 100%, $E$13)</f>
        <v>5.8540999999999999</v>
      </c>
      <c r="D381" s="63">
        <f>5.8625 * CHOOSE(CONTROL!$C$22, $C$13, 100%, $E$13)</f>
        <v>5.8624999999999998</v>
      </c>
      <c r="E381" s="64">
        <f>7.1716 * CHOOSE(CONTROL!$C$22, $C$13, 100%, $E$13)</f>
        <v>7.1715999999999998</v>
      </c>
      <c r="F381" s="64">
        <f>7.1716 * CHOOSE(CONTROL!$C$22, $C$13, 100%, $E$13)</f>
        <v>7.1715999999999998</v>
      </c>
      <c r="G381" s="64">
        <f>7.1818 * CHOOSE(CONTROL!$C$22, $C$13, 100%, $E$13)</f>
        <v>7.1818</v>
      </c>
      <c r="H381" s="64">
        <f>11.923* CHOOSE(CONTROL!$C$22, $C$13, 100%, $E$13)</f>
        <v>11.923</v>
      </c>
      <c r="I381" s="64">
        <f>11.9332 * CHOOSE(CONTROL!$C$22, $C$13, 100%, $E$13)</f>
        <v>11.933199999999999</v>
      </c>
      <c r="J381" s="64">
        <f>7.1716 * CHOOSE(CONTROL!$C$22, $C$13, 100%, $E$13)</f>
        <v>7.1715999999999998</v>
      </c>
      <c r="K381" s="64">
        <f>7.1818 * CHOOSE(CONTROL!$C$22, $C$13, 100%, $E$13)</f>
        <v>7.1818</v>
      </c>
    </row>
    <row r="382" spans="1:11" ht="15">
      <c r="A382" s="13">
        <v>53114</v>
      </c>
      <c r="B382" s="63">
        <f>5.8602 * CHOOSE(CONTROL!$C$22, $C$13, 100%, $E$13)</f>
        <v>5.8601999999999999</v>
      </c>
      <c r="C382" s="63">
        <f>5.8602 * CHOOSE(CONTROL!$C$22, $C$13, 100%, $E$13)</f>
        <v>5.8601999999999999</v>
      </c>
      <c r="D382" s="63">
        <f>5.8686 * CHOOSE(CONTROL!$C$22, $C$13, 100%, $E$13)</f>
        <v>5.8685999999999998</v>
      </c>
      <c r="E382" s="64">
        <f>7.1399 * CHOOSE(CONTROL!$C$22, $C$13, 100%, $E$13)</f>
        <v>7.1398999999999999</v>
      </c>
      <c r="F382" s="64">
        <f>7.1399 * CHOOSE(CONTROL!$C$22, $C$13, 100%, $E$13)</f>
        <v>7.1398999999999999</v>
      </c>
      <c r="G382" s="64">
        <f>7.1502 * CHOOSE(CONTROL!$C$22, $C$13, 100%, $E$13)</f>
        <v>7.1501999999999999</v>
      </c>
      <c r="H382" s="64">
        <f>11.9478* CHOOSE(CONTROL!$C$22, $C$13, 100%, $E$13)</f>
        <v>11.947800000000001</v>
      </c>
      <c r="I382" s="64">
        <f>11.958 * CHOOSE(CONTROL!$C$22, $C$13, 100%, $E$13)</f>
        <v>11.958</v>
      </c>
      <c r="J382" s="64">
        <f>7.1399 * CHOOSE(CONTROL!$C$22, $C$13, 100%, $E$13)</f>
        <v>7.1398999999999999</v>
      </c>
      <c r="K382" s="64">
        <f>7.1502 * CHOOSE(CONTROL!$C$22, $C$13, 100%, $E$13)</f>
        <v>7.1501999999999999</v>
      </c>
    </row>
    <row r="383" spans="1:11" ht="15">
      <c r="A383" s="13">
        <v>53144</v>
      </c>
      <c r="B383" s="63">
        <f>5.955 * CHOOSE(CONTROL!$C$22, $C$13, 100%, $E$13)</f>
        <v>5.9550000000000001</v>
      </c>
      <c r="C383" s="63">
        <f>5.955 * CHOOSE(CONTROL!$C$22, $C$13, 100%, $E$13)</f>
        <v>5.9550000000000001</v>
      </c>
      <c r="D383" s="63">
        <f>5.9634 * CHOOSE(CONTROL!$C$22, $C$13, 100%, $E$13)</f>
        <v>5.9634</v>
      </c>
      <c r="E383" s="64">
        <f>7.2599 * CHOOSE(CONTROL!$C$22, $C$13, 100%, $E$13)</f>
        <v>7.2599</v>
      </c>
      <c r="F383" s="64">
        <f>7.2599 * CHOOSE(CONTROL!$C$22, $C$13, 100%, $E$13)</f>
        <v>7.2599</v>
      </c>
      <c r="G383" s="64">
        <f>7.2701 * CHOOSE(CONTROL!$C$22, $C$13, 100%, $E$13)</f>
        <v>7.2701000000000002</v>
      </c>
      <c r="H383" s="64">
        <f>11.9727* CHOOSE(CONTROL!$C$22, $C$13, 100%, $E$13)</f>
        <v>11.9727</v>
      </c>
      <c r="I383" s="64">
        <f>11.9829 * CHOOSE(CONTROL!$C$22, $C$13, 100%, $E$13)</f>
        <v>11.982900000000001</v>
      </c>
      <c r="J383" s="64">
        <f>7.2599 * CHOOSE(CONTROL!$C$22, $C$13, 100%, $E$13)</f>
        <v>7.2599</v>
      </c>
      <c r="K383" s="64">
        <f>7.2701 * CHOOSE(CONTROL!$C$22, $C$13, 100%, $E$13)</f>
        <v>7.2701000000000002</v>
      </c>
    </row>
    <row r="384" spans="1:11" ht="15">
      <c r="A384" s="13">
        <v>53175</v>
      </c>
      <c r="B384" s="63">
        <f>5.9617 * CHOOSE(CONTROL!$C$22, $C$13, 100%, $E$13)</f>
        <v>5.9617000000000004</v>
      </c>
      <c r="C384" s="63">
        <f>5.9617 * CHOOSE(CONTROL!$C$22, $C$13, 100%, $E$13)</f>
        <v>5.9617000000000004</v>
      </c>
      <c r="D384" s="63">
        <f>5.9701 * CHOOSE(CONTROL!$C$22, $C$13, 100%, $E$13)</f>
        <v>5.9701000000000004</v>
      </c>
      <c r="E384" s="64">
        <f>7.1569 * CHOOSE(CONTROL!$C$22, $C$13, 100%, $E$13)</f>
        <v>7.1569000000000003</v>
      </c>
      <c r="F384" s="64">
        <f>7.1569 * CHOOSE(CONTROL!$C$22, $C$13, 100%, $E$13)</f>
        <v>7.1569000000000003</v>
      </c>
      <c r="G384" s="64">
        <f>7.1672 * CHOOSE(CONTROL!$C$22, $C$13, 100%, $E$13)</f>
        <v>7.1672000000000002</v>
      </c>
      <c r="H384" s="64">
        <f>11.9977* CHOOSE(CONTROL!$C$22, $C$13, 100%, $E$13)</f>
        <v>11.9977</v>
      </c>
      <c r="I384" s="64">
        <f>12.0079 * CHOOSE(CONTROL!$C$22, $C$13, 100%, $E$13)</f>
        <v>12.007899999999999</v>
      </c>
      <c r="J384" s="64">
        <f>7.1569 * CHOOSE(CONTROL!$C$22, $C$13, 100%, $E$13)</f>
        <v>7.1569000000000003</v>
      </c>
      <c r="K384" s="64">
        <f>7.1672 * CHOOSE(CONTROL!$C$22, $C$13, 100%, $E$13)</f>
        <v>7.1672000000000002</v>
      </c>
    </row>
    <row r="385" spans="1:11" ht="15">
      <c r="A385" s="13">
        <v>53206</v>
      </c>
      <c r="B385" s="63">
        <f>5.9586 * CHOOSE(CONTROL!$C$22, $C$13, 100%, $E$13)</f>
        <v>5.9585999999999997</v>
      </c>
      <c r="C385" s="63">
        <f>5.9586 * CHOOSE(CONTROL!$C$22, $C$13, 100%, $E$13)</f>
        <v>5.9585999999999997</v>
      </c>
      <c r="D385" s="63">
        <f>5.9671 * CHOOSE(CONTROL!$C$22, $C$13, 100%, $E$13)</f>
        <v>5.9671000000000003</v>
      </c>
      <c r="E385" s="64">
        <f>7.1429 * CHOOSE(CONTROL!$C$22, $C$13, 100%, $E$13)</f>
        <v>7.1429</v>
      </c>
      <c r="F385" s="64">
        <f>7.1429 * CHOOSE(CONTROL!$C$22, $C$13, 100%, $E$13)</f>
        <v>7.1429</v>
      </c>
      <c r="G385" s="64">
        <f>7.1531 * CHOOSE(CONTROL!$C$22, $C$13, 100%, $E$13)</f>
        <v>7.1531000000000002</v>
      </c>
      <c r="H385" s="64">
        <f>12.0226* CHOOSE(CONTROL!$C$22, $C$13, 100%, $E$13)</f>
        <v>12.022600000000001</v>
      </c>
      <c r="I385" s="64">
        <f>12.0329 * CHOOSE(CONTROL!$C$22, $C$13, 100%, $E$13)</f>
        <v>12.0329</v>
      </c>
      <c r="J385" s="64">
        <f>7.1429 * CHOOSE(CONTROL!$C$22, $C$13, 100%, $E$13)</f>
        <v>7.1429</v>
      </c>
      <c r="K385" s="64">
        <f>7.1531 * CHOOSE(CONTROL!$C$22, $C$13, 100%, $E$13)</f>
        <v>7.1531000000000002</v>
      </c>
    </row>
    <row r="386" spans="1:11" ht="15">
      <c r="A386" s="13">
        <v>53236</v>
      </c>
      <c r="B386" s="63">
        <f>5.9602 * CHOOSE(CONTROL!$C$22, $C$13, 100%, $E$13)</f>
        <v>5.9602000000000004</v>
      </c>
      <c r="C386" s="63">
        <f>5.9602 * CHOOSE(CONTROL!$C$22, $C$13, 100%, $E$13)</f>
        <v>5.9602000000000004</v>
      </c>
      <c r="D386" s="63">
        <f>5.9602 * CHOOSE(CONTROL!$C$22, $C$13, 100%, $E$13)</f>
        <v>5.9602000000000004</v>
      </c>
      <c r="E386" s="64">
        <f>7.1773 * CHOOSE(CONTROL!$C$22, $C$13, 100%, $E$13)</f>
        <v>7.1772999999999998</v>
      </c>
      <c r="F386" s="64">
        <f>7.1773 * CHOOSE(CONTROL!$C$22, $C$13, 100%, $E$13)</f>
        <v>7.1772999999999998</v>
      </c>
      <c r="G386" s="64">
        <f>7.1774 * CHOOSE(CONTROL!$C$22, $C$13, 100%, $E$13)</f>
        <v>7.1773999999999996</v>
      </c>
      <c r="H386" s="64">
        <f>12.0477* CHOOSE(CONTROL!$C$22, $C$13, 100%, $E$13)</f>
        <v>12.047700000000001</v>
      </c>
      <c r="I386" s="64">
        <f>12.0478 * CHOOSE(CONTROL!$C$22, $C$13, 100%, $E$13)</f>
        <v>12.047800000000001</v>
      </c>
      <c r="J386" s="64">
        <f>7.1773 * CHOOSE(CONTROL!$C$22, $C$13, 100%, $E$13)</f>
        <v>7.1772999999999998</v>
      </c>
      <c r="K386" s="64">
        <f>7.1774 * CHOOSE(CONTROL!$C$22, $C$13, 100%, $E$13)</f>
        <v>7.1773999999999996</v>
      </c>
    </row>
    <row r="387" spans="1:11" ht="15">
      <c r="A387" s="13">
        <v>53267</v>
      </c>
      <c r="B387" s="63">
        <f>5.9632 * CHOOSE(CONTROL!$C$22, $C$13, 100%, $E$13)</f>
        <v>5.9631999999999996</v>
      </c>
      <c r="C387" s="63">
        <f>5.9632 * CHOOSE(CONTROL!$C$22, $C$13, 100%, $E$13)</f>
        <v>5.9631999999999996</v>
      </c>
      <c r="D387" s="63">
        <f>5.9632 * CHOOSE(CONTROL!$C$22, $C$13, 100%, $E$13)</f>
        <v>5.9631999999999996</v>
      </c>
      <c r="E387" s="64">
        <f>7.2033 * CHOOSE(CONTROL!$C$22, $C$13, 100%, $E$13)</f>
        <v>7.2032999999999996</v>
      </c>
      <c r="F387" s="64">
        <f>7.2033 * CHOOSE(CONTROL!$C$22, $C$13, 100%, $E$13)</f>
        <v>7.2032999999999996</v>
      </c>
      <c r="G387" s="64">
        <f>7.2034 * CHOOSE(CONTROL!$C$22, $C$13, 100%, $E$13)</f>
        <v>7.2034000000000002</v>
      </c>
      <c r="H387" s="64">
        <f>12.0728* CHOOSE(CONTROL!$C$22, $C$13, 100%, $E$13)</f>
        <v>12.072800000000001</v>
      </c>
      <c r="I387" s="64">
        <f>12.0729 * CHOOSE(CONTROL!$C$22, $C$13, 100%, $E$13)</f>
        <v>12.072900000000001</v>
      </c>
      <c r="J387" s="64">
        <f>7.2033 * CHOOSE(CONTROL!$C$22, $C$13, 100%, $E$13)</f>
        <v>7.2032999999999996</v>
      </c>
      <c r="K387" s="64">
        <f>7.2034 * CHOOSE(CONTROL!$C$22, $C$13, 100%, $E$13)</f>
        <v>7.2034000000000002</v>
      </c>
    </row>
    <row r="388" spans="1:11" ht="15">
      <c r="A388" s="13">
        <v>53297</v>
      </c>
      <c r="B388" s="63">
        <f>5.9632 * CHOOSE(CONTROL!$C$22, $C$13, 100%, $E$13)</f>
        <v>5.9631999999999996</v>
      </c>
      <c r="C388" s="63">
        <f>5.9632 * CHOOSE(CONTROL!$C$22, $C$13, 100%, $E$13)</f>
        <v>5.9631999999999996</v>
      </c>
      <c r="D388" s="63">
        <f>5.9632 * CHOOSE(CONTROL!$C$22, $C$13, 100%, $E$13)</f>
        <v>5.9631999999999996</v>
      </c>
      <c r="E388" s="64">
        <f>7.1435 * CHOOSE(CONTROL!$C$22, $C$13, 100%, $E$13)</f>
        <v>7.1435000000000004</v>
      </c>
      <c r="F388" s="64">
        <f>7.1435 * CHOOSE(CONTROL!$C$22, $C$13, 100%, $E$13)</f>
        <v>7.1435000000000004</v>
      </c>
      <c r="G388" s="64">
        <f>7.1436 * CHOOSE(CONTROL!$C$22, $C$13, 100%, $E$13)</f>
        <v>7.1436000000000002</v>
      </c>
      <c r="H388" s="64">
        <f>12.0979* CHOOSE(CONTROL!$C$22, $C$13, 100%, $E$13)</f>
        <v>12.097899999999999</v>
      </c>
      <c r="I388" s="64">
        <f>12.098 * CHOOSE(CONTROL!$C$22, $C$13, 100%, $E$13)</f>
        <v>12.098000000000001</v>
      </c>
      <c r="J388" s="64">
        <f>7.1435 * CHOOSE(CONTROL!$C$22, $C$13, 100%, $E$13)</f>
        <v>7.1435000000000004</v>
      </c>
      <c r="K388" s="64">
        <f>7.1436 * CHOOSE(CONTROL!$C$22, $C$13, 100%, $E$13)</f>
        <v>7.1436000000000002</v>
      </c>
    </row>
    <row r="389" spans="1:11" ht="15">
      <c r="A389" s="13">
        <v>53328</v>
      </c>
      <c r="B389" s="63">
        <f>6.0155 * CHOOSE(CONTROL!$C$22, $C$13, 100%, $E$13)</f>
        <v>6.0155000000000003</v>
      </c>
      <c r="C389" s="63">
        <f>6.0155 * CHOOSE(CONTROL!$C$22, $C$13, 100%, $E$13)</f>
        <v>6.0155000000000003</v>
      </c>
      <c r="D389" s="63">
        <f>6.0155 * CHOOSE(CONTROL!$C$22, $C$13, 100%, $E$13)</f>
        <v>6.0155000000000003</v>
      </c>
      <c r="E389" s="64">
        <f>7.2452 * CHOOSE(CONTROL!$C$22, $C$13, 100%, $E$13)</f>
        <v>7.2451999999999996</v>
      </c>
      <c r="F389" s="64">
        <f>7.2452 * CHOOSE(CONTROL!$C$22, $C$13, 100%, $E$13)</f>
        <v>7.2451999999999996</v>
      </c>
      <c r="G389" s="64">
        <f>7.2453 * CHOOSE(CONTROL!$C$22, $C$13, 100%, $E$13)</f>
        <v>7.2453000000000003</v>
      </c>
      <c r="H389" s="64">
        <f>12.1231* CHOOSE(CONTROL!$C$22, $C$13, 100%, $E$13)</f>
        <v>12.123100000000001</v>
      </c>
      <c r="I389" s="64">
        <f>12.1232 * CHOOSE(CONTROL!$C$22, $C$13, 100%, $E$13)</f>
        <v>12.123200000000001</v>
      </c>
      <c r="J389" s="64">
        <f>7.2452 * CHOOSE(CONTROL!$C$22, $C$13, 100%, $E$13)</f>
        <v>7.2451999999999996</v>
      </c>
      <c r="K389" s="64">
        <f>7.2453 * CHOOSE(CONTROL!$C$22, $C$13, 100%, $E$13)</f>
        <v>7.2453000000000003</v>
      </c>
    </row>
    <row r="390" spans="1:11" ht="15">
      <c r="A390" s="13">
        <v>53359</v>
      </c>
      <c r="B390" s="63">
        <f>6.0125 * CHOOSE(CONTROL!$C$22, $C$13, 100%, $E$13)</f>
        <v>6.0125000000000002</v>
      </c>
      <c r="C390" s="63">
        <f>6.0125 * CHOOSE(CONTROL!$C$22, $C$13, 100%, $E$13)</f>
        <v>6.0125000000000002</v>
      </c>
      <c r="D390" s="63">
        <f>6.0125 * CHOOSE(CONTROL!$C$22, $C$13, 100%, $E$13)</f>
        <v>6.0125000000000002</v>
      </c>
      <c r="E390" s="64">
        <f>7.1269 * CHOOSE(CONTROL!$C$22, $C$13, 100%, $E$13)</f>
        <v>7.1269</v>
      </c>
      <c r="F390" s="64">
        <f>7.1269 * CHOOSE(CONTROL!$C$22, $C$13, 100%, $E$13)</f>
        <v>7.1269</v>
      </c>
      <c r="G390" s="64">
        <f>7.127 * CHOOSE(CONTROL!$C$22, $C$13, 100%, $E$13)</f>
        <v>7.1269999999999998</v>
      </c>
      <c r="H390" s="64">
        <f>12.1484* CHOOSE(CONTROL!$C$22, $C$13, 100%, $E$13)</f>
        <v>12.148400000000001</v>
      </c>
      <c r="I390" s="64">
        <f>12.1485 * CHOOSE(CONTROL!$C$22, $C$13, 100%, $E$13)</f>
        <v>12.1485</v>
      </c>
      <c r="J390" s="64">
        <f>7.1269 * CHOOSE(CONTROL!$C$22, $C$13, 100%, $E$13)</f>
        <v>7.1269</v>
      </c>
      <c r="K390" s="64">
        <f>7.127 * CHOOSE(CONTROL!$C$22, $C$13, 100%, $E$13)</f>
        <v>7.1269999999999998</v>
      </c>
    </row>
    <row r="391" spans="1:11" ht="15">
      <c r="A391" s="13">
        <v>53387</v>
      </c>
      <c r="B391" s="63">
        <f>6.0094 * CHOOSE(CONTROL!$C$22, $C$13, 100%, $E$13)</f>
        <v>6.0094000000000003</v>
      </c>
      <c r="C391" s="63">
        <f>6.0094 * CHOOSE(CONTROL!$C$22, $C$13, 100%, $E$13)</f>
        <v>6.0094000000000003</v>
      </c>
      <c r="D391" s="63">
        <f>6.0094 * CHOOSE(CONTROL!$C$22, $C$13, 100%, $E$13)</f>
        <v>6.0094000000000003</v>
      </c>
      <c r="E391" s="64">
        <f>7.2164 * CHOOSE(CONTROL!$C$22, $C$13, 100%, $E$13)</f>
        <v>7.2164000000000001</v>
      </c>
      <c r="F391" s="64">
        <f>7.2164 * CHOOSE(CONTROL!$C$22, $C$13, 100%, $E$13)</f>
        <v>7.2164000000000001</v>
      </c>
      <c r="G391" s="64">
        <f>7.2164 * CHOOSE(CONTROL!$C$22, $C$13, 100%, $E$13)</f>
        <v>7.2164000000000001</v>
      </c>
      <c r="H391" s="64">
        <f>12.1737* CHOOSE(CONTROL!$C$22, $C$13, 100%, $E$13)</f>
        <v>12.1737</v>
      </c>
      <c r="I391" s="64">
        <f>12.1738 * CHOOSE(CONTROL!$C$22, $C$13, 100%, $E$13)</f>
        <v>12.1738</v>
      </c>
      <c r="J391" s="64">
        <f>7.2164 * CHOOSE(CONTROL!$C$22, $C$13, 100%, $E$13)</f>
        <v>7.2164000000000001</v>
      </c>
      <c r="K391" s="64">
        <f>7.2164 * CHOOSE(CONTROL!$C$22, $C$13, 100%, $E$13)</f>
        <v>7.2164000000000001</v>
      </c>
    </row>
    <row r="392" spans="1:11" ht="15">
      <c r="A392" s="13">
        <v>53418</v>
      </c>
      <c r="B392" s="63">
        <f>6.0088 * CHOOSE(CONTROL!$C$22, $C$13, 100%, $E$13)</f>
        <v>6.0087999999999999</v>
      </c>
      <c r="C392" s="63">
        <f>6.0088 * CHOOSE(CONTROL!$C$22, $C$13, 100%, $E$13)</f>
        <v>6.0087999999999999</v>
      </c>
      <c r="D392" s="63">
        <f>6.0088 * CHOOSE(CONTROL!$C$22, $C$13, 100%, $E$13)</f>
        <v>6.0087999999999999</v>
      </c>
      <c r="E392" s="64">
        <f>7.3105 * CHOOSE(CONTROL!$C$22, $C$13, 100%, $E$13)</f>
        <v>7.3105000000000002</v>
      </c>
      <c r="F392" s="64">
        <f>7.3105 * CHOOSE(CONTROL!$C$22, $C$13, 100%, $E$13)</f>
        <v>7.3105000000000002</v>
      </c>
      <c r="G392" s="64">
        <f>7.3106 * CHOOSE(CONTROL!$C$22, $C$13, 100%, $E$13)</f>
        <v>7.3106</v>
      </c>
      <c r="H392" s="64">
        <f>12.1991* CHOOSE(CONTROL!$C$22, $C$13, 100%, $E$13)</f>
        <v>12.1991</v>
      </c>
      <c r="I392" s="64">
        <f>12.1992 * CHOOSE(CONTROL!$C$22, $C$13, 100%, $E$13)</f>
        <v>12.199199999999999</v>
      </c>
      <c r="J392" s="64">
        <f>7.3105 * CHOOSE(CONTROL!$C$22, $C$13, 100%, $E$13)</f>
        <v>7.3105000000000002</v>
      </c>
      <c r="K392" s="64">
        <f>7.3106 * CHOOSE(CONTROL!$C$22, $C$13, 100%, $E$13)</f>
        <v>7.3106</v>
      </c>
    </row>
    <row r="393" spans="1:11" ht="15">
      <c r="A393" s="13">
        <v>53448</v>
      </c>
      <c r="B393" s="63">
        <f>6.0088 * CHOOSE(CONTROL!$C$22, $C$13, 100%, $E$13)</f>
        <v>6.0087999999999999</v>
      </c>
      <c r="C393" s="63">
        <f>6.0088 * CHOOSE(CONTROL!$C$22, $C$13, 100%, $E$13)</f>
        <v>6.0087999999999999</v>
      </c>
      <c r="D393" s="63">
        <f>6.0172 * CHOOSE(CONTROL!$C$22, $C$13, 100%, $E$13)</f>
        <v>6.0171999999999999</v>
      </c>
      <c r="E393" s="64">
        <f>7.3474 * CHOOSE(CONTROL!$C$22, $C$13, 100%, $E$13)</f>
        <v>7.3474000000000004</v>
      </c>
      <c r="F393" s="64">
        <f>7.3474 * CHOOSE(CONTROL!$C$22, $C$13, 100%, $E$13)</f>
        <v>7.3474000000000004</v>
      </c>
      <c r="G393" s="64">
        <f>7.3576 * CHOOSE(CONTROL!$C$22, $C$13, 100%, $E$13)</f>
        <v>7.3575999999999997</v>
      </c>
      <c r="H393" s="64">
        <f>12.2245* CHOOSE(CONTROL!$C$22, $C$13, 100%, $E$13)</f>
        <v>12.224500000000001</v>
      </c>
      <c r="I393" s="64">
        <f>12.2347 * CHOOSE(CONTROL!$C$22, $C$13, 100%, $E$13)</f>
        <v>12.2347</v>
      </c>
      <c r="J393" s="64">
        <f>7.3474 * CHOOSE(CONTROL!$C$22, $C$13, 100%, $E$13)</f>
        <v>7.3474000000000004</v>
      </c>
      <c r="K393" s="64">
        <f>7.3576 * CHOOSE(CONTROL!$C$22, $C$13, 100%, $E$13)</f>
        <v>7.3575999999999997</v>
      </c>
    </row>
    <row r="394" spans="1:11" ht="15">
      <c r="A394" s="13">
        <v>53479</v>
      </c>
      <c r="B394" s="63">
        <f>6.0149 * CHOOSE(CONTROL!$C$22, $C$13, 100%, $E$13)</f>
        <v>6.0148999999999999</v>
      </c>
      <c r="C394" s="63">
        <f>6.0149 * CHOOSE(CONTROL!$C$22, $C$13, 100%, $E$13)</f>
        <v>6.0148999999999999</v>
      </c>
      <c r="D394" s="63">
        <f>6.0233 * CHOOSE(CONTROL!$C$22, $C$13, 100%, $E$13)</f>
        <v>6.0232999999999999</v>
      </c>
      <c r="E394" s="64">
        <f>7.3147 * CHOOSE(CONTROL!$C$22, $C$13, 100%, $E$13)</f>
        <v>7.3147000000000002</v>
      </c>
      <c r="F394" s="64">
        <f>7.3147 * CHOOSE(CONTROL!$C$22, $C$13, 100%, $E$13)</f>
        <v>7.3147000000000002</v>
      </c>
      <c r="G394" s="64">
        <f>7.3249 * CHOOSE(CONTROL!$C$22, $C$13, 100%, $E$13)</f>
        <v>7.3249000000000004</v>
      </c>
      <c r="H394" s="64">
        <f>12.25* CHOOSE(CONTROL!$C$22, $C$13, 100%, $E$13)</f>
        <v>12.25</v>
      </c>
      <c r="I394" s="64">
        <f>12.2602 * CHOOSE(CONTROL!$C$22, $C$13, 100%, $E$13)</f>
        <v>12.260199999999999</v>
      </c>
      <c r="J394" s="64">
        <f>7.3147 * CHOOSE(CONTROL!$C$22, $C$13, 100%, $E$13)</f>
        <v>7.3147000000000002</v>
      </c>
      <c r="K394" s="64">
        <f>7.3249 * CHOOSE(CONTROL!$C$22, $C$13, 100%, $E$13)</f>
        <v>7.3249000000000004</v>
      </c>
    </row>
    <row r="395" spans="1:11" ht="15">
      <c r="A395" s="13">
        <v>53509</v>
      </c>
      <c r="B395" s="63">
        <f>6.1119 * CHOOSE(CONTROL!$C$22, $C$13, 100%, $E$13)</f>
        <v>6.1119000000000003</v>
      </c>
      <c r="C395" s="63">
        <f>6.1119 * CHOOSE(CONTROL!$C$22, $C$13, 100%, $E$13)</f>
        <v>6.1119000000000003</v>
      </c>
      <c r="D395" s="63">
        <f>6.1204 * CHOOSE(CONTROL!$C$22, $C$13, 100%, $E$13)</f>
        <v>6.1204000000000001</v>
      </c>
      <c r="E395" s="64">
        <f>7.4374 * CHOOSE(CONTROL!$C$22, $C$13, 100%, $E$13)</f>
        <v>7.4374000000000002</v>
      </c>
      <c r="F395" s="64">
        <f>7.4374 * CHOOSE(CONTROL!$C$22, $C$13, 100%, $E$13)</f>
        <v>7.4374000000000002</v>
      </c>
      <c r="G395" s="64">
        <f>7.4476 * CHOOSE(CONTROL!$C$22, $C$13, 100%, $E$13)</f>
        <v>7.4476000000000004</v>
      </c>
      <c r="H395" s="64">
        <f>12.2755* CHOOSE(CONTROL!$C$22, $C$13, 100%, $E$13)</f>
        <v>12.275499999999999</v>
      </c>
      <c r="I395" s="64">
        <f>12.2857 * CHOOSE(CONTROL!$C$22, $C$13, 100%, $E$13)</f>
        <v>12.2857</v>
      </c>
      <c r="J395" s="64">
        <f>7.4374 * CHOOSE(CONTROL!$C$22, $C$13, 100%, $E$13)</f>
        <v>7.4374000000000002</v>
      </c>
      <c r="K395" s="64">
        <f>7.4476 * CHOOSE(CONTROL!$C$22, $C$13, 100%, $E$13)</f>
        <v>7.4476000000000004</v>
      </c>
    </row>
    <row r="396" spans="1:11" ht="15">
      <c r="A396" s="13">
        <v>53540</v>
      </c>
      <c r="B396" s="63">
        <f>6.1186 * CHOOSE(CONTROL!$C$22, $C$13, 100%, $E$13)</f>
        <v>6.1185999999999998</v>
      </c>
      <c r="C396" s="63">
        <f>6.1186 * CHOOSE(CONTROL!$C$22, $C$13, 100%, $E$13)</f>
        <v>6.1185999999999998</v>
      </c>
      <c r="D396" s="63">
        <f>6.1271 * CHOOSE(CONTROL!$C$22, $C$13, 100%, $E$13)</f>
        <v>6.1271000000000004</v>
      </c>
      <c r="E396" s="64">
        <f>7.3314 * CHOOSE(CONTROL!$C$22, $C$13, 100%, $E$13)</f>
        <v>7.3314000000000004</v>
      </c>
      <c r="F396" s="64">
        <f>7.3314 * CHOOSE(CONTROL!$C$22, $C$13, 100%, $E$13)</f>
        <v>7.3314000000000004</v>
      </c>
      <c r="G396" s="64">
        <f>7.3416 * CHOOSE(CONTROL!$C$22, $C$13, 100%, $E$13)</f>
        <v>7.3415999999999997</v>
      </c>
      <c r="H396" s="64">
        <f>12.3011* CHOOSE(CONTROL!$C$22, $C$13, 100%, $E$13)</f>
        <v>12.3011</v>
      </c>
      <c r="I396" s="64">
        <f>12.3113 * CHOOSE(CONTROL!$C$22, $C$13, 100%, $E$13)</f>
        <v>12.311299999999999</v>
      </c>
      <c r="J396" s="64">
        <f>7.3314 * CHOOSE(CONTROL!$C$22, $C$13, 100%, $E$13)</f>
        <v>7.3314000000000004</v>
      </c>
      <c r="K396" s="64">
        <f>7.3416 * CHOOSE(CONTROL!$C$22, $C$13, 100%, $E$13)</f>
        <v>7.3415999999999997</v>
      </c>
    </row>
    <row r="397" spans="1:11" ht="15">
      <c r="A397" s="13">
        <v>53571</v>
      </c>
      <c r="B397" s="63">
        <f>6.1156 * CHOOSE(CONTROL!$C$22, $C$13, 100%, $E$13)</f>
        <v>6.1155999999999997</v>
      </c>
      <c r="C397" s="63">
        <f>6.1156 * CHOOSE(CONTROL!$C$22, $C$13, 100%, $E$13)</f>
        <v>6.1155999999999997</v>
      </c>
      <c r="D397" s="63">
        <f>6.124 * CHOOSE(CONTROL!$C$22, $C$13, 100%, $E$13)</f>
        <v>6.1239999999999997</v>
      </c>
      <c r="E397" s="64">
        <f>7.317 * CHOOSE(CONTROL!$C$22, $C$13, 100%, $E$13)</f>
        <v>7.3170000000000002</v>
      </c>
      <c r="F397" s="64">
        <f>7.317 * CHOOSE(CONTROL!$C$22, $C$13, 100%, $E$13)</f>
        <v>7.3170000000000002</v>
      </c>
      <c r="G397" s="64">
        <f>7.3272 * CHOOSE(CONTROL!$C$22, $C$13, 100%, $E$13)</f>
        <v>7.3272000000000004</v>
      </c>
      <c r="H397" s="64">
        <f>12.3267* CHOOSE(CONTROL!$C$22, $C$13, 100%, $E$13)</f>
        <v>12.326700000000001</v>
      </c>
      <c r="I397" s="64">
        <f>12.3369 * CHOOSE(CONTROL!$C$22, $C$13, 100%, $E$13)</f>
        <v>12.3369</v>
      </c>
      <c r="J397" s="64">
        <f>7.317 * CHOOSE(CONTROL!$C$22, $C$13, 100%, $E$13)</f>
        <v>7.3170000000000002</v>
      </c>
      <c r="K397" s="64">
        <f>7.3272 * CHOOSE(CONTROL!$C$22, $C$13, 100%, $E$13)</f>
        <v>7.3272000000000004</v>
      </c>
    </row>
    <row r="398" spans="1:11" ht="15">
      <c r="A398" s="13">
        <v>53601</v>
      </c>
      <c r="B398" s="63">
        <f>6.1176 * CHOOSE(CONTROL!$C$22, $C$13, 100%, $E$13)</f>
        <v>6.1176000000000004</v>
      </c>
      <c r="C398" s="63">
        <f>6.1176 * CHOOSE(CONTROL!$C$22, $C$13, 100%, $E$13)</f>
        <v>6.1176000000000004</v>
      </c>
      <c r="D398" s="63">
        <f>6.1177 * CHOOSE(CONTROL!$C$22, $C$13, 100%, $E$13)</f>
        <v>6.1177000000000001</v>
      </c>
      <c r="E398" s="64">
        <f>7.3527 * CHOOSE(CONTROL!$C$22, $C$13, 100%, $E$13)</f>
        <v>7.3526999999999996</v>
      </c>
      <c r="F398" s="64">
        <f>7.3527 * CHOOSE(CONTROL!$C$22, $C$13, 100%, $E$13)</f>
        <v>7.3526999999999996</v>
      </c>
      <c r="G398" s="64">
        <f>7.3528 * CHOOSE(CONTROL!$C$22, $C$13, 100%, $E$13)</f>
        <v>7.3528000000000002</v>
      </c>
      <c r="H398" s="64">
        <f>12.3524* CHOOSE(CONTROL!$C$22, $C$13, 100%, $E$13)</f>
        <v>12.352399999999999</v>
      </c>
      <c r="I398" s="64">
        <f>12.3524 * CHOOSE(CONTROL!$C$22, $C$13, 100%, $E$13)</f>
        <v>12.352399999999999</v>
      </c>
      <c r="J398" s="64">
        <f>7.3527 * CHOOSE(CONTROL!$C$22, $C$13, 100%, $E$13)</f>
        <v>7.3526999999999996</v>
      </c>
      <c r="K398" s="64">
        <f>7.3528 * CHOOSE(CONTROL!$C$22, $C$13, 100%, $E$13)</f>
        <v>7.3528000000000002</v>
      </c>
    </row>
    <row r="399" spans="1:11" ht="15">
      <c r="A399" s="13">
        <v>53632</v>
      </c>
      <c r="B399" s="63">
        <f>6.1207 * CHOOSE(CONTROL!$C$22, $C$13, 100%, $E$13)</f>
        <v>6.1207000000000003</v>
      </c>
      <c r="C399" s="63">
        <f>6.1207 * CHOOSE(CONTROL!$C$22, $C$13, 100%, $E$13)</f>
        <v>6.1207000000000003</v>
      </c>
      <c r="D399" s="63">
        <f>6.1207 * CHOOSE(CONTROL!$C$22, $C$13, 100%, $E$13)</f>
        <v>6.1207000000000003</v>
      </c>
      <c r="E399" s="64">
        <f>7.3794 * CHOOSE(CONTROL!$C$22, $C$13, 100%, $E$13)</f>
        <v>7.3794000000000004</v>
      </c>
      <c r="F399" s="64">
        <f>7.3794 * CHOOSE(CONTROL!$C$22, $C$13, 100%, $E$13)</f>
        <v>7.3794000000000004</v>
      </c>
      <c r="G399" s="64">
        <f>7.3795 * CHOOSE(CONTROL!$C$22, $C$13, 100%, $E$13)</f>
        <v>7.3795000000000002</v>
      </c>
      <c r="H399" s="64">
        <f>12.3781* CHOOSE(CONTROL!$C$22, $C$13, 100%, $E$13)</f>
        <v>12.3781</v>
      </c>
      <c r="I399" s="64">
        <f>12.3782 * CHOOSE(CONTROL!$C$22, $C$13, 100%, $E$13)</f>
        <v>12.3782</v>
      </c>
      <c r="J399" s="64">
        <f>7.3794 * CHOOSE(CONTROL!$C$22, $C$13, 100%, $E$13)</f>
        <v>7.3794000000000004</v>
      </c>
      <c r="K399" s="64">
        <f>7.3795 * CHOOSE(CONTROL!$C$22, $C$13, 100%, $E$13)</f>
        <v>7.3795000000000002</v>
      </c>
    </row>
    <row r="400" spans="1:11" ht="15">
      <c r="A400" s="13">
        <v>53662</v>
      </c>
      <c r="B400" s="63">
        <f>6.1207 * CHOOSE(CONTROL!$C$22, $C$13, 100%, $E$13)</f>
        <v>6.1207000000000003</v>
      </c>
      <c r="C400" s="63">
        <f>6.1207 * CHOOSE(CONTROL!$C$22, $C$13, 100%, $E$13)</f>
        <v>6.1207000000000003</v>
      </c>
      <c r="D400" s="63">
        <f>6.1207 * CHOOSE(CONTROL!$C$22, $C$13, 100%, $E$13)</f>
        <v>6.1207000000000003</v>
      </c>
      <c r="E400" s="64">
        <f>7.318 * CHOOSE(CONTROL!$C$22, $C$13, 100%, $E$13)</f>
        <v>7.3179999999999996</v>
      </c>
      <c r="F400" s="64">
        <f>7.318 * CHOOSE(CONTROL!$C$22, $C$13, 100%, $E$13)</f>
        <v>7.3179999999999996</v>
      </c>
      <c r="G400" s="64">
        <f>7.318 * CHOOSE(CONTROL!$C$22, $C$13, 100%, $E$13)</f>
        <v>7.3179999999999996</v>
      </c>
      <c r="H400" s="64">
        <f>12.4039* CHOOSE(CONTROL!$C$22, $C$13, 100%, $E$13)</f>
        <v>12.4039</v>
      </c>
      <c r="I400" s="64">
        <f>12.404 * CHOOSE(CONTROL!$C$22, $C$13, 100%, $E$13)</f>
        <v>12.404</v>
      </c>
      <c r="J400" s="64">
        <f>7.318 * CHOOSE(CONTROL!$C$22, $C$13, 100%, $E$13)</f>
        <v>7.3179999999999996</v>
      </c>
      <c r="K400" s="64">
        <f>7.318 * CHOOSE(CONTROL!$C$22, $C$13, 100%, $E$13)</f>
        <v>7.3179999999999996</v>
      </c>
    </row>
    <row r="401" spans="1:11" ht="15">
      <c r="A401" s="13">
        <v>53693</v>
      </c>
      <c r="B401" s="63">
        <f>6.1742 * CHOOSE(CONTROL!$C$22, $C$13, 100%, $E$13)</f>
        <v>6.1741999999999999</v>
      </c>
      <c r="C401" s="63">
        <f>6.1742 * CHOOSE(CONTROL!$C$22, $C$13, 100%, $E$13)</f>
        <v>6.1741999999999999</v>
      </c>
      <c r="D401" s="63">
        <f>6.1742 * CHOOSE(CONTROL!$C$22, $C$13, 100%, $E$13)</f>
        <v>6.1741999999999999</v>
      </c>
      <c r="E401" s="64">
        <f>7.4222 * CHOOSE(CONTROL!$C$22, $C$13, 100%, $E$13)</f>
        <v>7.4222000000000001</v>
      </c>
      <c r="F401" s="64">
        <f>7.4222 * CHOOSE(CONTROL!$C$22, $C$13, 100%, $E$13)</f>
        <v>7.4222000000000001</v>
      </c>
      <c r="G401" s="64">
        <f>7.4223 * CHOOSE(CONTROL!$C$22, $C$13, 100%, $E$13)</f>
        <v>7.4222999999999999</v>
      </c>
      <c r="H401" s="64">
        <f>12.4297* CHOOSE(CONTROL!$C$22, $C$13, 100%, $E$13)</f>
        <v>12.4297</v>
      </c>
      <c r="I401" s="64">
        <f>12.4298 * CHOOSE(CONTROL!$C$22, $C$13, 100%, $E$13)</f>
        <v>12.4298</v>
      </c>
      <c r="J401" s="64">
        <f>7.4222 * CHOOSE(CONTROL!$C$22, $C$13, 100%, $E$13)</f>
        <v>7.4222000000000001</v>
      </c>
      <c r="K401" s="64">
        <f>7.4223 * CHOOSE(CONTROL!$C$22, $C$13, 100%, $E$13)</f>
        <v>7.4222999999999999</v>
      </c>
    </row>
    <row r="402" spans="1:11" ht="15">
      <c r="A402" s="13">
        <v>53724</v>
      </c>
      <c r="B402" s="63">
        <f>6.1712 * CHOOSE(CONTROL!$C$22, $C$13, 100%, $E$13)</f>
        <v>6.1711999999999998</v>
      </c>
      <c r="C402" s="63">
        <f>6.1712 * CHOOSE(CONTROL!$C$22, $C$13, 100%, $E$13)</f>
        <v>6.1711999999999998</v>
      </c>
      <c r="D402" s="63">
        <f>6.1712 * CHOOSE(CONTROL!$C$22, $C$13, 100%, $E$13)</f>
        <v>6.1711999999999998</v>
      </c>
      <c r="E402" s="64">
        <f>7.3006 * CHOOSE(CONTROL!$C$22, $C$13, 100%, $E$13)</f>
        <v>7.3006000000000002</v>
      </c>
      <c r="F402" s="64">
        <f>7.3006 * CHOOSE(CONTROL!$C$22, $C$13, 100%, $E$13)</f>
        <v>7.3006000000000002</v>
      </c>
      <c r="G402" s="64">
        <f>7.3007 * CHOOSE(CONTROL!$C$22, $C$13, 100%, $E$13)</f>
        <v>7.3007</v>
      </c>
      <c r="H402" s="64">
        <f>12.4556* CHOOSE(CONTROL!$C$22, $C$13, 100%, $E$13)</f>
        <v>12.4556</v>
      </c>
      <c r="I402" s="64">
        <f>12.4557 * CHOOSE(CONTROL!$C$22, $C$13, 100%, $E$13)</f>
        <v>12.4557</v>
      </c>
      <c r="J402" s="64">
        <f>7.3006 * CHOOSE(CONTROL!$C$22, $C$13, 100%, $E$13)</f>
        <v>7.3006000000000002</v>
      </c>
      <c r="K402" s="64">
        <f>7.3007 * CHOOSE(CONTROL!$C$22, $C$13, 100%, $E$13)</f>
        <v>7.3007</v>
      </c>
    </row>
    <row r="403" spans="1:11" ht="15">
      <c r="A403" s="13">
        <v>53752</v>
      </c>
      <c r="B403" s="63">
        <f>6.1681 * CHOOSE(CONTROL!$C$22, $C$13, 100%, $E$13)</f>
        <v>6.1680999999999999</v>
      </c>
      <c r="C403" s="63">
        <f>6.1681 * CHOOSE(CONTROL!$C$22, $C$13, 100%, $E$13)</f>
        <v>6.1680999999999999</v>
      </c>
      <c r="D403" s="63">
        <f>6.1682 * CHOOSE(CONTROL!$C$22, $C$13, 100%, $E$13)</f>
        <v>6.1681999999999997</v>
      </c>
      <c r="E403" s="64">
        <f>7.3927 * CHOOSE(CONTROL!$C$22, $C$13, 100%, $E$13)</f>
        <v>7.3926999999999996</v>
      </c>
      <c r="F403" s="64">
        <f>7.3927 * CHOOSE(CONTROL!$C$22, $C$13, 100%, $E$13)</f>
        <v>7.3926999999999996</v>
      </c>
      <c r="G403" s="64">
        <f>7.3928 * CHOOSE(CONTROL!$C$22, $C$13, 100%, $E$13)</f>
        <v>7.3928000000000003</v>
      </c>
      <c r="H403" s="64">
        <f>12.4816* CHOOSE(CONTROL!$C$22, $C$13, 100%, $E$13)</f>
        <v>12.4816</v>
      </c>
      <c r="I403" s="64">
        <f>12.4817 * CHOOSE(CONTROL!$C$22, $C$13, 100%, $E$13)</f>
        <v>12.4817</v>
      </c>
      <c r="J403" s="64">
        <f>7.3927 * CHOOSE(CONTROL!$C$22, $C$13, 100%, $E$13)</f>
        <v>7.3926999999999996</v>
      </c>
      <c r="K403" s="64">
        <f>7.3928 * CHOOSE(CONTROL!$C$22, $C$13, 100%, $E$13)</f>
        <v>7.3928000000000003</v>
      </c>
    </row>
    <row r="404" spans="1:11" ht="15">
      <c r="A404" s="13">
        <v>53783</v>
      </c>
      <c r="B404" s="63">
        <f>6.1677 * CHOOSE(CONTROL!$C$22, $C$13, 100%, $E$13)</f>
        <v>6.1677</v>
      </c>
      <c r="C404" s="63">
        <f>6.1677 * CHOOSE(CONTROL!$C$22, $C$13, 100%, $E$13)</f>
        <v>6.1677</v>
      </c>
      <c r="D404" s="63">
        <f>6.1677 * CHOOSE(CONTROL!$C$22, $C$13, 100%, $E$13)</f>
        <v>6.1677</v>
      </c>
      <c r="E404" s="64">
        <f>7.4896 * CHOOSE(CONTROL!$C$22, $C$13, 100%, $E$13)</f>
        <v>7.4896000000000003</v>
      </c>
      <c r="F404" s="64">
        <f>7.4896 * CHOOSE(CONTROL!$C$22, $C$13, 100%, $E$13)</f>
        <v>7.4896000000000003</v>
      </c>
      <c r="G404" s="64">
        <f>7.4896 * CHOOSE(CONTROL!$C$22, $C$13, 100%, $E$13)</f>
        <v>7.4896000000000003</v>
      </c>
      <c r="H404" s="64">
        <f>12.5076* CHOOSE(CONTROL!$C$22, $C$13, 100%, $E$13)</f>
        <v>12.5076</v>
      </c>
      <c r="I404" s="64">
        <f>12.5077 * CHOOSE(CONTROL!$C$22, $C$13, 100%, $E$13)</f>
        <v>12.5077</v>
      </c>
      <c r="J404" s="64">
        <f>7.4896 * CHOOSE(CONTROL!$C$22, $C$13, 100%, $E$13)</f>
        <v>7.4896000000000003</v>
      </c>
      <c r="K404" s="64">
        <f>7.4896 * CHOOSE(CONTROL!$C$22, $C$13, 100%, $E$13)</f>
        <v>7.4896000000000003</v>
      </c>
    </row>
    <row r="405" spans="1:11" ht="15">
      <c r="A405" s="13">
        <v>53813</v>
      </c>
      <c r="B405" s="63">
        <f>6.1677 * CHOOSE(CONTROL!$C$22, $C$13, 100%, $E$13)</f>
        <v>6.1677</v>
      </c>
      <c r="C405" s="63">
        <f>6.1677 * CHOOSE(CONTROL!$C$22, $C$13, 100%, $E$13)</f>
        <v>6.1677</v>
      </c>
      <c r="D405" s="63">
        <f>6.1761 * CHOOSE(CONTROL!$C$22, $C$13, 100%, $E$13)</f>
        <v>6.1760999999999999</v>
      </c>
      <c r="E405" s="64">
        <f>7.5275 * CHOOSE(CONTROL!$C$22, $C$13, 100%, $E$13)</f>
        <v>7.5274999999999999</v>
      </c>
      <c r="F405" s="64">
        <f>7.5275 * CHOOSE(CONTROL!$C$22, $C$13, 100%, $E$13)</f>
        <v>7.5274999999999999</v>
      </c>
      <c r="G405" s="64">
        <f>7.5377 * CHOOSE(CONTROL!$C$22, $C$13, 100%, $E$13)</f>
        <v>7.5377000000000001</v>
      </c>
      <c r="H405" s="64">
        <f>12.5336* CHOOSE(CONTROL!$C$22, $C$13, 100%, $E$13)</f>
        <v>12.5336</v>
      </c>
      <c r="I405" s="64">
        <f>12.5439 * CHOOSE(CONTROL!$C$22, $C$13, 100%, $E$13)</f>
        <v>12.543900000000001</v>
      </c>
      <c r="J405" s="64">
        <f>7.5275 * CHOOSE(CONTROL!$C$22, $C$13, 100%, $E$13)</f>
        <v>7.5274999999999999</v>
      </c>
      <c r="K405" s="64">
        <f>7.5377 * CHOOSE(CONTROL!$C$22, $C$13, 100%, $E$13)</f>
        <v>7.5377000000000001</v>
      </c>
    </row>
    <row r="406" spans="1:11" ht="15">
      <c r="A406" s="13">
        <v>53844</v>
      </c>
      <c r="B406" s="63">
        <f>6.1737 * CHOOSE(CONTROL!$C$22, $C$13, 100%, $E$13)</f>
        <v>6.1737000000000002</v>
      </c>
      <c r="C406" s="63">
        <f>6.1737 * CHOOSE(CONTROL!$C$22, $C$13, 100%, $E$13)</f>
        <v>6.1737000000000002</v>
      </c>
      <c r="D406" s="63">
        <f>6.1822 * CHOOSE(CONTROL!$C$22, $C$13, 100%, $E$13)</f>
        <v>6.1821999999999999</v>
      </c>
      <c r="E406" s="64">
        <f>7.4938 * CHOOSE(CONTROL!$C$22, $C$13, 100%, $E$13)</f>
        <v>7.4938000000000002</v>
      </c>
      <c r="F406" s="64">
        <f>7.4938 * CHOOSE(CONTROL!$C$22, $C$13, 100%, $E$13)</f>
        <v>7.4938000000000002</v>
      </c>
      <c r="G406" s="64">
        <f>7.504 * CHOOSE(CONTROL!$C$22, $C$13, 100%, $E$13)</f>
        <v>7.5039999999999996</v>
      </c>
      <c r="H406" s="64">
        <f>12.5597* CHOOSE(CONTROL!$C$22, $C$13, 100%, $E$13)</f>
        <v>12.559699999999999</v>
      </c>
      <c r="I406" s="64">
        <f>12.57 * CHOOSE(CONTROL!$C$22, $C$13, 100%, $E$13)</f>
        <v>12.57</v>
      </c>
      <c r="J406" s="64">
        <f>7.4938 * CHOOSE(CONTROL!$C$22, $C$13, 100%, $E$13)</f>
        <v>7.4938000000000002</v>
      </c>
      <c r="K406" s="64">
        <f>7.504 * CHOOSE(CONTROL!$C$22, $C$13, 100%, $E$13)</f>
        <v>7.5039999999999996</v>
      </c>
    </row>
    <row r="407" spans="1:11" ht="15">
      <c r="A407" s="13">
        <v>53874</v>
      </c>
      <c r="B407" s="63">
        <f>6.273 * CHOOSE(CONTROL!$C$22, $C$13, 100%, $E$13)</f>
        <v>6.2729999999999997</v>
      </c>
      <c r="C407" s="63">
        <f>6.273 * CHOOSE(CONTROL!$C$22, $C$13, 100%, $E$13)</f>
        <v>6.2729999999999997</v>
      </c>
      <c r="D407" s="63">
        <f>6.2815 * CHOOSE(CONTROL!$C$22, $C$13, 100%, $E$13)</f>
        <v>6.2815000000000003</v>
      </c>
      <c r="E407" s="64">
        <f>7.6192 * CHOOSE(CONTROL!$C$22, $C$13, 100%, $E$13)</f>
        <v>7.6192000000000002</v>
      </c>
      <c r="F407" s="64">
        <f>7.6192 * CHOOSE(CONTROL!$C$22, $C$13, 100%, $E$13)</f>
        <v>7.6192000000000002</v>
      </c>
      <c r="G407" s="64">
        <f>7.6294 * CHOOSE(CONTROL!$C$22, $C$13, 100%, $E$13)</f>
        <v>7.6294000000000004</v>
      </c>
      <c r="H407" s="64">
        <f>12.5859* CHOOSE(CONTROL!$C$22, $C$13, 100%, $E$13)</f>
        <v>12.585900000000001</v>
      </c>
      <c r="I407" s="64">
        <f>12.5961 * CHOOSE(CONTROL!$C$22, $C$13, 100%, $E$13)</f>
        <v>12.5961</v>
      </c>
      <c r="J407" s="64">
        <f>7.6192 * CHOOSE(CONTROL!$C$22, $C$13, 100%, $E$13)</f>
        <v>7.6192000000000002</v>
      </c>
      <c r="K407" s="64">
        <f>7.6294 * CHOOSE(CONTROL!$C$22, $C$13, 100%, $E$13)</f>
        <v>7.6294000000000004</v>
      </c>
    </row>
    <row r="408" spans="1:11" ht="15">
      <c r="A408" s="13">
        <v>53905</v>
      </c>
      <c r="B408" s="63">
        <f>6.2797 * CHOOSE(CONTROL!$C$22, $C$13, 100%, $E$13)</f>
        <v>6.2797000000000001</v>
      </c>
      <c r="C408" s="63">
        <f>6.2797 * CHOOSE(CONTROL!$C$22, $C$13, 100%, $E$13)</f>
        <v>6.2797000000000001</v>
      </c>
      <c r="D408" s="63">
        <f>6.2882 * CHOOSE(CONTROL!$C$22, $C$13, 100%, $E$13)</f>
        <v>6.2881999999999998</v>
      </c>
      <c r="E408" s="64">
        <f>7.5101 * CHOOSE(CONTROL!$C$22, $C$13, 100%, $E$13)</f>
        <v>7.5101000000000004</v>
      </c>
      <c r="F408" s="64">
        <f>7.5101 * CHOOSE(CONTROL!$C$22, $C$13, 100%, $E$13)</f>
        <v>7.5101000000000004</v>
      </c>
      <c r="G408" s="64">
        <f>7.5203 * CHOOSE(CONTROL!$C$22, $C$13, 100%, $E$13)</f>
        <v>7.5202999999999998</v>
      </c>
      <c r="H408" s="64">
        <f>12.6121* CHOOSE(CONTROL!$C$22, $C$13, 100%, $E$13)</f>
        <v>12.6121</v>
      </c>
      <c r="I408" s="64">
        <f>12.6223 * CHOOSE(CONTROL!$C$22, $C$13, 100%, $E$13)</f>
        <v>12.622299999999999</v>
      </c>
      <c r="J408" s="64">
        <f>7.5101 * CHOOSE(CONTROL!$C$22, $C$13, 100%, $E$13)</f>
        <v>7.5101000000000004</v>
      </c>
      <c r="K408" s="64">
        <f>7.5203 * CHOOSE(CONTROL!$C$22, $C$13, 100%, $E$13)</f>
        <v>7.5202999999999998</v>
      </c>
    </row>
    <row r="409" spans="1:11" ht="15">
      <c r="A409" s="13">
        <v>53936</v>
      </c>
      <c r="B409" s="63">
        <f>6.2767 * CHOOSE(CONTROL!$C$22, $C$13, 100%, $E$13)</f>
        <v>6.2766999999999999</v>
      </c>
      <c r="C409" s="63">
        <f>6.2767 * CHOOSE(CONTROL!$C$22, $C$13, 100%, $E$13)</f>
        <v>6.2766999999999999</v>
      </c>
      <c r="D409" s="63">
        <f>6.2851 * CHOOSE(CONTROL!$C$22, $C$13, 100%, $E$13)</f>
        <v>6.2850999999999999</v>
      </c>
      <c r="E409" s="64">
        <f>7.4953 * CHOOSE(CONTROL!$C$22, $C$13, 100%, $E$13)</f>
        <v>7.4953000000000003</v>
      </c>
      <c r="F409" s="64">
        <f>7.4953 * CHOOSE(CONTROL!$C$22, $C$13, 100%, $E$13)</f>
        <v>7.4953000000000003</v>
      </c>
      <c r="G409" s="64">
        <f>7.5055 * CHOOSE(CONTROL!$C$22, $C$13, 100%, $E$13)</f>
        <v>7.5054999999999996</v>
      </c>
      <c r="H409" s="64">
        <f>12.6384* CHOOSE(CONTROL!$C$22, $C$13, 100%, $E$13)</f>
        <v>12.638400000000001</v>
      </c>
      <c r="I409" s="64">
        <f>12.6486 * CHOOSE(CONTROL!$C$22, $C$13, 100%, $E$13)</f>
        <v>12.6486</v>
      </c>
      <c r="J409" s="64">
        <f>7.4953 * CHOOSE(CONTROL!$C$22, $C$13, 100%, $E$13)</f>
        <v>7.4953000000000003</v>
      </c>
      <c r="K409" s="64">
        <f>7.5055 * CHOOSE(CONTROL!$C$22, $C$13, 100%, $E$13)</f>
        <v>7.5054999999999996</v>
      </c>
    </row>
    <row r="410" spans="1:11" ht="15">
      <c r="A410" s="13">
        <v>53966</v>
      </c>
      <c r="B410" s="63">
        <f>6.2793 * CHOOSE(CONTROL!$C$22, $C$13, 100%, $E$13)</f>
        <v>6.2793000000000001</v>
      </c>
      <c r="C410" s="63">
        <f>6.2793 * CHOOSE(CONTROL!$C$22, $C$13, 100%, $E$13)</f>
        <v>6.2793000000000001</v>
      </c>
      <c r="D410" s="63">
        <f>6.2793 * CHOOSE(CONTROL!$C$22, $C$13, 100%, $E$13)</f>
        <v>6.2793000000000001</v>
      </c>
      <c r="E410" s="64">
        <f>7.5325 * CHOOSE(CONTROL!$C$22, $C$13, 100%, $E$13)</f>
        <v>7.5324999999999998</v>
      </c>
      <c r="F410" s="64">
        <f>7.5325 * CHOOSE(CONTROL!$C$22, $C$13, 100%, $E$13)</f>
        <v>7.5324999999999998</v>
      </c>
      <c r="G410" s="64">
        <f>7.5325 * CHOOSE(CONTROL!$C$22, $C$13, 100%, $E$13)</f>
        <v>7.5324999999999998</v>
      </c>
      <c r="H410" s="64">
        <f>12.6647* CHOOSE(CONTROL!$C$22, $C$13, 100%, $E$13)</f>
        <v>12.6647</v>
      </c>
      <c r="I410" s="64">
        <f>12.6648 * CHOOSE(CONTROL!$C$22, $C$13, 100%, $E$13)</f>
        <v>12.6648</v>
      </c>
      <c r="J410" s="64">
        <f>7.5325 * CHOOSE(CONTROL!$C$22, $C$13, 100%, $E$13)</f>
        <v>7.5324999999999998</v>
      </c>
      <c r="K410" s="64">
        <f>7.5325 * CHOOSE(CONTROL!$C$22, $C$13, 100%, $E$13)</f>
        <v>7.5324999999999998</v>
      </c>
    </row>
    <row r="411" spans="1:11" ht="15">
      <c r="A411" s="13">
        <v>53997</v>
      </c>
      <c r="B411" s="63">
        <f>6.2823 * CHOOSE(CONTROL!$C$22, $C$13, 100%, $E$13)</f>
        <v>6.2823000000000002</v>
      </c>
      <c r="C411" s="63">
        <f>6.2823 * CHOOSE(CONTROL!$C$22, $C$13, 100%, $E$13)</f>
        <v>6.2823000000000002</v>
      </c>
      <c r="D411" s="63">
        <f>6.2823 * CHOOSE(CONTROL!$C$22, $C$13, 100%, $E$13)</f>
        <v>6.2823000000000002</v>
      </c>
      <c r="E411" s="64">
        <f>7.5599 * CHOOSE(CONTROL!$C$22, $C$13, 100%, $E$13)</f>
        <v>7.5598999999999998</v>
      </c>
      <c r="F411" s="64">
        <f>7.5599 * CHOOSE(CONTROL!$C$22, $C$13, 100%, $E$13)</f>
        <v>7.5598999999999998</v>
      </c>
      <c r="G411" s="64">
        <f>7.5599 * CHOOSE(CONTROL!$C$22, $C$13, 100%, $E$13)</f>
        <v>7.5598999999999998</v>
      </c>
      <c r="H411" s="64">
        <f>12.6911* CHOOSE(CONTROL!$C$22, $C$13, 100%, $E$13)</f>
        <v>12.6911</v>
      </c>
      <c r="I411" s="64">
        <f>12.6912 * CHOOSE(CONTROL!$C$22, $C$13, 100%, $E$13)</f>
        <v>12.6912</v>
      </c>
      <c r="J411" s="64">
        <f>7.5599 * CHOOSE(CONTROL!$C$22, $C$13, 100%, $E$13)</f>
        <v>7.5598999999999998</v>
      </c>
      <c r="K411" s="64">
        <f>7.5599 * CHOOSE(CONTROL!$C$22, $C$13, 100%, $E$13)</f>
        <v>7.5598999999999998</v>
      </c>
    </row>
    <row r="412" spans="1:11" ht="15">
      <c r="A412" s="13">
        <v>54027</v>
      </c>
      <c r="B412" s="63">
        <f>6.2823 * CHOOSE(CONTROL!$C$22, $C$13, 100%, $E$13)</f>
        <v>6.2823000000000002</v>
      </c>
      <c r="C412" s="63">
        <f>6.2823 * CHOOSE(CONTROL!$C$22, $C$13, 100%, $E$13)</f>
        <v>6.2823000000000002</v>
      </c>
      <c r="D412" s="63">
        <f>6.2823 * CHOOSE(CONTROL!$C$22, $C$13, 100%, $E$13)</f>
        <v>6.2823000000000002</v>
      </c>
      <c r="E412" s="64">
        <f>7.4967 * CHOOSE(CONTROL!$C$22, $C$13, 100%, $E$13)</f>
        <v>7.4966999999999997</v>
      </c>
      <c r="F412" s="64">
        <f>7.4967 * CHOOSE(CONTROL!$C$22, $C$13, 100%, $E$13)</f>
        <v>7.4966999999999997</v>
      </c>
      <c r="G412" s="64">
        <f>7.4967 * CHOOSE(CONTROL!$C$22, $C$13, 100%, $E$13)</f>
        <v>7.4966999999999997</v>
      </c>
      <c r="H412" s="64">
        <f>12.7176* CHOOSE(CONTROL!$C$22, $C$13, 100%, $E$13)</f>
        <v>12.717599999999999</v>
      </c>
      <c r="I412" s="64">
        <f>12.7176 * CHOOSE(CONTROL!$C$22, $C$13, 100%, $E$13)</f>
        <v>12.717599999999999</v>
      </c>
      <c r="J412" s="64">
        <f>7.4967 * CHOOSE(CONTROL!$C$22, $C$13, 100%, $E$13)</f>
        <v>7.4966999999999997</v>
      </c>
      <c r="K412" s="64">
        <f>7.4967 * CHOOSE(CONTROL!$C$22, $C$13, 100%, $E$13)</f>
        <v>7.4966999999999997</v>
      </c>
    </row>
    <row r="413" spans="1:11" ht="15">
      <c r="A413" s="13">
        <v>54058</v>
      </c>
      <c r="B413" s="63">
        <f>6.3372 * CHOOSE(CONTROL!$C$22, $C$13, 100%, $E$13)</f>
        <v>6.3372000000000002</v>
      </c>
      <c r="C413" s="63">
        <f>6.3372 * CHOOSE(CONTROL!$C$22, $C$13, 100%, $E$13)</f>
        <v>6.3372000000000002</v>
      </c>
      <c r="D413" s="63">
        <f>6.3372 * CHOOSE(CONTROL!$C$22, $C$13, 100%, $E$13)</f>
        <v>6.3372000000000002</v>
      </c>
      <c r="E413" s="64">
        <f>7.6035 * CHOOSE(CONTROL!$C$22, $C$13, 100%, $E$13)</f>
        <v>7.6035000000000004</v>
      </c>
      <c r="F413" s="64">
        <f>7.6035 * CHOOSE(CONTROL!$C$22, $C$13, 100%, $E$13)</f>
        <v>7.6035000000000004</v>
      </c>
      <c r="G413" s="64">
        <f>7.6036 * CHOOSE(CONTROL!$C$22, $C$13, 100%, $E$13)</f>
        <v>7.6036000000000001</v>
      </c>
      <c r="H413" s="64">
        <f>12.7441* CHOOSE(CONTROL!$C$22, $C$13, 100%, $E$13)</f>
        <v>12.7441</v>
      </c>
      <c r="I413" s="64">
        <f>12.7441 * CHOOSE(CONTROL!$C$22, $C$13, 100%, $E$13)</f>
        <v>12.7441</v>
      </c>
      <c r="J413" s="64">
        <f>7.6035 * CHOOSE(CONTROL!$C$22, $C$13, 100%, $E$13)</f>
        <v>7.6035000000000004</v>
      </c>
      <c r="K413" s="64">
        <f>7.6036 * CHOOSE(CONTROL!$C$22, $C$13, 100%, $E$13)</f>
        <v>7.6036000000000001</v>
      </c>
    </row>
    <row r="414" spans="1:11" ht="15">
      <c r="A414" s="13">
        <v>54089</v>
      </c>
      <c r="B414" s="63">
        <f>6.3341 * CHOOSE(CONTROL!$C$22, $C$13, 100%, $E$13)</f>
        <v>6.3341000000000003</v>
      </c>
      <c r="C414" s="63">
        <f>6.3341 * CHOOSE(CONTROL!$C$22, $C$13, 100%, $E$13)</f>
        <v>6.3341000000000003</v>
      </c>
      <c r="D414" s="63">
        <f>6.3341 * CHOOSE(CONTROL!$C$22, $C$13, 100%, $E$13)</f>
        <v>6.3341000000000003</v>
      </c>
      <c r="E414" s="64">
        <f>7.4786 * CHOOSE(CONTROL!$C$22, $C$13, 100%, $E$13)</f>
        <v>7.4786000000000001</v>
      </c>
      <c r="F414" s="64">
        <f>7.4786 * CHOOSE(CONTROL!$C$22, $C$13, 100%, $E$13)</f>
        <v>7.4786000000000001</v>
      </c>
      <c r="G414" s="64">
        <f>7.4787 * CHOOSE(CONTROL!$C$22, $C$13, 100%, $E$13)</f>
        <v>7.4786999999999999</v>
      </c>
      <c r="H414" s="64">
        <f>12.7706* CHOOSE(CONTROL!$C$22, $C$13, 100%, $E$13)</f>
        <v>12.7706</v>
      </c>
      <c r="I414" s="64">
        <f>12.7707 * CHOOSE(CONTROL!$C$22, $C$13, 100%, $E$13)</f>
        <v>12.7707</v>
      </c>
      <c r="J414" s="64">
        <f>7.4786 * CHOOSE(CONTROL!$C$22, $C$13, 100%, $E$13)</f>
        <v>7.4786000000000001</v>
      </c>
      <c r="K414" s="64">
        <f>7.4787 * CHOOSE(CONTROL!$C$22, $C$13, 100%, $E$13)</f>
        <v>7.4786999999999999</v>
      </c>
    </row>
    <row r="415" spans="1:11" ht="15">
      <c r="A415" s="13">
        <v>54118</v>
      </c>
      <c r="B415" s="63">
        <f>6.3311 * CHOOSE(CONTROL!$C$22, $C$13, 100%, $E$13)</f>
        <v>6.3311000000000002</v>
      </c>
      <c r="C415" s="63">
        <f>6.3311 * CHOOSE(CONTROL!$C$22, $C$13, 100%, $E$13)</f>
        <v>6.3311000000000002</v>
      </c>
      <c r="D415" s="63">
        <f>6.3311 * CHOOSE(CONTROL!$C$22, $C$13, 100%, $E$13)</f>
        <v>6.3311000000000002</v>
      </c>
      <c r="E415" s="64">
        <f>7.5733 * CHOOSE(CONTROL!$C$22, $C$13, 100%, $E$13)</f>
        <v>7.5732999999999997</v>
      </c>
      <c r="F415" s="64">
        <f>7.5733 * CHOOSE(CONTROL!$C$22, $C$13, 100%, $E$13)</f>
        <v>7.5732999999999997</v>
      </c>
      <c r="G415" s="64">
        <f>7.5734 * CHOOSE(CONTROL!$C$22, $C$13, 100%, $E$13)</f>
        <v>7.5734000000000004</v>
      </c>
      <c r="H415" s="64">
        <f>12.7972* CHOOSE(CONTROL!$C$22, $C$13, 100%, $E$13)</f>
        <v>12.7972</v>
      </c>
      <c r="I415" s="64">
        <f>12.7973 * CHOOSE(CONTROL!$C$22, $C$13, 100%, $E$13)</f>
        <v>12.7973</v>
      </c>
      <c r="J415" s="64">
        <f>7.5733 * CHOOSE(CONTROL!$C$22, $C$13, 100%, $E$13)</f>
        <v>7.5732999999999997</v>
      </c>
      <c r="K415" s="64">
        <f>7.5734 * CHOOSE(CONTROL!$C$22, $C$13, 100%, $E$13)</f>
        <v>7.5734000000000004</v>
      </c>
    </row>
    <row r="416" spans="1:11" ht="15">
      <c r="A416" s="13">
        <v>54149</v>
      </c>
      <c r="B416" s="63">
        <f>6.3307 * CHOOSE(CONTROL!$C$22, $C$13, 100%, $E$13)</f>
        <v>6.3307000000000002</v>
      </c>
      <c r="C416" s="63">
        <f>6.3307 * CHOOSE(CONTROL!$C$22, $C$13, 100%, $E$13)</f>
        <v>6.3307000000000002</v>
      </c>
      <c r="D416" s="63">
        <f>6.3307 * CHOOSE(CONTROL!$C$22, $C$13, 100%, $E$13)</f>
        <v>6.3307000000000002</v>
      </c>
      <c r="E416" s="64">
        <f>7.673 * CHOOSE(CONTROL!$C$22, $C$13, 100%, $E$13)</f>
        <v>7.673</v>
      </c>
      <c r="F416" s="64">
        <f>7.673 * CHOOSE(CONTROL!$C$22, $C$13, 100%, $E$13)</f>
        <v>7.673</v>
      </c>
      <c r="G416" s="64">
        <f>7.6731 * CHOOSE(CONTROL!$C$22, $C$13, 100%, $E$13)</f>
        <v>7.6730999999999998</v>
      </c>
      <c r="H416" s="64">
        <f>12.8239* CHOOSE(CONTROL!$C$22, $C$13, 100%, $E$13)</f>
        <v>12.8239</v>
      </c>
      <c r="I416" s="64">
        <f>12.824 * CHOOSE(CONTROL!$C$22, $C$13, 100%, $E$13)</f>
        <v>12.824</v>
      </c>
      <c r="J416" s="64">
        <f>7.673 * CHOOSE(CONTROL!$C$22, $C$13, 100%, $E$13)</f>
        <v>7.673</v>
      </c>
      <c r="K416" s="64">
        <f>7.6731 * CHOOSE(CONTROL!$C$22, $C$13, 100%, $E$13)</f>
        <v>7.6730999999999998</v>
      </c>
    </row>
    <row r="417" spans="1:11" ht="15">
      <c r="A417" s="13">
        <v>54179</v>
      </c>
      <c r="B417" s="63">
        <f>6.3307 * CHOOSE(CONTROL!$C$22, $C$13, 100%, $E$13)</f>
        <v>6.3307000000000002</v>
      </c>
      <c r="C417" s="63">
        <f>6.3307 * CHOOSE(CONTROL!$C$22, $C$13, 100%, $E$13)</f>
        <v>6.3307000000000002</v>
      </c>
      <c r="D417" s="63">
        <f>6.3392 * CHOOSE(CONTROL!$C$22, $C$13, 100%, $E$13)</f>
        <v>6.3391999999999999</v>
      </c>
      <c r="E417" s="64">
        <f>7.712 * CHOOSE(CONTROL!$C$22, $C$13, 100%, $E$13)</f>
        <v>7.7119999999999997</v>
      </c>
      <c r="F417" s="64">
        <f>7.712 * CHOOSE(CONTROL!$C$22, $C$13, 100%, $E$13)</f>
        <v>7.7119999999999997</v>
      </c>
      <c r="G417" s="64">
        <f>7.7222 * CHOOSE(CONTROL!$C$22, $C$13, 100%, $E$13)</f>
        <v>7.7222</v>
      </c>
      <c r="H417" s="64">
        <f>12.8506* CHOOSE(CONTROL!$C$22, $C$13, 100%, $E$13)</f>
        <v>12.8506</v>
      </c>
      <c r="I417" s="64">
        <f>12.8608 * CHOOSE(CONTROL!$C$22, $C$13, 100%, $E$13)</f>
        <v>12.860799999999999</v>
      </c>
      <c r="J417" s="64">
        <f>7.712 * CHOOSE(CONTROL!$C$22, $C$13, 100%, $E$13)</f>
        <v>7.7119999999999997</v>
      </c>
      <c r="K417" s="64">
        <f>7.7222 * CHOOSE(CONTROL!$C$22, $C$13, 100%, $E$13)</f>
        <v>7.7222</v>
      </c>
    </row>
    <row r="418" spans="1:11" ht="15">
      <c r="A418" s="13">
        <v>54210</v>
      </c>
      <c r="B418" s="63">
        <f>6.3368 * CHOOSE(CONTROL!$C$22, $C$13, 100%, $E$13)</f>
        <v>6.3368000000000002</v>
      </c>
      <c r="C418" s="63">
        <f>6.3368 * CHOOSE(CONTROL!$C$22, $C$13, 100%, $E$13)</f>
        <v>6.3368000000000002</v>
      </c>
      <c r="D418" s="63">
        <f>6.3453 * CHOOSE(CONTROL!$C$22, $C$13, 100%, $E$13)</f>
        <v>6.3452999999999999</v>
      </c>
      <c r="E418" s="64">
        <f>7.6773 * CHOOSE(CONTROL!$C$22, $C$13, 100%, $E$13)</f>
        <v>7.6772999999999998</v>
      </c>
      <c r="F418" s="64">
        <f>7.6773 * CHOOSE(CONTROL!$C$22, $C$13, 100%, $E$13)</f>
        <v>7.6772999999999998</v>
      </c>
      <c r="G418" s="64">
        <f>7.6875 * CHOOSE(CONTROL!$C$22, $C$13, 100%, $E$13)</f>
        <v>7.6875</v>
      </c>
      <c r="H418" s="64">
        <f>12.8774* CHOOSE(CONTROL!$C$22, $C$13, 100%, $E$13)</f>
        <v>12.8774</v>
      </c>
      <c r="I418" s="64">
        <f>12.8876 * CHOOSE(CONTROL!$C$22, $C$13, 100%, $E$13)</f>
        <v>12.887600000000001</v>
      </c>
      <c r="J418" s="64">
        <f>7.6773 * CHOOSE(CONTROL!$C$22, $C$13, 100%, $E$13)</f>
        <v>7.6772999999999998</v>
      </c>
      <c r="K418" s="64">
        <f>7.6875 * CHOOSE(CONTROL!$C$22, $C$13, 100%, $E$13)</f>
        <v>7.6875</v>
      </c>
    </row>
    <row r="419" spans="1:11" ht="15">
      <c r="A419" s="13">
        <v>54240</v>
      </c>
      <c r="B419" s="63">
        <f>6.4385 * CHOOSE(CONTROL!$C$22, $C$13, 100%, $E$13)</f>
        <v>6.4385000000000003</v>
      </c>
      <c r="C419" s="63">
        <f>6.4385 * CHOOSE(CONTROL!$C$22, $C$13, 100%, $E$13)</f>
        <v>6.4385000000000003</v>
      </c>
      <c r="D419" s="63">
        <f>6.4469 * CHOOSE(CONTROL!$C$22, $C$13, 100%, $E$13)</f>
        <v>6.4469000000000003</v>
      </c>
      <c r="E419" s="64">
        <f>7.8054 * CHOOSE(CONTROL!$C$22, $C$13, 100%, $E$13)</f>
        <v>7.8053999999999997</v>
      </c>
      <c r="F419" s="64">
        <f>7.8054 * CHOOSE(CONTROL!$C$22, $C$13, 100%, $E$13)</f>
        <v>7.8053999999999997</v>
      </c>
      <c r="G419" s="64">
        <f>7.8157 * CHOOSE(CONTROL!$C$22, $C$13, 100%, $E$13)</f>
        <v>7.8156999999999996</v>
      </c>
      <c r="H419" s="64">
        <f>12.9042* CHOOSE(CONTROL!$C$22, $C$13, 100%, $E$13)</f>
        <v>12.904199999999999</v>
      </c>
      <c r="I419" s="64">
        <f>12.9144 * CHOOSE(CONTROL!$C$22, $C$13, 100%, $E$13)</f>
        <v>12.914400000000001</v>
      </c>
      <c r="J419" s="64">
        <f>7.8054 * CHOOSE(CONTROL!$C$22, $C$13, 100%, $E$13)</f>
        <v>7.8053999999999997</v>
      </c>
      <c r="K419" s="64">
        <f>7.8157 * CHOOSE(CONTROL!$C$22, $C$13, 100%, $E$13)</f>
        <v>7.8156999999999996</v>
      </c>
    </row>
    <row r="420" spans="1:11" ht="15">
      <c r="A420" s="13">
        <v>54271</v>
      </c>
      <c r="B420" s="63">
        <f>6.4451 * CHOOSE(CONTROL!$C$22, $C$13, 100%, $E$13)</f>
        <v>6.4451000000000001</v>
      </c>
      <c r="C420" s="63">
        <f>6.4451 * CHOOSE(CONTROL!$C$22, $C$13, 100%, $E$13)</f>
        <v>6.4451000000000001</v>
      </c>
      <c r="D420" s="63">
        <f>6.4536 * CHOOSE(CONTROL!$C$22, $C$13, 100%, $E$13)</f>
        <v>6.4535999999999998</v>
      </c>
      <c r="E420" s="64">
        <f>7.6932 * CHOOSE(CONTROL!$C$22, $C$13, 100%, $E$13)</f>
        <v>7.6932</v>
      </c>
      <c r="F420" s="64">
        <f>7.6932 * CHOOSE(CONTROL!$C$22, $C$13, 100%, $E$13)</f>
        <v>7.6932</v>
      </c>
      <c r="G420" s="64">
        <f>7.7034 * CHOOSE(CONTROL!$C$22, $C$13, 100%, $E$13)</f>
        <v>7.7034000000000002</v>
      </c>
      <c r="H420" s="64">
        <f>12.9311* CHOOSE(CONTROL!$C$22, $C$13, 100%, $E$13)</f>
        <v>12.931100000000001</v>
      </c>
      <c r="I420" s="64">
        <f>12.9413 * CHOOSE(CONTROL!$C$22, $C$13, 100%, $E$13)</f>
        <v>12.9413</v>
      </c>
      <c r="J420" s="64">
        <f>7.6932 * CHOOSE(CONTROL!$C$22, $C$13, 100%, $E$13)</f>
        <v>7.6932</v>
      </c>
      <c r="K420" s="64">
        <f>7.7034 * CHOOSE(CONTROL!$C$22, $C$13, 100%, $E$13)</f>
        <v>7.7034000000000002</v>
      </c>
    </row>
    <row r="421" spans="1:11" ht="15">
      <c r="A421" s="13">
        <v>54302</v>
      </c>
      <c r="B421" s="63">
        <f>6.4421 * CHOOSE(CONTROL!$C$22, $C$13, 100%, $E$13)</f>
        <v>6.4420999999999999</v>
      </c>
      <c r="C421" s="63">
        <f>6.4421 * CHOOSE(CONTROL!$C$22, $C$13, 100%, $E$13)</f>
        <v>6.4420999999999999</v>
      </c>
      <c r="D421" s="63">
        <f>6.4505 * CHOOSE(CONTROL!$C$22, $C$13, 100%, $E$13)</f>
        <v>6.4504999999999999</v>
      </c>
      <c r="E421" s="64">
        <f>7.678 * CHOOSE(CONTROL!$C$22, $C$13, 100%, $E$13)</f>
        <v>7.6779999999999999</v>
      </c>
      <c r="F421" s="64">
        <f>7.678 * CHOOSE(CONTROL!$C$22, $C$13, 100%, $E$13)</f>
        <v>7.6779999999999999</v>
      </c>
      <c r="G421" s="64">
        <f>7.6883 * CHOOSE(CONTROL!$C$22, $C$13, 100%, $E$13)</f>
        <v>7.6882999999999999</v>
      </c>
      <c r="H421" s="64">
        <f>12.958* CHOOSE(CONTROL!$C$22, $C$13, 100%, $E$13)</f>
        <v>12.958</v>
      </c>
      <c r="I421" s="64">
        <f>12.9682 * CHOOSE(CONTROL!$C$22, $C$13, 100%, $E$13)</f>
        <v>12.9682</v>
      </c>
      <c r="J421" s="64">
        <f>7.678 * CHOOSE(CONTROL!$C$22, $C$13, 100%, $E$13)</f>
        <v>7.6779999999999999</v>
      </c>
      <c r="K421" s="64">
        <f>7.6883 * CHOOSE(CONTROL!$C$22, $C$13, 100%, $E$13)</f>
        <v>7.6882999999999999</v>
      </c>
    </row>
    <row r="422" spans="1:11" ht="15">
      <c r="A422" s="13">
        <v>54332</v>
      </c>
      <c r="B422" s="63">
        <f>6.4452 * CHOOSE(CONTROL!$C$22, $C$13, 100%, $E$13)</f>
        <v>6.4451999999999998</v>
      </c>
      <c r="C422" s="63">
        <f>6.4452 * CHOOSE(CONTROL!$C$22, $C$13, 100%, $E$13)</f>
        <v>6.4451999999999998</v>
      </c>
      <c r="D422" s="63">
        <f>6.4452 * CHOOSE(CONTROL!$C$22, $C$13, 100%, $E$13)</f>
        <v>6.4451999999999998</v>
      </c>
      <c r="E422" s="64">
        <f>7.7166 * CHOOSE(CONTROL!$C$22, $C$13, 100%, $E$13)</f>
        <v>7.7165999999999997</v>
      </c>
      <c r="F422" s="64">
        <f>7.7166 * CHOOSE(CONTROL!$C$22, $C$13, 100%, $E$13)</f>
        <v>7.7165999999999997</v>
      </c>
      <c r="G422" s="64">
        <f>7.7167 * CHOOSE(CONTROL!$C$22, $C$13, 100%, $E$13)</f>
        <v>7.7167000000000003</v>
      </c>
      <c r="H422" s="64">
        <f>12.985* CHOOSE(CONTROL!$C$22, $C$13, 100%, $E$13)</f>
        <v>12.984999999999999</v>
      </c>
      <c r="I422" s="64">
        <f>12.9851 * CHOOSE(CONTROL!$C$22, $C$13, 100%, $E$13)</f>
        <v>12.985099999999999</v>
      </c>
      <c r="J422" s="64">
        <f>7.7166 * CHOOSE(CONTROL!$C$22, $C$13, 100%, $E$13)</f>
        <v>7.7165999999999997</v>
      </c>
      <c r="K422" s="64">
        <f>7.7167 * CHOOSE(CONTROL!$C$22, $C$13, 100%, $E$13)</f>
        <v>7.7167000000000003</v>
      </c>
    </row>
    <row r="423" spans="1:11" ht="15">
      <c r="A423" s="13">
        <v>54363</v>
      </c>
      <c r="B423" s="63">
        <f>6.4483 * CHOOSE(CONTROL!$C$22, $C$13, 100%, $E$13)</f>
        <v>6.4482999999999997</v>
      </c>
      <c r="C423" s="63">
        <f>6.4483 * CHOOSE(CONTROL!$C$22, $C$13, 100%, $E$13)</f>
        <v>6.4482999999999997</v>
      </c>
      <c r="D423" s="63">
        <f>6.4483 * CHOOSE(CONTROL!$C$22, $C$13, 100%, $E$13)</f>
        <v>6.4482999999999997</v>
      </c>
      <c r="E423" s="64">
        <f>7.7447 * CHOOSE(CONTROL!$C$22, $C$13, 100%, $E$13)</f>
        <v>7.7446999999999999</v>
      </c>
      <c r="F423" s="64">
        <f>7.7447 * CHOOSE(CONTROL!$C$22, $C$13, 100%, $E$13)</f>
        <v>7.7446999999999999</v>
      </c>
      <c r="G423" s="64">
        <f>7.7448 * CHOOSE(CONTROL!$C$22, $C$13, 100%, $E$13)</f>
        <v>7.7447999999999997</v>
      </c>
      <c r="H423" s="64">
        <f>13.0121* CHOOSE(CONTROL!$C$22, $C$13, 100%, $E$13)</f>
        <v>13.0121</v>
      </c>
      <c r="I423" s="64">
        <f>13.0121 * CHOOSE(CONTROL!$C$22, $C$13, 100%, $E$13)</f>
        <v>13.0121</v>
      </c>
      <c r="J423" s="64">
        <f>7.7447 * CHOOSE(CONTROL!$C$22, $C$13, 100%, $E$13)</f>
        <v>7.7446999999999999</v>
      </c>
      <c r="K423" s="64">
        <f>7.7448 * CHOOSE(CONTROL!$C$22, $C$13, 100%, $E$13)</f>
        <v>7.7447999999999997</v>
      </c>
    </row>
    <row r="424" spans="1:11" ht="15">
      <c r="A424" s="13">
        <v>54393</v>
      </c>
      <c r="B424" s="63">
        <f>6.4483 * CHOOSE(CONTROL!$C$22, $C$13, 100%, $E$13)</f>
        <v>6.4482999999999997</v>
      </c>
      <c r="C424" s="63">
        <f>6.4483 * CHOOSE(CONTROL!$C$22, $C$13, 100%, $E$13)</f>
        <v>6.4482999999999997</v>
      </c>
      <c r="D424" s="63">
        <f>6.4483 * CHOOSE(CONTROL!$C$22, $C$13, 100%, $E$13)</f>
        <v>6.4482999999999997</v>
      </c>
      <c r="E424" s="64">
        <f>7.6797 * CHOOSE(CONTROL!$C$22, $C$13, 100%, $E$13)</f>
        <v>7.6797000000000004</v>
      </c>
      <c r="F424" s="64">
        <f>7.6797 * CHOOSE(CONTROL!$C$22, $C$13, 100%, $E$13)</f>
        <v>7.6797000000000004</v>
      </c>
      <c r="G424" s="64">
        <f>7.6798 * CHOOSE(CONTROL!$C$22, $C$13, 100%, $E$13)</f>
        <v>7.6798000000000002</v>
      </c>
      <c r="H424" s="64">
        <f>13.0392* CHOOSE(CONTROL!$C$22, $C$13, 100%, $E$13)</f>
        <v>13.039199999999999</v>
      </c>
      <c r="I424" s="64">
        <f>13.0392 * CHOOSE(CONTROL!$C$22, $C$13, 100%, $E$13)</f>
        <v>13.039199999999999</v>
      </c>
      <c r="J424" s="64">
        <f>7.6797 * CHOOSE(CONTROL!$C$22, $C$13, 100%, $E$13)</f>
        <v>7.6797000000000004</v>
      </c>
      <c r="K424" s="64">
        <f>7.6798 * CHOOSE(CONTROL!$C$22, $C$13, 100%, $E$13)</f>
        <v>7.6798000000000002</v>
      </c>
    </row>
    <row r="425" spans="1:11" ht="15">
      <c r="A425" s="13">
        <v>54424</v>
      </c>
      <c r="B425" s="63">
        <f>6.5044 * CHOOSE(CONTROL!$C$22, $C$13, 100%, $E$13)</f>
        <v>6.5044000000000004</v>
      </c>
      <c r="C425" s="63">
        <f>6.5044 * CHOOSE(CONTROL!$C$22, $C$13, 100%, $E$13)</f>
        <v>6.5044000000000004</v>
      </c>
      <c r="D425" s="63">
        <f>6.5045 * CHOOSE(CONTROL!$C$22, $C$13, 100%, $E$13)</f>
        <v>6.5045000000000002</v>
      </c>
      <c r="E425" s="64">
        <f>7.7893 * CHOOSE(CONTROL!$C$22, $C$13, 100%, $E$13)</f>
        <v>7.7892999999999999</v>
      </c>
      <c r="F425" s="64">
        <f>7.7893 * CHOOSE(CONTROL!$C$22, $C$13, 100%, $E$13)</f>
        <v>7.7892999999999999</v>
      </c>
      <c r="G425" s="64">
        <f>7.7894 * CHOOSE(CONTROL!$C$22, $C$13, 100%, $E$13)</f>
        <v>7.7893999999999997</v>
      </c>
      <c r="H425" s="64">
        <f>13.0663* CHOOSE(CONTROL!$C$22, $C$13, 100%, $E$13)</f>
        <v>13.0663</v>
      </c>
      <c r="I425" s="64">
        <f>13.0664 * CHOOSE(CONTROL!$C$22, $C$13, 100%, $E$13)</f>
        <v>13.0664</v>
      </c>
      <c r="J425" s="64">
        <f>7.7893 * CHOOSE(CONTROL!$C$22, $C$13, 100%, $E$13)</f>
        <v>7.7892999999999999</v>
      </c>
      <c r="K425" s="64">
        <f>7.7894 * CHOOSE(CONTROL!$C$22, $C$13, 100%, $E$13)</f>
        <v>7.7893999999999997</v>
      </c>
    </row>
    <row r="426" spans="1:11" ht="15">
      <c r="A426" s="13">
        <v>54455</v>
      </c>
      <c r="B426" s="63">
        <f>6.5014 * CHOOSE(CONTROL!$C$22, $C$13, 100%, $E$13)</f>
        <v>6.5014000000000003</v>
      </c>
      <c r="C426" s="63">
        <f>6.5014 * CHOOSE(CONTROL!$C$22, $C$13, 100%, $E$13)</f>
        <v>6.5014000000000003</v>
      </c>
      <c r="D426" s="63">
        <f>6.5014 * CHOOSE(CONTROL!$C$22, $C$13, 100%, $E$13)</f>
        <v>6.5014000000000003</v>
      </c>
      <c r="E426" s="64">
        <f>7.661 * CHOOSE(CONTROL!$C$22, $C$13, 100%, $E$13)</f>
        <v>7.6609999999999996</v>
      </c>
      <c r="F426" s="64">
        <f>7.661 * CHOOSE(CONTROL!$C$22, $C$13, 100%, $E$13)</f>
        <v>7.6609999999999996</v>
      </c>
      <c r="G426" s="64">
        <f>7.6611 * CHOOSE(CONTROL!$C$22, $C$13, 100%, $E$13)</f>
        <v>7.6611000000000002</v>
      </c>
      <c r="H426" s="64">
        <f>13.0936* CHOOSE(CONTROL!$C$22, $C$13, 100%, $E$13)</f>
        <v>13.0936</v>
      </c>
      <c r="I426" s="64">
        <f>13.0936 * CHOOSE(CONTROL!$C$22, $C$13, 100%, $E$13)</f>
        <v>13.0936</v>
      </c>
      <c r="J426" s="64">
        <f>7.661 * CHOOSE(CONTROL!$C$22, $C$13, 100%, $E$13)</f>
        <v>7.6609999999999996</v>
      </c>
      <c r="K426" s="64">
        <f>7.6611 * CHOOSE(CONTROL!$C$22, $C$13, 100%, $E$13)</f>
        <v>7.6611000000000002</v>
      </c>
    </row>
    <row r="427" spans="1:11" ht="15">
      <c r="A427" s="13">
        <v>54483</v>
      </c>
      <c r="B427" s="63">
        <f>6.4984 * CHOOSE(CONTROL!$C$22, $C$13, 100%, $E$13)</f>
        <v>6.4984000000000002</v>
      </c>
      <c r="C427" s="63">
        <f>6.4984 * CHOOSE(CONTROL!$C$22, $C$13, 100%, $E$13)</f>
        <v>6.4984000000000002</v>
      </c>
      <c r="D427" s="63">
        <f>6.4984 * CHOOSE(CONTROL!$C$22, $C$13, 100%, $E$13)</f>
        <v>6.4984000000000002</v>
      </c>
      <c r="E427" s="64">
        <f>7.7584 * CHOOSE(CONTROL!$C$22, $C$13, 100%, $E$13)</f>
        <v>7.7584</v>
      </c>
      <c r="F427" s="64">
        <f>7.7584 * CHOOSE(CONTROL!$C$22, $C$13, 100%, $E$13)</f>
        <v>7.7584</v>
      </c>
      <c r="G427" s="64">
        <f>7.7585 * CHOOSE(CONTROL!$C$22, $C$13, 100%, $E$13)</f>
        <v>7.7584999999999997</v>
      </c>
      <c r="H427" s="64">
        <f>13.1208* CHOOSE(CONTROL!$C$22, $C$13, 100%, $E$13)</f>
        <v>13.120799999999999</v>
      </c>
      <c r="I427" s="64">
        <f>13.1209 * CHOOSE(CONTROL!$C$22, $C$13, 100%, $E$13)</f>
        <v>13.120900000000001</v>
      </c>
      <c r="J427" s="64">
        <f>7.7584 * CHOOSE(CONTROL!$C$22, $C$13, 100%, $E$13)</f>
        <v>7.7584</v>
      </c>
      <c r="K427" s="64">
        <f>7.7585 * CHOOSE(CONTROL!$C$22, $C$13, 100%, $E$13)</f>
        <v>7.7584999999999997</v>
      </c>
    </row>
    <row r="428" spans="1:11" ht="15">
      <c r="A428" s="13">
        <v>54514</v>
      </c>
      <c r="B428" s="63">
        <f>6.4982 * CHOOSE(CONTROL!$C$22, $C$13, 100%, $E$13)</f>
        <v>6.4981999999999998</v>
      </c>
      <c r="C428" s="63">
        <f>6.4982 * CHOOSE(CONTROL!$C$22, $C$13, 100%, $E$13)</f>
        <v>6.4981999999999998</v>
      </c>
      <c r="D428" s="63">
        <f>6.4982 * CHOOSE(CONTROL!$C$22, $C$13, 100%, $E$13)</f>
        <v>6.4981999999999998</v>
      </c>
      <c r="E428" s="64">
        <f>7.861 * CHOOSE(CONTROL!$C$22, $C$13, 100%, $E$13)</f>
        <v>7.8609999999999998</v>
      </c>
      <c r="F428" s="64">
        <f>7.861 * CHOOSE(CONTROL!$C$22, $C$13, 100%, $E$13)</f>
        <v>7.8609999999999998</v>
      </c>
      <c r="G428" s="64">
        <f>7.8611 * CHOOSE(CONTROL!$C$22, $C$13, 100%, $E$13)</f>
        <v>7.8611000000000004</v>
      </c>
      <c r="H428" s="64">
        <f>13.1482* CHOOSE(CONTROL!$C$22, $C$13, 100%, $E$13)</f>
        <v>13.148199999999999</v>
      </c>
      <c r="I428" s="64">
        <f>13.1482 * CHOOSE(CONTROL!$C$22, $C$13, 100%, $E$13)</f>
        <v>13.148199999999999</v>
      </c>
      <c r="J428" s="64">
        <f>7.861 * CHOOSE(CONTROL!$C$22, $C$13, 100%, $E$13)</f>
        <v>7.8609999999999998</v>
      </c>
      <c r="K428" s="64">
        <f>7.8611 * CHOOSE(CONTROL!$C$22, $C$13, 100%, $E$13)</f>
        <v>7.8611000000000004</v>
      </c>
    </row>
    <row r="429" spans="1:11" ht="15">
      <c r="A429" s="13">
        <v>54544</v>
      </c>
      <c r="B429" s="63">
        <f>6.4982 * CHOOSE(CONTROL!$C$22, $C$13, 100%, $E$13)</f>
        <v>6.4981999999999998</v>
      </c>
      <c r="C429" s="63">
        <f>6.4982 * CHOOSE(CONTROL!$C$22, $C$13, 100%, $E$13)</f>
        <v>6.4981999999999998</v>
      </c>
      <c r="D429" s="63">
        <f>6.5066 * CHOOSE(CONTROL!$C$22, $C$13, 100%, $E$13)</f>
        <v>6.5065999999999997</v>
      </c>
      <c r="E429" s="64">
        <f>7.9011 * CHOOSE(CONTROL!$C$22, $C$13, 100%, $E$13)</f>
        <v>7.9010999999999996</v>
      </c>
      <c r="F429" s="64">
        <f>7.9011 * CHOOSE(CONTROL!$C$22, $C$13, 100%, $E$13)</f>
        <v>7.9010999999999996</v>
      </c>
      <c r="G429" s="64">
        <f>7.9113 * CHOOSE(CONTROL!$C$22, $C$13, 100%, $E$13)</f>
        <v>7.9112999999999998</v>
      </c>
      <c r="H429" s="64">
        <f>13.1756* CHOOSE(CONTROL!$C$22, $C$13, 100%, $E$13)</f>
        <v>13.175599999999999</v>
      </c>
      <c r="I429" s="64">
        <f>13.1858 * CHOOSE(CONTROL!$C$22, $C$13, 100%, $E$13)</f>
        <v>13.1858</v>
      </c>
      <c r="J429" s="64">
        <f>7.9011 * CHOOSE(CONTROL!$C$22, $C$13, 100%, $E$13)</f>
        <v>7.9010999999999996</v>
      </c>
      <c r="K429" s="64">
        <f>7.9113 * CHOOSE(CONTROL!$C$22, $C$13, 100%, $E$13)</f>
        <v>7.9112999999999998</v>
      </c>
    </row>
    <row r="430" spans="1:11" ht="15">
      <c r="A430" s="13">
        <v>54575</v>
      </c>
      <c r="B430" s="63">
        <f>6.5042 * CHOOSE(CONTROL!$C$22, $C$13, 100%, $E$13)</f>
        <v>6.5042</v>
      </c>
      <c r="C430" s="63">
        <f>6.5042 * CHOOSE(CONTROL!$C$22, $C$13, 100%, $E$13)</f>
        <v>6.5042</v>
      </c>
      <c r="D430" s="63">
        <f>6.5127 * CHOOSE(CONTROL!$C$22, $C$13, 100%, $E$13)</f>
        <v>6.5126999999999997</v>
      </c>
      <c r="E430" s="64">
        <f>7.8653 * CHOOSE(CONTROL!$C$22, $C$13, 100%, $E$13)</f>
        <v>7.8653000000000004</v>
      </c>
      <c r="F430" s="64">
        <f>7.8653 * CHOOSE(CONTROL!$C$22, $C$13, 100%, $E$13)</f>
        <v>7.8653000000000004</v>
      </c>
      <c r="G430" s="64">
        <f>7.8755 * CHOOSE(CONTROL!$C$22, $C$13, 100%, $E$13)</f>
        <v>7.8754999999999997</v>
      </c>
      <c r="H430" s="64">
        <f>13.203* CHOOSE(CONTROL!$C$22, $C$13, 100%, $E$13)</f>
        <v>13.202999999999999</v>
      </c>
      <c r="I430" s="64">
        <f>13.2132 * CHOOSE(CONTROL!$C$22, $C$13, 100%, $E$13)</f>
        <v>13.213200000000001</v>
      </c>
      <c r="J430" s="64">
        <f>7.8653 * CHOOSE(CONTROL!$C$22, $C$13, 100%, $E$13)</f>
        <v>7.8653000000000004</v>
      </c>
      <c r="K430" s="64">
        <f>7.8755 * CHOOSE(CONTROL!$C$22, $C$13, 100%, $E$13)</f>
        <v>7.8754999999999997</v>
      </c>
    </row>
    <row r="431" spans="1:11" ht="15">
      <c r="A431" s="13">
        <v>54605</v>
      </c>
      <c r="B431" s="63">
        <f>6.6083 * CHOOSE(CONTROL!$C$22, $C$13, 100%, $E$13)</f>
        <v>6.6082999999999998</v>
      </c>
      <c r="C431" s="63">
        <f>6.6083 * CHOOSE(CONTROL!$C$22, $C$13, 100%, $E$13)</f>
        <v>6.6082999999999998</v>
      </c>
      <c r="D431" s="63">
        <f>6.6167 * CHOOSE(CONTROL!$C$22, $C$13, 100%, $E$13)</f>
        <v>6.6166999999999998</v>
      </c>
      <c r="E431" s="64">
        <f>7.9963 * CHOOSE(CONTROL!$C$22, $C$13, 100%, $E$13)</f>
        <v>7.9962999999999997</v>
      </c>
      <c r="F431" s="64">
        <f>7.9963 * CHOOSE(CONTROL!$C$22, $C$13, 100%, $E$13)</f>
        <v>7.9962999999999997</v>
      </c>
      <c r="G431" s="64">
        <f>8.0065 * CHOOSE(CONTROL!$C$22, $C$13, 100%, $E$13)</f>
        <v>8.0065000000000008</v>
      </c>
      <c r="H431" s="64">
        <f>13.2305* CHOOSE(CONTROL!$C$22, $C$13, 100%, $E$13)</f>
        <v>13.230499999999999</v>
      </c>
      <c r="I431" s="64">
        <f>13.2407 * CHOOSE(CONTROL!$C$22, $C$13, 100%, $E$13)</f>
        <v>13.2407</v>
      </c>
      <c r="J431" s="64">
        <f>7.9963 * CHOOSE(CONTROL!$C$22, $C$13, 100%, $E$13)</f>
        <v>7.9962999999999997</v>
      </c>
      <c r="K431" s="64">
        <f>8.0065 * CHOOSE(CONTROL!$C$22, $C$13, 100%, $E$13)</f>
        <v>8.0065000000000008</v>
      </c>
    </row>
    <row r="432" spans="1:11" ht="15">
      <c r="A432" s="13">
        <v>54636</v>
      </c>
      <c r="B432" s="63">
        <f>6.615 * CHOOSE(CONTROL!$C$22, $C$13, 100%, $E$13)</f>
        <v>6.6150000000000002</v>
      </c>
      <c r="C432" s="63">
        <f>6.615 * CHOOSE(CONTROL!$C$22, $C$13, 100%, $E$13)</f>
        <v>6.6150000000000002</v>
      </c>
      <c r="D432" s="63">
        <f>6.6234 * CHOOSE(CONTROL!$C$22, $C$13, 100%, $E$13)</f>
        <v>6.6234000000000002</v>
      </c>
      <c r="E432" s="64">
        <f>7.8807 * CHOOSE(CONTROL!$C$22, $C$13, 100%, $E$13)</f>
        <v>7.8807</v>
      </c>
      <c r="F432" s="64">
        <f>7.8807 * CHOOSE(CONTROL!$C$22, $C$13, 100%, $E$13)</f>
        <v>7.8807</v>
      </c>
      <c r="G432" s="64">
        <f>7.891 * CHOOSE(CONTROL!$C$22, $C$13, 100%, $E$13)</f>
        <v>7.891</v>
      </c>
      <c r="H432" s="64">
        <f>13.2581* CHOOSE(CONTROL!$C$22, $C$13, 100%, $E$13)</f>
        <v>13.258100000000001</v>
      </c>
      <c r="I432" s="64">
        <f>13.2683 * CHOOSE(CONTROL!$C$22, $C$13, 100%, $E$13)</f>
        <v>13.2683</v>
      </c>
      <c r="J432" s="64">
        <f>7.8807 * CHOOSE(CONTROL!$C$22, $C$13, 100%, $E$13)</f>
        <v>7.8807</v>
      </c>
      <c r="K432" s="64">
        <f>7.891 * CHOOSE(CONTROL!$C$22, $C$13, 100%, $E$13)</f>
        <v>7.891</v>
      </c>
    </row>
    <row r="433" spans="1:11" ht="15">
      <c r="A433" s="13">
        <v>54667</v>
      </c>
      <c r="B433" s="63">
        <f>6.6119 * CHOOSE(CONTROL!$C$22, $C$13, 100%, $E$13)</f>
        <v>6.6119000000000003</v>
      </c>
      <c r="C433" s="63">
        <f>6.6119 * CHOOSE(CONTROL!$C$22, $C$13, 100%, $E$13)</f>
        <v>6.6119000000000003</v>
      </c>
      <c r="D433" s="63">
        <f>6.6204 * CHOOSE(CONTROL!$C$22, $C$13, 100%, $E$13)</f>
        <v>6.6204000000000001</v>
      </c>
      <c r="E433" s="64">
        <f>7.8653 * CHOOSE(CONTROL!$C$22, $C$13, 100%, $E$13)</f>
        <v>7.8653000000000004</v>
      </c>
      <c r="F433" s="64">
        <f>7.8653 * CHOOSE(CONTROL!$C$22, $C$13, 100%, $E$13)</f>
        <v>7.8653000000000004</v>
      </c>
      <c r="G433" s="64">
        <f>7.8755 * CHOOSE(CONTROL!$C$22, $C$13, 100%, $E$13)</f>
        <v>7.8754999999999997</v>
      </c>
      <c r="H433" s="64">
        <f>13.2857* CHOOSE(CONTROL!$C$22, $C$13, 100%, $E$13)</f>
        <v>13.2857</v>
      </c>
      <c r="I433" s="64">
        <f>13.2959 * CHOOSE(CONTROL!$C$22, $C$13, 100%, $E$13)</f>
        <v>13.2959</v>
      </c>
      <c r="J433" s="64">
        <f>7.8653 * CHOOSE(CONTROL!$C$22, $C$13, 100%, $E$13)</f>
        <v>7.8653000000000004</v>
      </c>
      <c r="K433" s="64">
        <f>7.8755 * CHOOSE(CONTROL!$C$22, $C$13, 100%, $E$13)</f>
        <v>7.8754999999999997</v>
      </c>
    </row>
    <row r="434" spans="1:11" ht="15">
      <c r="A434" s="13">
        <v>54697</v>
      </c>
      <c r="B434" s="63">
        <f>6.6156 * CHOOSE(CONTROL!$C$22, $C$13, 100%, $E$13)</f>
        <v>6.6155999999999997</v>
      </c>
      <c r="C434" s="63">
        <f>6.6156 * CHOOSE(CONTROL!$C$22, $C$13, 100%, $E$13)</f>
        <v>6.6155999999999997</v>
      </c>
      <c r="D434" s="63">
        <f>6.6156 * CHOOSE(CONTROL!$C$22, $C$13, 100%, $E$13)</f>
        <v>6.6155999999999997</v>
      </c>
      <c r="E434" s="64">
        <f>7.9053 * CHOOSE(CONTROL!$C$22, $C$13, 100%, $E$13)</f>
        <v>7.9053000000000004</v>
      </c>
      <c r="F434" s="64">
        <f>7.9053 * CHOOSE(CONTROL!$C$22, $C$13, 100%, $E$13)</f>
        <v>7.9053000000000004</v>
      </c>
      <c r="G434" s="64">
        <f>7.9054 * CHOOSE(CONTROL!$C$22, $C$13, 100%, $E$13)</f>
        <v>7.9054000000000002</v>
      </c>
      <c r="H434" s="64">
        <f>13.3134* CHOOSE(CONTROL!$C$22, $C$13, 100%, $E$13)</f>
        <v>13.3134</v>
      </c>
      <c r="I434" s="64">
        <f>13.3135 * CHOOSE(CONTROL!$C$22, $C$13, 100%, $E$13)</f>
        <v>13.313499999999999</v>
      </c>
      <c r="J434" s="64">
        <f>7.9053 * CHOOSE(CONTROL!$C$22, $C$13, 100%, $E$13)</f>
        <v>7.9053000000000004</v>
      </c>
      <c r="K434" s="64">
        <f>7.9054 * CHOOSE(CONTROL!$C$22, $C$13, 100%, $E$13)</f>
        <v>7.9054000000000002</v>
      </c>
    </row>
    <row r="435" spans="1:11" ht="15">
      <c r="A435" s="13">
        <v>54728</v>
      </c>
      <c r="B435" s="63">
        <f>6.6186 * CHOOSE(CONTROL!$C$22, $C$13, 100%, $E$13)</f>
        <v>6.6185999999999998</v>
      </c>
      <c r="C435" s="63">
        <f>6.6186 * CHOOSE(CONTROL!$C$22, $C$13, 100%, $E$13)</f>
        <v>6.6185999999999998</v>
      </c>
      <c r="D435" s="63">
        <f>6.6187 * CHOOSE(CONTROL!$C$22, $C$13, 100%, $E$13)</f>
        <v>6.6186999999999996</v>
      </c>
      <c r="E435" s="64">
        <f>7.9341 * CHOOSE(CONTROL!$C$22, $C$13, 100%, $E$13)</f>
        <v>7.9340999999999999</v>
      </c>
      <c r="F435" s="64">
        <f>7.9341 * CHOOSE(CONTROL!$C$22, $C$13, 100%, $E$13)</f>
        <v>7.9340999999999999</v>
      </c>
      <c r="G435" s="64">
        <f>7.9342 * CHOOSE(CONTROL!$C$22, $C$13, 100%, $E$13)</f>
        <v>7.9341999999999997</v>
      </c>
      <c r="H435" s="64">
        <f>13.3411* CHOOSE(CONTROL!$C$22, $C$13, 100%, $E$13)</f>
        <v>13.341100000000001</v>
      </c>
      <c r="I435" s="64">
        <f>13.3412 * CHOOSE(CONTROL!$C$22, $C$13, 100%, $E$13)</f>
        <v>13.341200000000001</v>
      </c>
      <c r="J435" s="64">
        <f>7.9341 * CHOOSE(CONTROL!$C$22, $C$13, 100%, $E$13)</f>
        <v>7.9340999999999999</v>
      </c>
      <c r="K435" s="64">
        <f>7.9342 * CHOOSE(CONTROL!$C$22, $C$13, 100%, $E$13)</f>
        <v>7.9341999999999997</v>
      </c>
    </row>
    <row r="436" spans="1:11" ht="15">
      <c r="A436" s="13">
        <v>54758</v>
      </c>
      <c r="B436" s="63">
        <f>6.6186 * CHOOSE(CONTROL!$C$22, $C$13, 100%, $E$13)</f>
        <v>6.6185999999999998</v>
      </c>
      <c r="C436" s="63">
        <f>6.6186 * CHOOSE(CONTROL!$C$22, $C$13, 100%, $E$13)</f>
        <v>6.6185999999999998</v>
      </c>
      <c r="D436" s="63">
        <f>6.6187 * CHOOSE(CONTROL!$C$22, $C$13, 100%, $E$13)</f>
        <v>6.6186999999999996</v>
      </c>
      <c r="E436" s="64">
        <f>7.8673 * CHOOSE(CONTROL!$C$22, $C$13, 100%, $E$13)</f>
        <v>7.8673000000000002</v>
      </c>
      <c r="F436" s="64">
        <f>7.8673 * CHOOSE(CONTROL!$C$22, $C$13, 100%, $E$13)</f>
        <v>7.8673000000000002</v>
      </c>
      <c r="G436" s="64">
        <f>7.8674 * CHOOSE(CONTROL!$C$22, $C$13, 100%, $E$13)</f>
        <v>7.8673999999999999</v>
      </c>
      <c r="H436" s="64">
        <f>13.3689* CHOOSE(CONTROL!$C$22, $C$13, 100%, $E$13)</f>
        <v>13.3689</v>
      </c>
      <c r="I436" s="64">
        <f>13.369 * CHOOSE(CONTROL!$C$22, $C$13, 100%, $E$13)</f>
        <v>13.369</v>
      </c>
      <c r="J436" s="64">
        <f>7.8673 * CHOOSE(CONTROL!$C$22, $C$13, 100%, $E$13)</f>
        <v>7.8673000000000002</v>
      </c>
      <c r="K436" s="64">
        <f>7.8674 * CHOOSE(CONTROL!$C$22, $C$13, 100%, $E$13)</f>
        <v>7.8673999999999999</v>
      </c>
    </row>
    <row r="437" spans="1:11" ht="15">
      <c r="A437" s="13">
        <v>54789</v>
      </c>
      <c r="B437" s="63">
        <f>6.6762 * CHOOSE(CONTROL!$C$22, $C$13, 100%, $E$13)</f>
        <v>6.6761999999999997</v>
      </c>
      <c r="C437" s="63">
        <f>6.6762 * CHOOSE(CONTROL!$C$22, $C$13, 100%, $E$13)</f>
        <v>6.6761999999999997</v>
      </c>
      <c r="D437" s="63">
        <f>6.6762 * CHOOSE(CONTROL!$C$22, $C$13, 100%, $E$13)</f>
        <v>6.6761999999999997</v>
      </c>
      <c r="E437" s="64">
        <f>7.9797 * CHOOSE(CONTROL!$C$22, $C$13, 100%, $E$13)</f>
        <v>7.9797000000000002</v>
      </c>
      <c r="F437" s="64">
        <f>7.9797 * CHOOSE(CONTROL!$C$22, $C$13, 100%, $E$13)</f>
        <v>7.9797000000000002</v>
      </c>
      <c r="G437" s="64">
        <f>7.9798 * CHOOSE(CONTROL!$C$22, $C$13, 100%, $E$13)</f>
        <v>7.9798</v>
      </c>
      <c r="H437" s="64">
        <f>13.3968* CHOOSE(CONTROL!$C$22, $C$13, 100%, $E$13)</f>
        <v>13.396800000000001</v>
      </c>
      <c r="I437" s="64">
        <f>13.3968 * CHOOSE(CONTROL!$C$22, $C$13, 100%, $E$13)</f>
        <v>13.396800000000001</v>
      </c>
      <c r="J437" s="64">
        <f>7.9797 * CHOOSE(CONTROL!$C$22, $C$13, 100%, $E$13)</f>
        <v>7.9797000000000002</v>
      </c>
      <c r="K437" s="64">
        <f>7.9798 * CHOOSE(CONTROL!$C$22, $C$13, 100%, $E$13)</f>
        <v>7.9798</v>
      </c>
    </row>
    <row r="438" spans="1:11" ht="15">
      <c r="A438" s="13">
        <v>54820</v>
      </c>
      <c r="B438" s="63">
        <f>6.6731 * CHOOSE(CONTROL!$C$22, $C$13, 100%, $E$13)</f>
        <v>6.6730999999999998</v>
      </c>
      <c r="C438" s="63">
        <f>6.6731 * CHOOSE(CONTROL!$C$22, $C$13, 100%, $E$13)</f>
        <v>6.6730999999999998</v>
      </c>
      <c r="D438" s="63">
        <f>6.6731 * CHOOSE(CONTROL!$C$22, $C$13, 100%, $E$13)</f>
        <v>6.6730999999999998</v>
      </c>
      <c r="E438" s="64">
        <f>7.8478 * CHOOSE(CONTROL!$C$22, $C$13, 100%, $E$13)</f>
        <v>7.8478000000000003</v>
      </c>
      <c r="F438" s="64">
        <f>7.8478 * CHOOSE(CONTROL!$C$22, $C$13, 100%, $E$13)</f>
        <v>7.8478000000000003</v>
      </c>
      <c r="G438" s="64">
        <f>7.8479 * CHOOSE(CONTROL!$C$22, $C$13, 100%, $E$13)</f>
        <v>7.8479000000000001</v>
      </c>
      <c r="H438" s="64">
        <f>13.4247* CHOOSE(CONTROL!$C$22, $C$13, 100%, $E$13)</f>
        <v>13.4247</v>
      </c>
      <c r="I438" s="64">
        <f>13.4247 * CHOOSE(CONTROL!$C$22, $C$13, 100%, $E$13)</f>
        <v>13.4247</v>
      </c>
      <c r="J438" s="64">
        <f>7.8478 * CHOOSE(CONTROL!$C$22, $C$13, 100%, $E$13)</f>
        <v>7.8478000000000003</v>
      </c>
      <c r="K438" s="64">
        <f>7.8479 * CHOOSE(CONTROL!$C$22, $C$13, 100%, $E$13)</f>
        <v>7.8479000000000001</v>
      </c>
    </row>
    <row r="439" spans="1:11" ht="15">
      <c r="A439" s="13">
        <v>54848</v>
      </c>
      <c r="B439" s="63">
        <f>6.6701 * CHOOSE(CONTROL!$C$22, $C$13, 100%, $E$13)</f>
        <v>6.6700999999999997</v>
      </c>
      <c r="C439" s="63">
        <f>6.6701 * CHOOSE(CONTROL!$C$22, $C$13, 100%, $E$13)</f>
        <v>6.6700999999999997</v>
      </c>
      <c r="D439" s="63">
        <f>6.6701 * CHOOSE(CONTROL!$C$22, $C$13, 100%, $E$13)</f>
        <v>6.6700999999999997</v>
      </c>
      <c r="E439" s="64">
        <f>7.948 * CHOOSE(CONTROL!$C$22, $C$13, 100%, $E$13)</f>
        <v>7.9480000000000004</v>
      </c>
      <c r="F439" s="64">
        <f>7.948 * CHOOSE(CONTROL!$C$22, $C$13, 100%, $E$13)</f>
        <v>7.9480000000000004</v>
      </c>
      <c r="G439" s="64">
        <f>7.9481 * CHOOSE(CONTROL!$C$22, $C$13, 100%, $E$13)</f>
        <v>7.9481000000000002</v>
      </c>
      <c r="H439" s="64">
        <f>13.4526* CHOOSE(CONTROL!$C$22, $C$13, 100%, $E$13)</f>
        <v>13.4526</v>
      </c>
      <c r="I439" s="64">
        <f>13.4527 * CHOOSE(CONTROL!$C$22, $C$13, 100%, $E$13)</f>
        <v>13.4527</v>
      </c>
      <c r="J439" s="64">
        <f>7.948 * CHOOSE(CONTROL!$C$22, $C$13, 100%, $E$13)</f>
        <v>7.9480000000000004</v>
      </c>
      <c r="K439" s="64">
        <f>7.9481 * CHOOSE(CONTROL!$C$22, $C$13, 100%, $E$13)</f>
        <v>7.9481000000000002</v>
      </c>
    </row>
    <row r="440" spans="1:11" ht="15">
      <c r="A440" s="13">
        <v>54879</v>
      </c>
      <c r="B440" s="63">
        <f>6.67 * CHOOSE(CONTROL!$C$22, $C$13, 100%, $E$13)</f>
        <v>6.67</v>
      </c>
      <c r="C440" s="63">
        <f>6.67 * CHOOSE(CONTROL!$C$22, $C$13, 100%, $E$13)</f>
        <v>6.67</v>
      </c>
      <c r="D440" s="63">
        <f>6.6701 * CHOOSE(CONTROL!$C$22, $C$13, 100%, $E$13)</f>
        <v>6.6700999999999997</v>
      </c>
      <c r="E440" s="64">
        <f>8.0536 * CHOOSE(CONTROL!$C$22, $C$13, 100%, $E$13)</f>
        <v>8.0535999999999994</v>
      </c>
      <c r="F440" s="64">
        <f>8.0536 * CHOOSE(CONTROL!$C$22, $C$13, 100%, $E$13)</f>
        <v>8.0535999999999994</v>
      </c>
      <c r="G440" s="64">
        <f>8.0537 * CHOOSE(CONTROL!$C$22, $C$13, 100%, $E$13)</f>
        <v>8.0536999999999992</v>
      </c>
      <c r="H440" s="64">
        <f>13.4807* CHOOSE(CONTROL!$C$22, $C$13, 100%, $E$13)</f>
        <v>13.480700000000001</v>
      </c>
      <c r="I440" s="64">
        <f>13.4807 * CHOOSE(CONTROL!$C$22, $C$13, 100%, $E$13)</f>
        <v>13.480700000000001</v>
      </c>
      <c r="J440" s="64">
        <f>8.0536 * CHOOSE(CONTROL!$C$22, $C$13, 100%, $E$13)</f>
        <v>8.0535999999999994</v>
      </c>
      <c r="K440" s="64">
        <f>8.0537 * CHOOSE(CONTROL!$C$22, $C$13, 100%, $E$13)</f>
        <v>8.0536999999999992</v>
      </c>
    </row>
    <row r="441" spans="1:11" ht="15">
      <c r="A441" s="13">
        <v>54909</v>
      </c>
      <c r="B441" s="63">
        <f>6.67 * CHOOSE(CONTROL!$C$22, $C$13, 100%, $E$13)</f>
        <v>6.67</v>
      </c>
      <c r="C441" s="63">
        <f>6.67 * CHOOSE(CONTROL!$C$22, $C$13, 100%, $E$13)</f>
        <v>6.67</v>
      </c>
      <c r="D441" s="63">
        <f>6.6785 * CHOOSE(CONTROL!$C$22, $C$13, 100%, $E$13)</f>
        <v>6.6784999999999997</v>
      </c>
      <c r="E441" s="64">
        <f>8.0948 * CHOOSE(CONTROL!$C$22, $C$13, 100%, $E$13)</f>
        <v>8.0947999999999993</v>
      </c>
      <c r="F441" s="64">
        <f>8.0948 * CHOOSE(CONTROL!$C$22, $C$13, 100%, $E$13)</f>
        <v>8.0947999999999993</v>
      </c>
      <c r="G441" s="64">
        <f>8.1051 * CHOOSE(CONTROL!$C$22, $C$13, 100%, $E$13)</f>
        <v>8.1051000000000002</v>
      </c>
      <c r="H441" s="64">
        <f>13.5087* CHOOSE(CONTROL!$C$22, $C$13, 100%, $E$13)</f>
        <v>13.508699999999999</v>
      </c>
      <c r="I441" s="64">
        <f>13.519 * CHOOSE(CONTROL!$C$22, $C$13, 100%, $E$13)</f>
        <v>13.519</v>
      </c>
      <c r="J441" s="64">
        <f>8.0948 * CHOOSE(CONTROL!$C$22, $C$13, 100%, $E$13)</f>
        <v>8.0947999999999993</v>
      </c>
      <c r="K441" s="64">
        <f>8.1051 * CHOOSE(CONTROL!$C$22, $C$13, 100%, $E$13)</f>
        <v>8.1051000000000002</v>
      </c>
    </row>
    <row r="442" spans="1:11" ht="15">
      <c r="A442" s="13">
        <v>54940</v>
      </c>
      <c r="B442" s="63">
        <f>6.6761 * CHOOSE(CONTROL!$C$22, $C$13, 100%, $E$13)</f>
        <v>6.6760999999999999</v>
      </c>
      <c r="C442" s="63">
        <f>6.6761 * CHOOSE(CONTROL!$C$22, $C$13, 100%, $E$13)</f>
        <v>6.6760999999999999</v>
      </c>
      <c r="D442" s="63">
        <f>6.6846 * CHOOSE(CONTROL!$C$22, $C$13, 100%, $E$13)</f>
        <v>6.6845999999999997</v>
      </c>
      <c r="E442" s="64">
        <f>8.0579 * CHOOSE(CONTROL!$C$22, $C$13, 100%, $E$13)</f>
        <v>8.0579000000000001</v>
      </c>
      <c r="F442" s="64">
        <f>8.0579 * CHOOSE(CONTROL!$C$22, $C$13, 100%, $E$13)</f>
        <v>8.0579000000000001</v>
      </c>
      <c r="G442" s="64">
        <f>8.0681 * CHOOSE(CONTROL!$C$22, $C$13, 100%, $E$13)</f>
        <v>8.0680999999999994</v>
      </c>
      <c r="H442" s="64">
        <f>13.5369* CHOOSE(CONTROL!$C$22, $C$13, 100%, $E$13)</f>
        <v>13.536899999999999</v>
      </c>
      <c r="I442" s="64">
        <f>13.5471 * CHOOSE(CONTROL!$C$22, $C$13, 100%, $E$13)</f>
        <v>13.5471</v>
      </c>
      <c r="J442" s="64">
        <f>8.0579 * CHOOSE(CONTROL!$C$22, $C$13, 100%, $E$13)</f>
        <v>8.0579000000000001</v>
      </c>
      <c r="K442" s="64">
        <f>8.0681 * CHOOSE(CONTROL!$C$22, $C$13, 100%, $E$13)</f>
        <v>8.0680999999999994</v>
      </c>
    </row>
    <row r="443" spans="1:11" ht="15">
      <c r="A443" s="13">
        <v>54970</v>
      </c>
      <c r="B443" s="63">
        <f>6.7826 * CHOOSE(CONTROL!$C$22, $C$13, 100%, $E$13)</f>
        <v>6.7826000000000004</v>
      </c>
      <c r="C443" s="63">
        <f>6.7826 * CHOOSE(CONTROL!$C$22, $C$13, 100%, $E$13)</f>
        <v>6.7826000000000004</v>
      </c>
      <c r="D443" s="63">
        <f>6.7911 * CHOOSE(CONTROL!$C$22, $C$13, 100%, $E$13)</f>
        <v>6.7911000000000001</v>
      </c>
      <c r="E443" s="64">
        <f>8.1919 * CHOOSE(CONTROL!$C$22, $C$13, 100%, $E$13)</f>
        <v>8.1919000000000004</v>
      </c>
      <c r="F443" s="64">
        <f>8.1919 * CHOOSE(CONTROL!$C$22, $C$13, 100%, $E$13)</f>
        <v>8.1919000000000004</v>
      </c>
      <c r="G443" s="64">
        <f>8.2021 * CHOOSE(CONTROL!$C$22, $C$13, 100%, $E$13)</f>
        <v>8.2020999999999997</v>
      </c>
      <c r="H443" s="64">
        <f>13.5651* CHOOSE(CONTROL!$C$22, $C$13, 100%, $E$13)</f>
        <v>13.565099999999999</v>
      </c>
      <c r="I443" s="64">
        <f>13.5753 * CHOOSE(CONTROL!$C$22, $C$13, 100%, $E$13)</f>
        <v>13.5753</v>
      </c>
      <c r="J443" s="64">
        <f>8.1919 * CHOOSE(CONTROL!$C$22, $C$13, 100%, $E$13)</f>
        <v>8.1919000000000004</v>
      </c>
      <c r="K443" s="64">
        <f>8.2021 * CHOOSE(CONTROL!$C$22, $C$13, 100%, $E$13)</f>
        <v>8.2020999999999997</v>
      </c>
    </row>
    <row r="444" spans="1:11" ht="15">
      <c r="A444" s="13">
        <v>55001</v>
      </c>
      <c r="B444" s="63">
        <f>6.7893 * CHOOSE(CONTROL!$C$22, $C$13, 100%, $E$13)</f>
        <v>6.7892999999999999</v>
      </c>
      <c r="C444" s="63">
        <f>6.7893 * CHOOSE(CONTROL!$C$22, $C$13, 100%, $E$13)</f>
        <v>6.7892999999999999</v>
      </c>
      <c r="D444" s="63">
        <f>6.7977 * CHOOSE(CONTROL!$C$22, $C$13, 100%, $E$13)</f>
        <v>6.7976999999999999</v>
      </c>
      <c r="E444" s="64">
        <f>8.0729 * CHOOSE(CONTROL!$C$22, $C$13, 100%, $E$13)</f>
        <v>8.0729000000000006</v>
      </c>
      <c r="F444" s="64">
        <f>8.0729 * CHOOSE(CONTROL!$C$22, $C$13, 100%, $E$13)</f>
        <v>8.0729000000000006</v>
      </c>
      <c r="G444" s="64">
        <f>8.0831 * CHOOSE(CONTROL!$C$22, $C$13, 100%, $E$13)</f>
        <v>8.0831</v>
      </c>
      <c r="H444" s="64">
        <f>13.5934* CHOOSE(CONTROL!$C$22, $C$13, 100%, $E$13)</f>
        <v>13.593400000000001</v>
      </c>
      <c r="I444" s="64">
        <f>13.6036 * CHOOSE(CONTROL!$C$22, $C$13, 100%, $E$13)</f>
        <v>13.6036</v>
      </c>
      <c r="J444" s="64">
        <f>8.0729 * CHOOSE(CONTROL!$C$22, $C$13, 100%, $E$13)</f>
        <v>8.0729000000000006</v>
      </c>
      <c r="K444" s="64">
        <f>8.0831 * CHOOSE(CONTROL!$C$22, $C$13, 100%, $E$13)</f>
        <v>8.0831</v>
      </c>
    </row>
    <row r="445" spans="1:11" ht="15">
      <c r="A445" s="13">
        <v>55032</v>
      </c>
      <c r="B445" s="63">
        <f>6.7863 * CHOOSE(CONTROL!$C$22, $C$13, 100%, $E$13)</f>
        <v>6.7862999999999998</v>
      </c>
      <c r="C445" s="63">
        <f>6.7863 * CHOOSE(CONTROL!$C$22, $C$13, 100%, $E$13)</f>
        <v>6.7862999999999998</v>
      </c>
      <c r="D445" s="63">
        <f>6.7947 * CHOOSE(CONTROL!$C$22, $C$13, 100%, $E$13)</f>
        <v>6.7946999999999997</v>
      </c>
      <c r="E445" s="64">
        <f>8.0571 * CHOOSE(CONTROL!$C$22, $C$13, 100%, $E$13)</f>
        <v>8.0571000000000002</v>
      </c>
      <c r="F445" s="64">
        <f>8.0571 * CHOOSE(CONTROL!$C$22, $C$13, 100%, $E$13)</f>
        <v>8.0571000000000002</v>
      </c>
      <c r="G445" s="64">
        <f>8.0673 * CHOOSE(CONTROL!$C$22, $C$13, 100%, $E$13)</f>
        <v>8.0672999999999995</v>
      </c>
      <c r="H445" s="64">
        <f>13.6217* CHOOSE(CONTROL!$C$22, $C$13, 100%, $E$13)</f>
        <v>13.621700000000001</v>
      </c>
      <c r="I445" s="64">
        <f>13.6319 * CHOOSE(CONTROL!$C$22, $C$13, 100%, $E$13)</f>
        <v>13.6319</v>
      </c>
      <c r="J445" s="64">
        <f>8.0571 * CHOOSE(CONTROL!$C$22, $C$13, 100%, $E$13)</f>
        <v>8.0571000000000002</v>
      </c>
      <c r="K445" s="64">
        <f>8.0673 * CHOOSE(CONTROL!$C$22, $C$13, 100%, $E$13)</f>
        <v>8.0672999999999995</v>
      </c>
    </row>
    <row r="446" spans="1:11" ht="15">
      <c r="A446" s="13">
        <v>55062</v>
      </c>
      <c r="B446" s="63">
        <f>6.7905 * CHOOSE(CONTROL!$C$22, $C$13, 100%, $E$13)</f>
        <v>6.7904999999999998</v>
      </c>
      <c r="C446" s="63">
        <f>6.7905 * CHOOSE(CONTROL!$C$22, $C$13, 100%, $E$13)</f>
        <v>6.7904999999999998</v>
      </c>
      <c r="D446" s="63">
        <f>6.7905 * CHOOSE(CONTROL!$C$22, $C$13, 100%, $E$13)</f>
        <v>6.7904999999999998</v>
      </c>
      <c r="E446" s="64">
        <f>8.0986 * CHOOSE(CONTROL!$C$22, $C$13, 100%, $E$13)</f>
        <v>8.0985999999999994</v>
      </c>
      <c r="F446" s="64">
        <f>8.0986 * CHOOSE(CONTROL!$C$22, $C$13, 100%, $E$13)</f>
        <v>8.0985999999999994</v>
      </c>
      <c r="G446" s="64">
        <f>8.0987 * CHOOSE(CONTROL!$C$22, $C$13, 100%, $E$13)</f>
        <v>8.0986999999999991</v>
      </c>
      <c r="H446" s="64">
        <f>13.6501* CHOOSE(CONTROL!$C$22, $C$13, 100%, $E$13)</f>
        <v>13.6501</v>
      </c>
      <c r="I446" s="64">
        <f>13.6501 * CHOOSE(CONTROL!$C$22, $C$13, 100%, $E$13)</f>
        <v>13.6501</v>
      </c>
      <c r="J446" s="64">
        <f>8.0986 * CHOOSE(CONTROL!$C$22, $C$13, 100%, $E$13)</f>
        <v>8.0985999999999994</v>
      </c>
      <c r="K446" s="64">
        <f>8.0987 * CHOOSE(CONTROL!$C$22, $C$13, 100%, $E$13)</f>
        <v>8.0986999999999991</v>
      </c>
    </row>
    <row r="447" spans="1:11" ht="15">
      <c r="A447" s="13">
        <v>55093</v>
      </c>
      <c r="B447" s="63">
        <f>6.7936 * CHOOSE(CONTROL!$C$22, $C$13, 100%, $E$13)</f>
        <v>6.7935999999999996</v>
      </c>
      <c r="C447" s="63">
        <f>6.7936 * CHOOSE(CONTROL!$C$22, $C$13, 100%, $E$13)</f>
        <v>6.7935999999999996</v>
      </c>
      <c r="D447" s="63">
        <f>6.7936 * CHOOSE(CONTROL!$C$22, $C$13, 100%, $E$13)</f>
        <v>6.7935999999999996</v>
      </c>
      <c r="E447" s="64">
        <f>8.1282 * CHOOSE(CONTROL!$C$22, $C$13, 100%, $E$13)</f>
        <v>8.1281999999999996</v>
      </c>
      <c r="F447" s="64">
        <f>8.1282 * CHOOSE(CONTROL!$C$22, $C$13, 100%, $E$13)</f>
        <v>8.1281999999999996</v>
      </c>
      <c r="G447" s="64">
        <f>8.1282 * CHOOSE(CONTROL!$C$22, $C$13, 100%, $E$13)</f>
        <v>8.1281999999999996</v>
      </c>
      <c r="H447" s="64">
        <f>13.6785* CHOOSE(CONTROL!$C$22, $C$13, 100%, $E$13)</f>
        <v>13.6785</v>
      </c>
      <c r="I447" s="64">
        <f>13.6786 * CHOOSE(CONTROL!$C$22, $C$13, 100%, $E$13)</f>
        <v>13.678599999999999</v>
      </c>
      <c r="J447" s="64">
        <f>8.1282 * CHOOSE(CONTROL!$C$22, $C$13, 100%, $E$13)</f>
        <v>8.1281999999999996</v>
      </c>
      <c r="K447" s="64">
        <f>8.1282 * CHOOSE(CONTROL!$C$22, $C$13, 100%, $E$13)</f>
        <v>8.1281999999999996</v>
      </c>
    </row>
    <row r="448" spans="1:11" ht="15">
      <c r="A448" s="13">
        <v>55123</v>
      </c>
      <c r="B448" s="63">
        <f>6.7936 * CHOOSE(CONTROL!$C$22, $C$13, 100%, $E$13)</f>
        <v>6.7935999999999996</v>
      </c>
      <c r="C448" s="63">
        <f>6.7936 * CHOOSE(CONTROL!$C$22, $C$13, 100%, $E$13)</f>
        <v>6.7935999999999996</v>
      </c>
      <c r="D448" s="63">
        <f>6.7936 * CHOOSE(CONTROL!$C$22, $C$13, 100%, $E$13)</f>
        <v>6.7935999999999996</v>
      </c>
      <c r="E448" s="64">
        <f>8.0595 * CHOOSE(CONTROL!$C$22, $C$13, 100%, $E$13)</f>
        <v>8.0594999999999999</v>
      </c>
      <c r="F448" s="64">
        <f>8.0595 * CHOOSE(CONTROL!$C$22, $C$13, 100%, $E$13)</f>
        <v>8.0594999999999999</v>
      </c>
      <c r="G448" s="64">
        <f>8.0596 * CHOOSE(CONTROL!$C$22, $C$13, 100%, $E$13)</f>
        <v>8.0595999999999997</v>
      </c>
      <c r="H448" s="64">
        <f>13.707* CHOOSE(CONTROL!$C$22, $C$13, 100%, $E$13)</f>
        <v>13.707000000000001</v>
      </c>
      <c r="I448" s="64">
        <f>13.7071 * CHOOSE(CONTROL!$C$22, $C$13, 100%, $E$13)</f>
        <v>13.707100000000001</v>
      </c>
      <c r="J448" s="64">
        <f>8.0595 * CHOOSE(CONTROL!$C$22, $C$13, 100%, $E$13)</f>
        <v>8.0594999999999999</v>
      </c>
      <c r="K448" s="64">
        <f>8.0596 * CHOOSE(CONTROL!$C$22, $C$13, 100%, $E$13)</f>
        <v>8.0595999999999997</v>
      </c>
    </row>
    <row r="449" spans="1:11" ht="15">
      <c r="A449" s="13">
        <v>55154</v>
      </c>
      <c r="B449" s="63">
        <f>6.8525 * CHOOSE(CONTROL!$C$22, $C$13, 100%, $E$13)</f>
        <v>6.8525</v>
      </c>
      <c r="C449" s="63">
        <f>6.8525 * CHOOSE(CONTROL!$C$22, $C$13, 100%, $E$13)</f>
        <v>6.8525</v>
      </c>
      <c r="D449" s="63">
        <f>6.8525 * CHOOSE(CONTROL!$C$22, $C$13, 100%, $E$13)</f>
        <v>6.8525</v>
      </c>
      <c r="E449" s="64">
        <f>8.1748 * CHOOSE(CONTROL!$C$22, $C$13, 100%, $E$13)</f>
        <v>8.1747999999999994</v>
      </c>
      <c r="F449" s="64">
        <f>8.1748 * CHOOSE(CONTROL!$C$22, $C$13, 100%, $E$13)</f>
        <v>8.1747999999999994</v>
      </c>
      <c r="G449" s="64">
        <f>8.1748 * CHOOSE(CONTROL!$C$22, $C$13, 100%, $E$13)</f>
        <v>8.1747999999999994</v>
      </c>
      <c r="H449" s="64">
        <f>13.7355* CHOOSE(CONTROL!$C$22, $C$13, 100%, $E$13)</f>
        <v>13.7355</v>
      </c>
      <c r="I449" s="64">
        <f>13.7356 * CHOOSE(CONTROL!$C$22, $C$13, 100%, $E$13)</f>
        <v>13.7356</v>
      </c>
      <c r="J449" s="64">
        <f>8.1748 * CHOOSE(CONTROL!$C$22, $C$13, 100%, $E$13)</f>
        <v>8.1747999999999994</v>
      </c>
      <c r="K449" s="64">
        <f>8.1748 * CHOOSE(CONTROL!$C$22, $C$13, 100%, $E$13)</f>
        <v>8.1747999999999994</v>
      </c>
    </row>
    <row r="450" spans="1:11" ht="15">
      <c r="A450" s="13">
        <v>55185</v>
      </c>
      <c r="B450" s="63">
        <f>6.8495 * CHOOSE(CONTROL!$C$22, $C$13, 100%, $E$13)</f>
        <v>6.8494999999999999</v>
      </c>
      <c r="C450" s="63">
        <f>6.8495 * CHOOSE(CONTROL!$C$22, $C$13, 100%, $E$13)</f>
        <v>6.8494999999999999</v>
      </c>
      <c r="D450" s="63">
        <f>6.8495 * CHOOSE(CONTROL!$C$22, $C$13, 100%, $E$13)</f>
        <v>6.8494999999999999</v>
      </c>
      <c r="E450" s="64">
        <f>8.0392 * CHOOSE(CONTROL!$C$22, $C$13, 100%, $E$13)</f>
        <v>8.0391999999999992</v>
      </c>
      <c r="F450" s="64">
        <f>8.0392 * CHOOSE(CONTROL!$C$22, $C$13, 100%, $E$13)</f>
        <v>8.0391999999999992</v>
      </c>
      <c r="G450" s="64">
        <f>8.0393 * CHOOSE(CONTROL!$C$22, $C$13, 100%, $E$13)</f>
        <v>8.0393000000000008</v>
      </c>
      <c r="H450" s="64">
        <f>13.7642* CHOOSE(CONTROL!$C$22, $C$13, 100%, $E$13)</f>
        <v>13.764200000000001</v>
      </c>
      <c r="I450" s="64">
        <f>13.7642 * CHOOSE(CONTROL!$C$22, $C$13, 100%, $E$13)</f>
        <v>13.764200000000001</v>
      </c>
      <c r="J450" s="64">
        <f>8.0392 * CHOOSE(CONTROL!$C$22, $C$13, 100%, $E$13)</f>
        <v>8.0391999999999992</v>
      </c>
      <c r="K450" s="64">
        <f>8.0393 * CHOOSE(CONTROL!$C$22, $C$13, 100%, $E$13)</f>
        <v>8.0393000000000008</v>
      </c>
    </row>
    <row r="451" spans="1:11" ht="15">
      <c r="A451" s="13">
        <v>55213</v>
      </c>
      <c r="B451" s="63">
        <f>6.8464 * CHOOSE(CONTROL!$C$22, $C$13, 100%, $E$13)</f>
        <v>6.8464</v>
      </c>
      <c r="C451" s="63">
        <f>6.8464 * CHOOSE(CONTROL!$C$22, $C$13, 100%, $E$13)</f>
        <v>6.8464</v>
      </c>
      <c r="D451" s="63">
        <f>6.8464 * CHOOSE(CONTROL!$C$22, $C$13, 100%, $E$13)</f>
        <v>6.8464</v>
      </c>
      <c r="E451" s="64">
        <f>8.1423 * CHOOSE(CONTROL!$C$22, $C$13, 100%, $E$13)</f>
        <v>8.1423000000000005</v>
      </c>
      <c r="F451" s="64">
        <f>8.1423 * CHOOSE(CONTROL!$C$22, $C$13, 100%, $E$13)</f>
        <v>8.1423000000000005</v>
      </c>
      <c r="G451" s="64">
        <f>8.1424 * CHOOSE(CONTROL!$C$22, $C$13, 100%, $E$13)</f>
        <v>8.1424000000000003</v>
      </c>
      <c r="H451" s="64">
        <f>13.7928* CHOOSE(CONTROL!$C$22, $C$13, 100%, $E$13)</f>
        <v>13.7928</v>
      </c>
      <c r="I451" s="64">
        <f>13.7929 * CHOOSE(CONTROL!$C$22, $C$13, 100%, $E$13)</f>
        <v>13.792899999999999</v>
      </c>
      <c r="J451" s="64">
        <f>8.1423 * CHOOSE(CONTROL!$C$22, $C$13, 100%, $E$13)</f>
        <v>8.1423000000000005</v>
      </c>
      <c r="K451" s="64">
        <f>8.1424 * CHOOSE(CONTROL!$C$22, $C$13, 100%, $E$13)</f>
        <v>8.1424000000000003</v>
      </c>
    </row>
    <row r="452" spans="1:11" ht="15">
      <c r="A452" s="13">
        <v>55244</v>
      </c>
      <c r="B452" s="63">
        <f>6.8465 * CHOOSE(CONTROL!$C$22, $C$13, 100%, $E$13)</f>
        <v>6.8464999999999998</v>
      </c>
      <c r="C452" s="63">
        <f>6.8465 * CHOOSE(CONTROL!$C$22, $C$13, 100%, $E$13)</f>
        <v>6.8464999999999998</v>
      </c>
      <c r="D452" s="63">
        <f>6.8465 * CHOOSE(CONTROL!$C$22, $C$13, 100%, $E$13)</f>
        <v>6.8464999999999998</v>
      </c>
      <c r="E452" s="64">
        <f>8.251 * CHOOSE(CONTROL!$C$22, $C$13, 100%, $E$13)</f>
        <v>8.2509999999999994</v>
      </c>
      <c r="F452" s="64">
        <f>8.251 * CHOOSE(CONTROL!$C$22, $C$13, 100%, $E$13)</f>
        <v>8.2509999999999994</v>
      </c>
      <c r="G452" s="64">
        <f>8.2511 * CHOOSE(CONTROL!$C$22, $C$13, 100%, $E$13)</f>
        <v>8.2510999999999992</v>
      </c>
      <c r="H452" s="64">
        <f>13.8216* CHOOSE(CONTROL!$C$22, $C$13, 100%, $E$13)</f>
        <v>13.8216</v>
      </c>
      <c r="I452" s="64">
        <f>13.8216 * CHOOSE(CONTROL!$C$22, $C$13, 100%, $E$13)</f>
        <v>13.8216</v>
      </c>
      <c r="J452" s="64">
        <f>8.251 * CHOOSE(CONTROL!$C$22, $C$13, 100%, $E$13)</f>
        <v>8.2509999999999994</v>
      </c>
      <c r="K452" s="64">
        <f>8.2511 * CHOOSE(CONTROL!$C$22, $C$13, 100%, $E$13)</f>
        <v>8.2510999999999992</v>
      </c>
    </row>
    <row r="453" spans="1:11" ht="15">
      <c r="A453" s="13">
        <v>55274</v>
      </c>
      <c r="B453" s="63">
        <f>6.8465 * CHOOSE(CONTROL!$C$22, $C$13, 100%, $E$13)</f>
        <v>6.8464999999999998</v>
      </c>
      <c r="C453" s="63">
        <f>6.8465 * CHOOSE(CONTROL!$C$22, $C$13, 100%, $E$13)</f>
        <v>6.8464999999999998</v>
      </c>
      <c r="D453" s="63">
        <f>6.8549 * CHOOSE(CONTROL!$C$22, $C$13, 100%, $E$13)</f>
        <v>6.8548999999999998</v>
      </c>
      <c r="E453" s="64">
        <f>8.2934 * CHOOSE(CONTROL!$C$22, $C$13, 100%, $E$13)</f>
        <v>8.2934000000000001</v>
      </c>
      <c r="F453" s="64">
        <f>8.2934 * CHOOSE(CONTROL!$C$22, $C$13, 100%, $E$13)</f>
        <v>8.2934000000000001</v>
      </c>
      <c r="G453" s="64">
        <f>8.3036 * CHOOSE(CONTROL!$C$22, $C$13, 100%, $E$13)</f>
        <v>8.3035999999999994</v>
      </c>
      <c r="H453" s="64">
        <f>13.8504* CHOOSE(CONTROL!$C$22, $C$13, 100%, $E$13)</f>
        <v>13.8504</v>
      </c>
      <c r="I453" s="64">
        <f>13.8606 * CHOOSE(CONTROL!$C$22, $C$13, 100%, $E$13)</f>
        <v>13.8606</v>
      </c>
      <c r="J453" s="64">
        <f>8.2934 * CHOOSE(CONTROL!$C$22, $C$13, 100%, $E$13)</f>
        <v>8.2934000000000001</v>
      </c>
      <c r="K453" s="64">
        <f>8.3036 * CHOOSE(CONTROL!$C$22, $C$13, 100%, $E$13)</f>
        <v>8.3035999999999994</v>
      </c>
    </row>
    <row r="454" spans="1:11" ht="15">
      <c r="A454" s="13">
        <v>55305</v>
      </c>
      <c r="B454" s="63">
        <f>6.8526 * CHOOSE(CONTROL!$C$22, $C$13, 100%, $E$13)</f>
        <v>6.8525999999999998</v>
      </c>
      <c r="C454" s="63">
        <f>6.8526 * CHOOSE(CONTROL!$C$22, $C$13, 100%, $E$13)</f>
        <v>6.8525999999999998</v>
      </c>
      <c r="D454" s="63">
        <f>6.861 * CHOOSE(CONTROL!$C$22, $C$13, 100%, $E$13)</f>
        <v>6.8609999999999998</v>
      </c>
      <c r="E454" s="64">
        <f>8.2552 * CHOOSE(CONTROL!$C$22, $C$13, 100%, $E$13)</f>
        <v>8.2552000000000003</v>
      </c>
      <c r="F454" s="64">
        <f>8.2552 * CHOOSE(CONTROL!$C$22, $C$13, 100%, $E$13)</f>
        <v>8.2552000000000003</v>
      </c>
      <c r="G454" s="64">
        <f>8.2655 * CHOOSE(CONTROL!$C$22, $C$13, 100%, $E$13)</f>
        <v>8.2654999999999994</v>
      </c>
      <c r="H454" s="64">
        <f>13.8792* CHOOSE(CONTROL!$C$22, $C$13, 100%, $E$13)</f>
        <v>13.879200000000001</v>
      </c>
      <c r="I454" s="64">
        <f>13.8894 * CHOOSE(CONTROL!$C$22, $C$13, 100%, $E$13)</f>
        <v>13.8894</v>
      </c>
      <c r="J454" s="64">
        <f>8.2552 * CHOOSE(CONTROL!$C$22, $C$13, 100%, $E$13)</f>
        <v>8.2552000000000003</v>
      </c>
      <c r="K454" s="64">
        <f>8.2655 * CHOOSE(CONTROL!$C$22, $C$13, 100%, $E$13)</f>
        <v>8.2654999999999994</v>
      </c>
    </row>
    <row r="455" spans="1:11" ht="15">
      <c r="A455" s="13">
        <v>55335</v>
      </c>
      <c r="B455" s="63">
        <f>6.9616 * CHOOSE(CONTROL!$C$22, $C$13, 100%, $E$13)</f>
        <v>6.9615999999999998</v>
      </c>
      <c r="C455" s="63">
        <f>6.9616 * CHOOSE(CONTROL!$C$22, $C$13, 100%, $E$13)</f>
        <v>6.9615999999999998</v>
      </c>
      <c r="D455" s="63">
        <f>6.97 * CHOOSE(CONTROL!$C$22, $C$13, 100%, $E$13)</f>
        <v>6.97</v>
      </c>
      <c r="E455" s="64">
        <f>8.3922 * CHOOSE(CONTROL!$C$22, $C$13, 100%, $E$13)</f>
        <v>8.3922000000000008</v>
      </c>
      <c r="F455" s="64">
        <f>8.3922 * CHOOSE(CONTROL!$C$22, $C$13, 100%, $E$13)</f>
        <v>8.3922000000000008</v>
      </c>
      <c r="G455" s="64">
        <f>8.4024 * CHOOSE(CONTROL!$C$22, $C$13, 100%, $E$13)</f>
        <v>8.4024000000000001</v>
      </c>
      <c r="H455" s="64">
        <f>13.9081* CHOOSE(CONTROL!$C$22, $C$13, 100%, $E$13)</f>
        <v>13.908099999999999</v>
      </c>
      <c r="I455" s="64">
        <f>13.9184 * CHOOSE(CONTROL!$C$22, $C$13, 100%, $E$13)</f>
        <v>13.9184</v>
      </c>
      <c r="J455" s="64">
        <f>8.3922 * CHOOSE(CONTROL!$C$22, $C$13, 100%, $E$13)</f>
        <v>8.3922000000000008</v>
      </c>
      <c r="K455" s="64">
        <f>8.4024 * CHOOSE(CONTROL!$C$22, $C$13, 100%, $E$13)</f>
        <v>8.4024000000000001</v>
      </c>
    </row>
    <row r="456" spans="1:11" ht="15">
      <c r="A456" s="13">
        <v>55366</v>
      </c>
      <c r="B456" s="63">
        <f>6.9683 * CHOOSE(CONTROL!$C$22, $C$13, 100%, $E$13)</f>
        <v>6.9683000000000002</v>
      </c>
      <c r="C456" s="63">
        <f>6.9683 * CHOOSE(CONTROL!$C$22, $C$13, 100%, $E$13)</f>
        <v>6.9683000000000002</v>
      </c>
      <c r="D456" s="63">
        <f>6.9767 * CHOOSE(CONTROL!$C$22, $C$13, 100%, $E$13)</f>
        <v>6.9767000000000001</v>
      </c>
      <c r="E456" s="64">
        <f>8.2698 * CHOOSE(CONTROL!$C$22, $C$13, 100%, $E$13)</f>
        <v>8.2698</v>
      </c>
      <c r="F456" s="64">
        <f>8.2698 * CHOOSE(CONTROL!$C$22, $C$13, 100%, $E$13)</f>
        <v>8.2698</v>
      </c>
      <c r="G456" s="64">
        <f>8.28 * CHOOSE(CONTROL!$C$22, $C$13, 100%, $E$13)</f>
        <v>8.2799999999999994</v>
      </c>
      <c r="H456" s="64">
        <f>13.9371* CHOOSE(CONTROL!$C$22, $C$13, 100%, $E$13)</f>
        <v>13.937099999999999</v>
      </c>
      <c r="I456" s="64">
        <f>13.9473 * CHOOSE(CONTROL!$C$22, $C$13, 100%, $E$13)</f>
        <v>13.9473</v>
      </c>
      <c r="J456" s="64">
        <f>8.2698 * CHOOSE(CONTROL!$C$22, $C$13, 100%, $E$13)</f>
        <v>8.2698</v>
      </c>
      <c r="K456" s="64">
        <f>8.28 * CHOOSE(CONTROL!$C$22, $C$13, 100%, $E$13)</f>
        <v>8.2799999999999994</v>
      </c>
    </row>
    <row r="457" spans="1:11" ht="15">
      <c r="A457" s="13">
        <v>55397</v>
      </c>
      <c r="B457" s="63">
        <f>6.9653 * CHOOSE(CONTROL!$C$22, $C$13, 100%, $E$13)</f>
        <v>6.9653</v>
      </c>
      <c r="C457" s="63">
        <f>6.9653 * CHOOSE(CONTROL!$C$22, $C$13, 100%, $E$13)</f>
        <v>6.9653</v>
      </c>
      <c r="D457" s="63">
        <f>6.9737 * CHOOSE(CONTROL!$C$22, $C$13, 100%, $E$13)</f>
        <v>6.9737</v>
      </c>
      <c r="E457" s="64">
        <f>8.2536 * CHOOSE(CONTROL!$C$22, $C$13, 100%, $E$13)</f>
        <v>8.2536000000000005</v>
      </c>
      <c r="F457" s="64">
        <f>8.2536 * CHOOSE(CONTROL!$C$22, $C$13, 100%, $E$13)</f>
        <v>8.2536000000000005</v>
      </c>
      <c r="G457" s="64">
        <f>8.2638 * CHOOSE(CONTROL!$C$22, $C$13, 100%, $E$13)</f>
        <v>8.2637999999999998</v>
      </c>
      <c r="H457" s="64">
        <f>13.9661* CHOOSE(CONTROL!$C$22, $C$13, 100%, $E$13)</f>
        <v>13.966100000000001</v>
      </c>
      <c r="I457" s="64">
        <f>13.9764 * CHOOSE(CONTROL!$C$22, $C$13, 100%, $E$13)</f>
        <v>13.9764</v>
      </c>
      <c r="J457" s="64">
        <f>8.2536 * CHOOSE(CONTROL!$C$22, $C$13, 100%, $E$13)</f>
        <v>8.2536000000000005</v>
      </c>
      <c r="K457" s="64">
        <f>8.2638 * CHOOSE(CONTROL!$C$22, $C$13, 100%, $E$13)</f>
        <v>8.2637999999999998</v>
      </c>
    </row>
    <row r="458" spans="1:11" ht="15">
      <c r="A458" s="13">
        <v>55427</v>
      </c>
      <c r="B458" s="63">
        <f>6.9701 * CHOOSE(CONTROL!$C$22, $C$13, 100%, $E$13)</f>
        <v>6.9701000000000004</v>
      </c>
      <c r="C458" s="63">
        <f>6.9701 * CHOOSE(CONTROL!$C$22, $C$13, 100%, $E$13)</f>
        <v>6.9701000000000004</v>
      </c>
      <c r="D458" s="63">
        <f>6.9701 * CHOOSE(CONTROL!$C$22, $C$13, 100%, $E$13)</f>
        <v>6.9701000000000004</v>
      </c>
      <c r="E458" s="64">
        <f>8.2966 * CHOOSE(CONTROL!$C$22, $C$13, 100%, $E$13)</f>
        <v>8.2965999999999998</v>
      </c>
      <c r="F458" s="64">
        <f>8.2966 * CHOOSE(CONTROL!$C$22, $C$13, 100%, $E$13)</f>
        <v>8.2965999999999998</v>
      </c>
      <c r="G458" s="64">
        <f>8.2967 * CHOOSE(CONTROL!$C$22, $C$13, 100%, $E$13)</f>
        <v>8.2966999999999995</v>
      </c>
      <c r="H458" s="64">
        <f>13.9952* CHOOSE(CONTROL!$C$22, $C$13, 100%, $E$13)</f>
        <v>13.995200000000001</v>
      </c>
      <c r="I458" s="64">
        <f>13.9953 * CHOOSE(CONTROL!$C$22, $C$13, 100%, $E$13)</f>
        <v>13.9953</v>
      </c>
      <c r="J458" s="64">
        <f>8.2966 * CHOOSE(CONTROL!$C$22, $C$13, 100%, $E$13)</f>
        <v>8.2965999999999998</v>
      </c>
      <c r="K458" s="64">
        <f>8.2967 * CHOOSE(CONTROL!$C$22, $C$13, 100%, $E$13)</f>
        <v>8.2966999999999995</v>
      </c>
    </row>
    <row r="459" spans="1:11" ht="15">
      <c r="A459" s="13">
        <v>55458</v>
      </c>
      <c r="B459" s="63">
        <f>6.9731 * CHOOSE(CONTROL!$C$22, $C$13, 100%, $E$13)</f>
        <v>6.9730999999999996</v>
      </c>
      <c r="C459" s="63">
        <f>6.9731 * CHOOSE(CONTROL!$C$22, $C$13, 100%, $E$13)</f>
        <v>6.9730999999999996</v>
      </c>
      <c r="D459" s="63">
        <f>6.9731 * CHOOSE(CONTROL!$C$22, $C$13, 100%, $E$13)</f>
        <v>6.9730999999999996</v>
      </c>
      <c r="E459" s="64">
        <f>8.327 * CHOOSE(CONTROL!$C$22, $C$13, 100%, $E$13)</f>
        <v>8.327</v>
      </c>
      <c r="F459" s="64">
        <f>8.327 * CHOOSE(CONTROL!$C$22, $C$13, 100%, $E$13)</f>
        <v>8.327</v>
      </c>
      <c r="G459" s="64">
        <f>8.3271 * CHOOSE(CONTROL!$C$22, $C$13, 100%, $E$13)</f>
        <v>8.3270999999999997</v>
      </c>
      <c r="H459" s="64">
        <f>14.0244* CHOOSE(CONTROL!$C$22, $C$13, 100%, $E$13)</f>
        <v>14.0244</v>
      </c>
      <c r="I459" s="64">
        <f>14.0245 * CHOOSE(CONTROL!$C$22, $C$13, 100%, $E$13)</f>
        <v>14.0245</v>
      </c>
      <c r="J459" s="64">
        <f>8.327 * CHOOSE(CONTROL!$C$22, $C$13, 100%, $E$13)</f>
        <v>8.327</v>
      </c>
      <c r="K459" s="64">
        <f>8.3271 * CHOOSE(CONTROL!$C$22, $C$13, 100%, $E$13)</f>
        <v>8.3270999999999997</v>
      </c>
    </row>
    <row r="460" spans="1:11" ht="15">
      <c r="A460" s="13">
        <v>55488</v>
      </c>
      <c r="B460" s="63">
        <f>6.9731 * CHOOSE(CONTROL!$C$22, $C$13, 100%, $E$13)</f>
        <v>6.9730999999999996</v>
      </c>
      <c r="C460" s="63">
        <f>6.9731 * CHOOSE(CONTROL!$C$22, $C$13, 100%, $E$13)</f>
        <v>6.9730999999999996</v>
      </c>
      <c r="D460" s="63">
        <f>6.9731 * CHOOSE(CONTROL!$C$22, $C$13, 100%, $E$13)</f>
        <v>6.9730999999999996</v>
      </c>
      <c r="E460" s="64">
        <f>8.2564 * CHOOSE(CONTROL!$C$22, $C$13, 100%, $E$13)</f>
        <v>8.2563999999999993</v>
      </c>
      <c r="F460" s="64">
        <f>8.2564 * CHOOSE(CONTROL!$C$22, $C$13, 100%, $E$13)</f>
        <v>8.2563999999999993</v>
      </c>
      <c r="G460" s="64">
        <f>8.2565 * CHOOSE(CONTROL!$C$22, $C$13, 100%, $E$13)</f>
        <v>8.2565000000000008</v>
      </c>
      <c r="H460" s="64">
        <f>14.0536* CHOOSE(CONTROL!$C$22, $C$13, 100%, $E$13)</f>
        <v>14.053599999999999</v>
      </c>
      <c r="I460" s="64">
        <f>14.0537 * CHOOSE(CONTROL!$C$22, $C$13, 100%, $E$13)</f>
        <v>14.053699999999999</v>
      </c>
      <c r="J460" s="64">
        <f>8.2564 * CHOOSE(CONTROL!$C$22, $C$13, 100%, $E$13)</f>
        <v>8.2563999999999993</v>
      </c>
      <c r="K460" s="64">
        <f>8.2565 * CHOOSE(CONTROL!$C$22, $C$13, 100%, $E$13)</f>
        <v>8.2565000000000008</v>
      </c>
    </row>
    <row r="461" spans="1:11" ht="15">
      <c r="A461" s="13">
        <v>55519</v>
      </c>
      <c r="B461" s="63">
        <f>7.0335 * CHOOSE(CONTROL!$C$22, $C$13, 100%, $E$13)</f>
        <v>7.0335000000000001</v>
      </c>
      <c r="C461" s="63">
        <f>7.0335 * CHOOSE(CONTROL!$C$22, $C$13, 100%, $E$13)</f>
        <v>7.0335000000000001</v>
      </c>
      <c r="D461" s="63">
        <f>7.0335 * CHOOSE(CONTROL!$C$22, $C$13, 100%, $E$13)</f>
        <v>7.0335000000000001</v>
      </c>
      <c r="E461" s="64">
        <f>8.3746 * CHOOSE(CONTROL!$C$22, $C$13, 100%, $E$13)</f>
        <v>8.3745999999999992</v>
      </c>
      <c r="F461" s="64">
        <f>8.3746 * CHOOSE(CONTROL!$C$22, $C$13, 100%, $E$13)</f>
        <v>8.3745999999999992</v>
      </c>
      <c r="G461" s="64">
        <f>8.3747 * CHOOSE(CONTROL!$C$22, $C$13, 100%, $E$13)</f>
        <v>8.3747000000000007</v>
      </c>
      <c r="H461" s="64">
        <f>14.0829* CHOOSE(CONTROL!$C$22, $C$13, 100%, $E$13)</f>
        <v>14.0829</v>
      </c>
      <c r="I461" s="64">
        <f>14.083 * CHOOSE(CONTROL!$C$22, $C$13, 100%, $E$13)</f>
        <v>14.083</v>
      </c>
      <c r="J461" s="64">
        <f>8.3746 * CHOOSE(CONTROL!$C$22, $C$13, 100%, $E$13)</f>
        <v>8.3745999999999992</v>
      </c>
      <c r="K461" s="64">
        <f>8.3747 * CHOOSE(CONTROL!$C$22, $C$13, 100%, $E$13)</f>
        <v>8.3747000000000007</v>
      </c>
    </row>
    <row r="462" spans="1:11" ht="15">
      <c r="A462" s="13">
        <v>55550</v>
      </c>
      <c r="B462" s="63">
        <f>7.0305 * CHOOSE(CONTROL!$C$22, $C$13, 100%, $E$13)</f>
        <v>7.0305</v>
      </c>
      <c r="C462" s="63">
        <f>7.0305 * CHOOSE(CONTROL!$C$22, $C$13, 100%, $E$13)</f>
        <v>7.0305</v>
      </c>
      <c r="D462" s="63">
        <f>7.0305 * CHOOSE(CONTROL!$C$22, $C$13, 100%, $E$13)</f>
        <v>7.0305</v>
      </c>
      <c r="E462" s="64">
        <f>8.2353 * CHOOSE(CONTROL!$C$22, $C$13, 100%, $E$13)</f>
        <v>8.2353000000000005</v>
      </c>
      <c r="F462" s="64">
        <f>8.2353 * CHOOSE(CONTROL!$C$22, $C$13, 100%, $E$13)</f>
        <v>8.2353000000000005</v>
      </c>
      <c r="G462" s="64">
        <f>8.2354 * CHOOSE(CONTROL!$C$22, $C$13, 100%, $E$13)</f>
        <v>8.2354000000000003</v>
      </c>
      <c r="H462" s="64">
        <f>14.1122* CHOOSE(CONTROL!$C$22, $C$13, 100%, $E$13)</f>
        <v>14.1122</v>
      </c>
      <c r="I462" s="64">
        <f>14.1123 * CHOOSE(CONTROL!$C$22, $C$13, 100%, $E$13)</f>
        <v>14.112299999999999</v>
      </c>
      <c r="J462" s="64">
        <f>8.2353 * CHOOSE(CONTROL!$C$22, $C$13, 100%, $E$13)</f>
        <v>8.2353000000000005</v>
      </c>
      <c r="K462" s="64">
        <f>8.2354 * CHOOSE(CONTROL!$C$22, $C$13, 100%, $E$13)</f>
        <v>8.2354000000000003</v>
      </c>
    </row>
    <row r="463" spans="1:11" ht="15">
      <c r="A463" s="13">
        <v>55579</v>
      </c>
      <c r="B463" s="63">
        <f>7.0274 * CHOOSE(CONTROL!$C$22, $C$13, 100%, $E$13)</f>
        <v>7.0274000000000001</v>
      </c>
      <c r="C463" s="63">
        <f>7.0274 * CHOOSE(CONTROL!$C$22, $C$13, 100%, $E$13)</f>
        <v>7.0274000000000001</v>
      </c>
      <c r="D463" s="63">
        <f>7.0274 * CHOOSE(CONTROL!$C$22, $C$13, 100%, $E$13)</f>
        <v>7.0274000000000001</v>
      </c>
      <c r="E463" s="64">
        <f>8.3413 * CHOOSE(CONTROL!$C$22, $C$13, 100%, $E$13)</f>
        <v>8.3413000000000004</v>
      </c>
      <c r="F463" s="64">
        <f>8.3413 * CHOOSE(CONTROL!$C$22, $C$13, 100%, $E$13)</f>
        <v>8.3413000000000004</v>
      </c>
      <c r="G463" s="64">
        <f>8.3414 * CHOOSE(CONTROL!$C$22, $C$13, 100%, $E$13)</f>
        <v>8.3414000000000001</v>
      </c>
      <c r="H463" s="64">
        <f>14.1416* CHOOSE(CONTROL!$C$22, $C$13, 100%, $E$13)</f>
        <v>14.1416</v>
      </c>
      <c r="I463" s="64">
        <f>14.1417 * CHOOSE(CONTROL!$C$22, $C$13, 100%, $E$13)</f>
        <v>14.1417</v>
      </c>
      <c r="J463" s="64">
        <f>8.3413 * CHOOSE(CONTROL!$C$22, $C$13, 100%, $E$13)</f>
        <v>8.3413000000000004</v>
      </c>
      <c r="K463" s="64">
        <f>8.3414 * CHOOSE(CONTROL!$C$22, $C$13, 100%, $E$13)</f>
        <v>8.3414000000000001</v>
      </c>
    </row>
    <row r="464" spans="1:11" ht="15">
      <c r="A464" s="13">
        <v>55610</v>
      </c>
      <c r="B464" s="63">
        <f>7.0277 * CHOOSE(CONTROL!$C$22, $C$13, 100%, $E$13)</f>
        <v>7.0277000000000003</v>
      </c>
      <c r="C464" s="63">
        <f>7.0277 * CHOOSE(CONTROL!$C$22, $C$13, 100%, $E$13)</f>
        <v>7.0277000000000003</v>
      </c>
      <c r="D464" s="63">
        <f>7.0277 * CHOOSE(CONTROL!$C$22, $C$13, 100%, $E$13)</f>
        <v>7.0277000000000003</v>
      </c>
      <c r="E464" s="64">
        <f>8.4532 * CHOOSE(CONTROL!$C$22, $C$13, 100%, $E$13)</f>
        <v>8.4532000000000007</v>
      </c>
      <c r="F464" s="64">
        <f>8.4532 * CHOOSE(CONTROL!$C$22, $C$13, 100%, $E$13)</f>
        <v>8.4532000000000007</v>
      </c>
      <c r="G464" s="64">
        <f>8.4533 * CHOOSE(CONTROL!$C$22, $C$13, 100%, $E$13)</f>
        <v>8.4533000000000005</v>
      </c>
      <c r="H464" s="64">
        <f>14.1711* CHOOSE(CONTROL!$C$22, $C$13, 100%, $E$13)</f>
        <v>14.171099999999999</v>
      </c>
      <c r="I464" s="64">
        <f>14.1712 * CHOOSE(CONTROL!$C$22, $C$13, 100%, $E$13)</f>
        <v>14.171200000000001</v>
      </c>
      <c r="J464" s="64">
        <f>8.4532 * CHOOSE(CONTROL!$C$22, $C$13, 100%, $E$13)</f>
        <v>8.4532000000000007</v>
      </c>
      <c r="K464" s="64">
        <f>8.4533 * CHOOSE(CONTROL!$C$22, $C$13, 100%, $E$13)</f>
        <v>8.4533000000000005</v>
      </c>
    </row>
    <row r="465" spans="1:11" ht="15">
      <c r="A465" s="13">
        <v>55640</v>
      </c>
      <c r="B465" s="63">
        <f>7.0277 * CHOOSE(CONTROL!$C$22, $C$13, 100%, $E$13)</f>
        <v>7.0277000000000003</v>
      </c>
      <c r="C465" s="63">
        <f>7.0277 * CHOOSE(CONTROL!$C$22, $C$13, 100%, $E$13)</f>
        <v>7.0277000000000003</v>
      </c>
      <c r="D465" s="63">
        <f>7.0361 * CHOOSE(CONTROL!$C$22, $C$13, 100%, $E$13)</f>
        <v>7.0361000000000002</v>
      </c>
      <c r="E465" s="64">
        <f>8.4967 * CHOOSE(CONTROL!$C$22, $C$13, 100%, $E$13)</f>
        <v>8.4967000000000006</v>
      </c>
      <c r="F465" s="64">
        <f>8.4967 * CHOOSE(CONTROL!$C$22, $C$13, 100%, $E$13)</f>
        <v>8.4967000000000006</v>
      </c>
      <c r="G465" s="64">
        <f>8.507 * CHOOSE(CONTROL!$C$22, $C$13, 100%, $E$13)</f>
        <v>8.5069999999999997</v>
      </c>
      <c r="H465" s="64">
        <f>14.2006* CHOOSE(CONTROL!$C$22, $C$13, 100%, $E$13)</f>
        <v>14.2006</v>
      </c>
      <c r="I465" s="64">
        <f>14.2108 * CHOOSE(CONTROL!$C$22, $C$13, 100%, $E$13)</f>
        <v>14.210800000000001</v>
      </c>
      <c r="J465" s="64">
        <f>8.4967 * CHOOSE(CONTROL!$C$22, $C$13, 100%, $E$13)</f>
        <v>8.4967000000000006</v>
      </c>
      <c r="K465" s="64">
        <f>8.507 * CHOOSE(CONTROL!$C$22, $C$13, 100%, $E$13)</f>
        <v>8.5069999999999997</v>
      </c>
    </row>
    <row r="466" spans="1:11" ht="15">
      <c r="A466" s="13">
        <v>55671</v>
      </c>
      <c r="B466" s="63">
        <f>7.0338 * CHOOSE(CONTROL!$C$22, $C$13, 100%, $E$13)</f>
        <v>7.0338000000000003</v>
      </c>
      <c r="C466" s="63">
        <f>7.0338 * CHOOSE(CONTROL!$C$22, $C$13, 100%, $E$13)</f>
        <v>7.0338000000000003</v>
      </c>
      <c r="D466" s="63">
        <f>7.0422 * CHOOSE(CONTROL!$C$22, $C$13, 100%, $E$13)</f>
        <v>7.0422000000000002</v>
      </c>
      <c r="E466" s="64">
        <f>8.4574 * CHOOSE(CONTROL!$C$22, $C$13, 100%, $E$13)</f>
        <v>8.4573999999999998</v>
      </c>
      <c r="F466" s="64">
        <f>8.4574 * CHOOSE(CONTROL!$C$22, $C$13, 100%, $E$13)</f>
        <v>8.4573999999999998</v>
      </c>
      <c r="G466" s="64">
        <f>8.4677 * CHOOSE(CONTROL!$C$22, $C$13, 100%, $E$13)</f>
        <v>8.4677000000000007</v>
      </c>
      <c r="H466" s="64">
        <f>14.2302* CHOOSE(CONTROL!$C$22, $C$13, 100%, $E$13)</f>
        <v>14.2302</v>
      </c>
      <c r="I466" s="64">
        <f>14.2404 * CHOOSE(CONTROL!$C$22, $C$13, 100%, $E$13)</f>
        <v>14.240399999999999</v>
      </c>
      <c r="J466" s="64">
        <f>8.4574 * CHOOSE(CONTROL!$C$22, $C$13, 100%, $E$13)</f>
        <v>8.4573999999999998</v>
      </c>
      <c r="K466" s="64">
        <f>8.4677 * CHOOSE(CONTROL!$C$22, $C$13, 100%, $E$13)</f>
        <v>8.4677000000000007</v>
      </c>
    </row>
    <row r="467" spans="1:11" ht="15">
      <c r="A467" s="13">
        <v>55701</v>
      </c>
      <c r="B467" s="63">
        <f>7.1454 * CHOOSE(CONTROL!$C$22, $C$13, 100%, $E$13)</f>
        <v>7.1454000000000004</v>
      </c>
      <c r="C467" s="63">
        <f>7.1454 * CHOOSE(CONTROL!$C$22, $C$13, 100%, $E$13)</f>
        <v>7.1454000000000004</v>
      </c>
      <c r="D467" s="63">
        <f>7.1538 * CHOOSE(CONTROL!$C$22, $C$13, 100%, $E$13)</f>
        <v>7.1538000000000004</v>
      </c>
      <c r="E467" s="64">
        <f>8.5975 * CHOOSE(CONTROL!$C$22, $C$13, 100%, $E$13)</f>
        <v>8.5975000000000001</v>
      </c>
      <c r="F467" s="64">
        <f>8.5975 * CHOOSE(CONTROL!$C$22, $C$13, 100%, $E$13)</f>
        <v>8.5975000000000001</v>
      </c>
      <c r="G467" s="64">
        <f>8.6077 * CHOOSE(CONTROL!$C$22, $C$13, 100%, $E$13)</f>
        <v>8.6076999999999995</v>
      </c>
      <c r="H467" s="64">
        <f>14.2598* CHOOSE(CONTROL!$C$22, $C$13, 100%, $E$13)</f>
        <v>14.2598</v>
      </c>
      <c r="I467" s="64">
        <f>14.2701 * CHOOSE(CONTROL!$C$22, $C$13, 100%, $E$13)</f>
        <v>14.270099999999999</v>
      </c>
      <c r="J467" s="64">
        <f>8.5975 * CHOOSE(CONTROL!$C$22, $C$13, 100%, $E$13)</f>
        <v>8.5975000000000001</v>
      </c>
      <c r="K467" s="64">
        <f>8.6077 * CHOOSE(CONTROL!$C$22, $C$13, 100%, $E$13)</f>
        <v>8.6076999999999995</v>
      </c>
    </row>
    <row r="468" spans="1:11" ht="15">
      <c r="A468" s="13">
        <v>55732</v>
      </c>
      <c r="B468" s="63">
        <f>7.1521 * CHOOSE(CONTROL!$C$22, $C$13, 100%, $E$13)</f>
        <v>7.1520999999999999</v>
      </c>
      <c r="C468" s="63">
        <f>7.1521 * CHOOSE(CONTROL!$C$22, $C$13, 100%, $E$13)</f>
        <v>7.1520999999999999</v>
      </c>
      <c r="D468" s="63">
        <f>7.1605 * CHOOSE(CONTROL!$C$22, $C$13, 100%, $E$13)</f>
        <v>7.1604999999999999</v>
      </c>
      <c r="E468" s="64">
        <f>8.4715 * CHOOSE(CONTROL!$C$22, $C$13, 100%, $E$13)</f>
        <v>8.4715000000000007</v>
      </c>
      <c r="F468" s="64">
        <f>8.4715 * CHOOSE(CONTROL!$C$22, $C$13, 100%, $E$13)</f>
        <v>8.4715000000000007</v>
      </c>
      <c r="G468" s="64">
        <f>8.4817 * CHOOSE(CONTROL!$C$22, $C$13, 100%, $E$13)</f>
        <v>8.4817</v>
      </c>
      <c r="H468" s="64">
        <f>14.2896* CHOOSE(CONTROL!$C$22, $C$13, 100%, $E$13)</f>
        <v>14.2896</v>
      </c>
      <c r="I468" s="64">
        <f>14.2998 * CHOOSE(CONTROL!$C$22, $C$13, 100%, $E$13)</f>
        <v>14.299799999999999</v>
      </c>
      <c r="J468" s="64">
        <f>8.4715 * CHOOSE(CONTROL!$C$22, $C$13, 100%, $E$13)</f>
        <v>8.4715000000000007</v>
      </c>
      <c r="K468" s="64">
        <f>8.4817 * CHOOSE(CONTROL!$C$22, $C$13, 100%, $E$13)</f>
        <v>8.4817</v>
      </c>
    </row>
    <row r="469" spans="1:11" ht="15">
      <c r="A469" s="13">
        <v>55763</v>
      </c>
      <c r="B469" s="63">
        <f>7.149 * CHOOSE(CONTROL!$C$22, $C$13, 100%, $E$13)</f>
        <v>7.149</v>
      </c>
      <c r="C469" s="63">
        <f>7.149 * CHOOSE(CONTROL!$C$22, $C$13, 100%, $E$13)</f>
        <v>7.149</v>
      </c>
      <c r="D469" s="63">
        <f>7.1575 * CHOOSE(CONTROL!$C$22, $C$13, 100%, $E$13)</f>
        <v>7.1574999999999998</v>
      </c>
      <c r="E469" s="64">
        <f>8.4549 * CHOOSE(CONTROL!$C$22, $C$13, 100%, $E$13)</f>
        <v>8.4549000000000003</v>
      </c>
      <c r="F469" s="64">
        <f>8.4549 * CHOOSE(CONTROL!$C$22, $C$13, 100%, $E$13)</f>
        <v>8.4549000000000003</v>
      </c>
      <c r="G469" s="64">
        <f>8.4651 * CHOOSE(CONTROL!$C$22, $C$13, 100%, $E$13)</f>
        <v>8.4650999999999996</v>
      </c>
      <c r="H469" s="64">
        <f>14.3193* CHOOSE(CONTROL!$C$22, $C$13, 100%, $E$13)</f>
        <v>14.3193</v>
      </c>
      <c r="I469" s="64">
        <f>14.3295 * CHOOSE(CONTROL!$C$22, $C$13, 100%, $E$13)</f>
        <v>14.329499999999999</v>
      </c>
      <c r="J469" s="64">
        <f>8.4549 * CHOOSE(CONTROL!$C$22, $C$13, 100%, $E$13)</f>
        <v>8.4549000000000003</v>
      </c>
      <c r="K469" s="64">
        <f>8.4651 * CHOOSE(CONTROL!$C$22, $C$13, 100%, $E$13)</f>
        <v>8.4650999999999996</v>
      </c>
    </row>
    <row r="470" spans="1:11" ht="15">
      <c r="A470" s="13">
        <v>55793</v>
      </c>
      <c r="B470" s="63">
        <f>7.1545 * CHOOSE(CONTROL!$C$22, $C$13, 100%, $E$13)</f>
        <v>7.1544999999999996</v>
      </c>
      <c r="C470" s="63">
        <f>7.1545 * CHOOSE(CONTROL!$C$22, $C$13, 100%, $E$13)</f>
        <v>7.1544999999999996</v>
      </c>
      <c r="D470" s="63">
        <f>7.1545 * CHOOSE(CONTROL!$C$22, $C$13, 100%, $E$13)</f>
        <v>7.1544999999999996</v>
      </c>
      <c r="E470" s="64">
        <f>8.4995 * CHOOSE(CONTROL!$C$22, $C$13, 100%, $E$13)</f>
        <v>8.4994999999999994</v>
      </c>
      <c r="F470" s="64">
        <f>8.4995 * CHOOSE(CONTROL!$C$22, $C$13, 100%, $E$13)</f>
        <v>8.4994999999999994</v>
      </c>
      <c r="G470" s="64">
        <f>8.4996 * CHOOSE(CONTROL!$C$22, $C$13, 100%, $E$13)</f>
        <v>8.4995999999999992</v>
      </c>
      <c r="H470" s="64">
        <f>14.3492* CHOOSE(CONTROL!$C$22, $C$13, 100%, $E$13)</f>
        <v>14.3492</v>
      </c>
      <c r="I470" s="64">
        <f>14.3492 * CHOOSE(CONTROL!$C$22, $C$13, 100%, $E$13)</f>
        <v>14.3492</v>
      </c>
      <c r="J470" s="64">
        <f>8.4995 * CHOOSE(CONTROL!$C$22, $C$13, 100%, $E$13)</f>
        <v>8.4994999999999994</v>
      </c>
      <c r="K470" s="64">
        <f>8.4996 * CHOOSE(CONTROL!$C$22, $C$13, 100%, $E$13)</f>
        <v>8.4995999999999992</v>
      </c>
    </row>
    <row r="471" spans="1:11" ht="15">
      <c r="A471" s="13">
        <v>55824</v>
      </c>
      <c r="B471" s="63">
        <f>7.1575 * CHOOSE(CONTROL!$C$22, $C$13, 100%, $E$13)</f>
        <v>7.1574999999999998</v>
      </c>
      <c r="C471" s="63">
        <f>7.1575 * CHOOSE(CONTROL!$C$22, $C$13, 100%, $E$13)</f>
        <v>7.1574999999999998</v>
      </c>
      <c r="D471" s="63">
        <f>7.1575 * CHOOSE(CONTROL!$C$22, $C$13, 100%, $E$13)</f>
        <v>7.1574999999999998</v>
      </c>
      <c r="E471" s="64">
        <f>8.5307 * CHOOSE(CONTROL!$C$22, $C$13, 100%, $E$13)</f>
        <v>8.5306999999999995</v>
      </c>
      <c r="F471" s="64">
        <f>8.5307 * CHOOSE(CONTROL!$C$22, $C$13, 100%, $E$13)</f>
        <v>8.5306999999999995</v>
      </c>
      <c r="G471" s="64">
        <f>8.5308 * CHOOSE(CONTROL!$C$22, $C$13, 100%, $E$13)</f>
        <v>8.5307999999999993</v>
      </c>
      <c r="H471" s="64">
        <f>14.3791* CHOOSE(CONTROL!$C$22, $C$13, 100%, $E$13)</f>
        <v>14.379099999999999</v>
      </c>
      <c r="I471" s="64">
        <f>14.3791 * CHOOSE(CONTROL!$C$22, $C$13, 100%, $E$13)</f>
        <v>14.379099999999999</v>
      </c>
      <c r="J471" s="64">
        <f>8.5307 * CHOOSE(CONTROL!$C$22, $C$13, 100%, $E$13)</f>
        <v>8.5306999999999995</v>
      </c>
      <c r="K471" s="64">
        <f>8.5308 * CHOOSE(CONTROL!$C$22, $C$13, 100%, $E$13)</f>
        <v>8.5307999999999993</v>
      </c>
    </row>
    <row r="472" spans="1:11" ht="15">
      <c r="A472" s="13">
        <v>55854</v>
      </c>
      <c r="B472" s="63">
        <f>7.1575 * CHOOSE(CONTROL!$C$22, $C$13, 100%, $E$13)</f>
        <v>7.1574999999999998</v>
      </c>
      <c r="C472" s="63">
        <f>7.1575 * CHOOSE(CONTROL!$C$22, $C$13, 100%, $E$13)</f>
        <v>7.1574999999999998</v>
      </c>
      <c r="D472" s="63">
        <f>7.1575 * CHOOSE(CONTROL!$C$22, $C$13, 100%, $E$13)</f>
        <v>7.1574999999999998</v>
      </c>
      <c r="E472" s="64">
        <f>8.4581 * CHOOSE(CONTROL!$C$22, $C$13, 100%, $E$13)</f>
        <v>8.4581</v>
      </c>
      <c r="F472" s="64">
        <f>8.4581 * CHOOSE(CONTROL!$C$22, $C$13, 100%, $E$13)</f>
        <v>8.4581</v>
      </c>
      <c r="G472" s="64">
        <f>8.4582 * CHOOSE(CONTROL!$C$22, $C$13, 100%, $E$13)</f>
        <v>8.4581999999999997</v>
      </c>
      <c r="H472" s="64">
        <f>14.409* CHOOSE(CONTROL!$C$22, $C$13, 100%, $E$13)</f>
        <v>14.409000000000001</v>
      </c>
      <c r="I472" s="64">
        <f>14.4091 * CHOOSE(CONTROL!$C$22, $C$13, 100%, $E$13)</f>
        <v>14.4091</v>
      </c>
      <c r="J472" s="64">
        <f>8.4581 * CHOOSE(CONTROL!$C$22, $C$13, 100%, $E$13)</f>
        <v>8.4581</v>
      </c>
      <c r="K472" s="64">
        <f>8.4582 * CHOOSE(CONTROL!$C$22, $C$13, 100%, $E$13)</f>
        <v>8.4581999999999997</v>
      </c>
    </row>
    <row r="473" spans="1:11" ht="15">
      <c r="A473" s="13">
        <v>55885</v>
      </c>
      <c r="B473" s="63">
        <f>7.2193 * CHOOSE(CONTROL!$C$22, $C$13, 100%, $E$13)</f>
        <v>7.2192999999999996</v>
      </c>
      <c r="C473" s="63">
        <f>7.2193 * CHOOSE(CONTROL!$C$22, $C$13, 100%, $E$13)</f>
        <v>7.2192999999999996</v>
      </c>
      <c r="D473" s="63">
        <f>7.2194 * CHOOSE(CONTROL!$C$22, $C$13, 100%, $E$13)</f>
        <v>7.2194000000000003</v>
      </c>
      <c r="E473" s="64">
        <f>8.5793 * CHOOSE(CONTROL!$C$22, $C$13, 100%, $E$13)</f>
        <v>8.5792999999999999</v>
      </c>
      <c r="F473" s="64">
        <f>8.5793 * CHOOSE(CONTROL!$C$22, $C$13, 100%, $E$13)</f>
        <v>8.5792999999999999</v>
      </c>
      <c r="G473" s="64">
        <f>8.5794 * CHOOSE(CONTROL!$C$22, $C$13, 100%, $E$13)</f>
        <v>8.5793999999999997</v>
      </c>
      <c r="H473" s="64">
        <f>14.439* CHOOSE(CONTROL!$C$22, $C$13, 100%, $E$13)</f>
        <v>14.439</v>
      </c>
      <c r="I473" s="64">
        <f>14.4391 * CHOOSE(CONTROL!$C$22, $C$13, 100%, $E$13)</f>
        <v>14.4391</v>
      </c>
      <c r="J473" s="64">
        <f>8.5793 * CHOOSE(CONTROL!$C$22, $C$13, 100%, $E$13)</f>
        <v>8.5792999999999999</v>
      </c>
      <c r="K473" s="64">
        <f>8.5794 * CHOOSE(CONTROL!$C$22, $C$13, 100%, $E$13)</f>
        <v>8.5793999999999997</v>
      </c>
    </row>
    <row r="474" spans="1:11" ht="15">
      <c r="A474" s="13">
        <v>55916</v>
      </c>
      <c r="B474" s="63">
        <f>7.2163 * CHOOSE(CONTROL!$C$22, $C$13, 100%, $E$13)</f>
        <v>7.2163000000000004</v>
      </c>
      <c r="C474" s="63">
        <f>7.2163 * CHOOSE(CONTROL!$C$22, $C$13, 100%, $E$13)</f>
        <v>7.2163000000000004</v>
      </c>
      <c r="D474" s="63">
        <f>7.2163 * CHOOSE(CONTROL!$C$22, $C$13, 100%, $E$13)</f>
        <v>7.2163000000000004</v>
      </c>
      <c r="E474" s="64">
        <f>8.4362 * CHOOSE(CONTROL!$C$22, $C$13, 100%, $E$13)</f>
        <v>8.4361999999999995</v>
      </c>
      <c r="F474" s="64">
        <f>8.4362 * CHOOSE(CONTROL!$C$22, $C$13, 100%, $E$13)</f>
        <v>8.4361999999999995</v>
      </c>
      <c r="G474" s="64">
        <f>8.4363 * CHOOSE(CONTROL!$C$22, $C$13, 100%, $E$13)</f>
        <v>8.4362999999999992</v>
      </c>
      <c r="H474" s="64">
        <f>14.4691* CHOOSE(CONTROL!$C$22, $C$13, 100%, $E$13)</f>
        <v>14.469099999999999</v>
      </c>
      <c r="I474" s="64">
        <f>14.4692 * CHOOSE(CONTROL!$C$22, $C$13, 100%, $E$13)</f>
        <v>14.469200000000001</v>
      </c>
      <c r="J474" s="64">
        <f>8.4362 * CHOOSE(CONTROL!$C$22, $C$13, 100%, $E$13)</f>
        <v>8.4361999999999995</v>
      </c>
      <c r="K474" s="64">
        <f>8.4363 * CHOOSE(CONTROL!$C$22, $C$13, 100%, $E$13)</f>
        <v>8.4362999999999992</v>
      </c>
    </row>
    <row r="475" spans="1:11" ht="15">
      <c r="A475" s="13">
        <v>55944</v>
      </c>
      <c r="B475" s="63">
        <f>7.2133 * CHOOSE(CONTROL!$C$22, $C$13, 100%, $E$13)</f>
        <v>7.2133000000000003</v>
      </c>
      <c r="C475" s="63">
        <f>7.2133 * CHOOSE(CONTROL!$C$22, $C$13, 100%, $E$13)</f>
        <v>7.2133000000000003</v>
      </c>
      <c r="D475" s="63">
        <f>7.2133 * CHOOSE(CONTROL!$C$22, $C$13, 100%, $E$13)</f>
        <v>7.2133000000000003</v>
      </c>
      <c r="E475" s="64">
        <f>8.5452 * CHOOSE(CONTROL!$C$22, $C$13, 100%, $E$13)</f>
        <v>8.5451999999999995</v>
      </c>
      <c r="F475" s="64">
        <f>8.5452 * CHOOSE(CONTROL!$C$22, $C$13, 100%, $E$13)</f>
        <v>8.5451999999999995</v>
      </c>
      <c r="G475" s="64">
        <f>8.5453 * CHOOSE(CONTROL!$C$22, $C$13, 100%, $E$13)</f>
        <v>8.5452999999999992</v>
      </c>
      <c r="H475" s="64">
        <f>14.4993* CHOOSE(CONTROL!$C$22, $C$13, 100%, $E$13)</f>
        <v>14.4993</v>
      </c>
      <c r="I475" s="64">
        <f>14.4993 * CHOOSE(CONTROL!$C$22, $C$13, 100%, $E$13)</f>
        <v>14.4993</v>
      </c>
      <c r="J475" s="64">
        <f>8.5452 * CHOOSE(CONTROL!$C$22, $C$13, 100%, $E$13)</f>
        <v>8.5451999999999995</v>
      </c>
      <c r="K475" s="64">
        <f>8.5453 * CHOOSE(CONTROL!$C$22, $C$13, 100%, $E$13)</f>
        <v>8.5452999999999992</v>
      </c>
    </row>
    <row r="476" spans="1:11" ht="15">
      <c r="A476" s="13">
        <v>55975</v>
      </c>
      <c r="B476" s="63">
        <f>7.2137 * CHOOSE(CONTROL!$C$22, $C$13, 100%, $E$13)</f>
        <v>7.2137000000000002</v>
      </c>
      <c r="C476" s="63">
        <f>7.2137 * CHOOSE(CONTROL!$C$22, $C$13, 100%, $E$13)</f>
        <v>7.2137000000000002</v>
      </c>
      <c r="D476" s="63">
        <f>7.2137 * CHOOSE(CONTROL!$C$22, $C$13, 100%, $E$13)</f>
        <v>7.2137000000000002</v>
      </c>
      <c r="E476" s="64">
        <f>8.6604 * CHOOSE(CONTROL!$C$22, $C$13, 100%, $E$13)</f>
        <v>8.6603999999999992</v>
      </c>
      <c r="F476" s="64">
        <f>8.6604 * CHOOSE(CONTROL!$C$22, $C$13, 100%, $E$13)</f>
        <v>8.6603999999999992</v>
      </c>
      <c r="G476" s="64">
        <f>8.6605 * CHOOSE(CONTROL!$C$22, $C$13, 100%, $E$13)</f>
        <v>8.6605000000000008</v>
      </c>
      <c r="H476" s="64">
        <f>14.5295* CHOOSE(CONTROL!$C$22, $C$13, 100%, $E$13)</f>
        <v>14.529500000000001</v>
      </c>
      <c r="I476" s="64">
        <f>14.5295 * CHOOSE(CONTROL!$C$22, $C$13, 100%, $E$13)</f>
        <v>14.529500000000001</v>
      </c>
      <c r="J476" s="64">
        <f>8.6604 * CHOOSE(CONTROL!$C$22, $C$13, 100%, $E$13)</f>
        <v>8.6603999999999992</v>
      </c>
      <c r="K476" s="64">
        <f>8.6605 * CHOOSE(CONTROL!$C$22, $C$13, 100%, $E$13)</f>
        <v>8.6605000000000008</v>
      </c>
    </row>
    <row r="477" spans="1:11" ht="15">
      <c r="A477" s="13">
        <v>56005</v>
      </c>
      <c r="B477" s="63">
        <f>7.2137 * CHOOSE(CONTROL!$C$22, $C$13, 100%, $E$13)</f>
        <v>7.2137000000000002</v>
      </c>
      <c r="C477" s="63">
        <f>7.2137 * CHOOSE(CONTROL!$C$22, $C$13, 100%, $E$13)</f>
        <v>7.2137000000000002</v>
      </c>
      <c r="D477" s="63">
        <f>7.2221 * CHOOSE(CONTROL!$C$22, $C$13, 100%, $E$13)</f>
        <v>7.2221000000000002</v>
      </c>
      <c r="E477" s="64">
        <f>8.7051 * CHOOSE(CONTROL!$C$22, $C$13, 100%, $E$13)</f>
        <v>8.7050999999999998</v>
      </c>
      <c r="F477" s="64">
        <f>8.7051 * CHOOSE(CONTROL!$C$22, $C$13, 100%, $E$13)</f>
        <v>8.7050999999999998</v>
      </c>
      <c r="G477" s="64">
        <f>8.7154 * CHOOSE(CONTROL!$C$22, $C$13, 100%, $E$13)</f>
        <v>8.7154000000000007</v>
      </c>
      <c r="H477" s="64">
        <f>14.5597* CHOOSE(CONTROL!$C$22, $C$13, 100%, $E$13)</f>
        <v>14.559699999999999</v>
      </c>
      <c r="I477" s="64">
        <f>14.5699 * CHOOSE(CONTROL!$C$22, $C$13, 100%, $E$13)</f>
        <v>14.569900000000001</v>
      </c>
      <c r="J477" s="64">
        <f>8.7051 * CHOOSE(CONTROL!$C$22, $C$13, 100%, $E$13)</f>
        <v>8.7050999999999998</v>
      </c>
      <c r="K477" s="64">
        <f>8.7154 * CHOOSE(CONTROL!$C$22, $C$13, 100%, $E$13)</f>
        <v>8.7154000000000007</v>
      </c>
    </row>
    <row r="478" spans="1:11" ht="15">
      <c r="A478" s="13">
        <v>56036</v>
      </c>
      <c r="B478" s="63">
        <f>7.2198 * CHOOSE(CONTROL!$C$22, $C$13, 100%, $E$13)</f>
        <v>7.2198000000000002</v>
      </c>
      <c r="C478" s="63">
        <f>7.2198 * CHOOSE(CONTROL!$C$22, $C$13, 100%, $E$13)</f>
        <v>7.2198000000000002</v>
      </c>
      <c r="D478" s="63">
        <f>7.2282 * CHOOSE(CONTROL!$C$22, $C$13, 100%, $E$13)</f>
        <v>7.2282000000000002</v>
      </c>
      <c r="E478" s="64">
        <f>8.6646 * CHOOSE(CONTROL!$C$22, $C$13, 100%, $E$13)</f>
        <v>8.6646000000000001</v>
      </c>
      <c r="F478" s="64">
        <f>8.6646 * CHOOSE(CONTROL!$C$22, $C$13, 100%, $E$13)</f>
        <v>8.6646000000000001</v>
      </c>
      <c r="G478" s="64">
        <f>8.6748 * CHOOSE(CONTROL!$C$22, $C$13, 100%, $E$13)</f>
        <v>8.6747999999999994</v>
      </c>
      <c r="H478" s="64">
        <f>14.5901* CHOOSE(CONTROL!$C$22, $C$13, 100%, $E$13)</f>
        <v>14.5901</v>
      </c>
      <c r="I478" s="64">
        <f>14.6003 * CHOOSE(CONTROL!$C$22, $C$13, 100%, $E$13)</f>
        <v>14.600300000000001</v>
      </c>
      <c r="J478" s="64">
        <f>8.6646 * CHOOSE(CONTROL!$C$22, $C$13, 100%, $E$13)</f>
        <v>8.6646000000000001</v>
      </c>
      <c r="K478" s="64">
        <f>8.6748 * CHOOSE(CONTROL!$C$22, $C$13, 100%, $E$13)</f>
        <v>8.6747999999999994</v>
      </c>
    </row>
    <row r="479" spans="1:11" ht="15">
      <c r="A479" s="13">
        <v>56066</v>
      </c>
      <c r="B479" s="63">
        <f>7.334 * CHOOSE(CONTROL!$C$22, $C$13, 100%, $E$13)</f>
        <v>7.3339999999999996</v>
      </c>
      <c r="C479" s="63">
        <f>7.334 * CHOOSE(CONTROL!$C$22, $C$13, 100%, $E$13)</f>
        <v>7.3339999999999996</v>
      </c>
      <c r="D479" s="63">
        <f>7.3425 * CHOOSE(CONTROL!$C$22, $C$13, 100%, $E$13)</f>
        <v>7.3425000000000002</v>
      </c>
      <c r="E479" s="64">
        <f>8.8078 * CHOOSE(CONTROL!$C$22, $C$13, 100%, $E$13)</f>
        <v>8.8078000000000003</v>
      </c>
      <c r="F479" s="64">
        <f>8.8078 * CHOOSE(CONTROL!$C$22, $C$13, 100%, $E$13)</f>
        <v>8.8078000000000003</v>
      </c>
      <c r="G479" s="64">
        <f>8.818 * CHOOSE(CONTROL!$C$22, $C$13, 100%, $E$13)</f>
        <v>8.8179999999999996</v>
      </c>
      <c r="H479" s="64">
        <f>14.6205* CHOOSE(CONTROL!$C$22, $C$13, 100%, $E$13)</f>
        <v>14.6205</v>
      </c>
      <c r="I479" s="64">
        <f>14.6307 * CHOOSE(CONTROL!$C$22, $C$13, 100%, $E$13)</f>
        <v>14.630699999999999</v>
      </c>
      <c r="J479" s="64">
        <f>8.8078 * CHOOSE(CONTROL!$C$22, $C$13, 100%, $E$13)</f>
        <v>8.8078000000000003</v>
      </c>
      <c r="K479" s="64">
        <f>8.818 * CHOOSE(CONTROL!$C$22, $C$13, 100%, $E$13)</f>
        <v>8.8179999999999996</v>
      </c>
    </row>
    <row r="480" spans="1:11" ht="15">
      <c r="A480" s="13">
        <v>56097</v>
      </c>
      <c r="B480" s="63">
        <f>7.3407 * CHOOSE(CONTROL!$C$22, $C$13, 100%, $E$13)</f>
        <v>7.3407</v>
      </c>
      <c r="C480" s="63">
        <f>7.3407 * CHOOSE(CONTROL!$C$22, $C$13, 100%, $E$13)</f>
        <v>7.3407</v>
      </c>
      <c r="D480" s="63">
        <f>7.3492 * CHOOSE(CONTROL!$C$22, $C$13, 100%, $E$13)</f>
        <v>7.3491999999999997</v>
      </c>
      <c r="E480" s="64">
        <f>8.6782 * CHOOSE(CONTROL!$C$22, $C$13, 100%, $E$13)</f>
        <v>8.6782000000000004</v>
      </c>
      <c r="F480" s="64">
        <f>8.6782 * CHOOSE(CONTROL!$C$22, $C$13, 100%, $E$13)</f>
        <v>8.6782000000000004</v>
      </c>
      <c r="G480" s="64">
        <f>8.6884 * CHOOSE(CONTROL!$C$22, $C$13, 100%, $E$13)</f>
        <v>8.6883999999999997</v>
      </c>
      <c r="H480" s="64">
        <f>14.6509* CHOOSE(CONTROL!$C$22, $C$13, 100%, $E$13)</f>
        <v>14.6509</v>
      </c>
      <c r="I480" s="64">
        <f>14.6611 * CHOOSE(CONTROL!$C$22, $C$13, 100%, $E$13)</f>
        <v>14.661099999999999</v>
      </c>
      <c r="J480" s="64">
        <f>8.6782 * CHOOSE(CONTROL!$C$22, $C$13, 100%, $E$13)</f>
        <v>8.6782000000000004</v>
      </c>
      <c r="K480" s="64">
        <f>8.6884 * CHOOSE(CONTROL!$C$22, $C$13, 100%, $E$13)</f>
        <v>8.6883999999999997</v>
      </c>
    </row>
    <row r="481" spans="1:11" ht="15">
      <c r="A481" s="13">
        <v>56128</v>
      </c>
      <c r="B481" s="63">
        <f>7.3377 * CHOOSE(CONTROL!$C$22, $C$13, 100%, $E$13)</f>
        <v>7.3376999999999999</v>
      </c>
      <c r="C481" s="63">
        <f>7.3377 * CHOOSE(CONTROL!$C$22, $C$13, 100%, $E$13)</f>
        <v>7.3376999999999999</v>
      </c>
      <c r="D481" s="63">
        <f>7.3461 * CHOOSE(CONTROL!$C$22, $C$13, 100%, $E$13)</f>
        <v>7.3460999999999999</v>
      </c>
      <c r="E481" s="64">
        <f>8.6611 * CHOOSE(CONTROL!$C$22, $C$13, 100%, $E$13)</f>
        <v>8.6610999999999994</v>
      </c>
      <c r="F481" s="64">
        <f>8.6611 * CHOOSE(CONTROL!$C$22, $C$13, 100%, $E$13)</f>
        <v>8.6610999999999994</v>
      </c>
      <c r="G481" s="64">
        <f>8.6714 * CHOOSE(CONTROL!$C$22, $C$13, 100%, $E$13)</f>
        <v>8.6714000000000002</v>
      </c>
      <c r="H481" s="64">
        <f>14.6814* CHOOSE(CONTROL!$C$22, $C$13, 100%, $E$13)</f>
        <v>14.6814</v>
      </c>
      <c r="I481" s="64">
        <f>14.6917 * CHOOSE(CONTROL!$C$22, $C$13, 100%, $E$13)</f>
        <v>14.691700000000001</v>
      </c>
      <c r="J481" s="64">
        <f>8.6611 * CHOOSE(CONTROL!$C$22, $C$13, 100%, $E$13)</f>
        <v>8.6610999999999994</v>
      </c>
      <c r="K481" s="64">
        <f>8.6714 * CHOOSE(CONTROL!$C$22, $C$13, 100%, $E$13)</f>
        <v>8.6714000000000002</v>
      </c>
    </row>
    <row r="482" spans="1:11" ht="15">
      <c r="A482" s="13">
        <v>56158</v>
      </c>
      <c r="B482" s="63">
        <f>7.3437 * CHOOSE(CONTROL!$C$22, $C$13, 100%, $E$13)</f>
        <v>7.3437000000000001</v>
      </c>
      <c r="C482" s="63">
        <f>7.3437 * CHOOSE(CONTROL!$C$22, $C$13, 100%, $E$13)</f>
        <v>7.3437000000000001</v>
      </c>
      <c r="D482" s="63">
        <f>7.3437 * CHOOSE(CONTROL!$C$22, $C$13, 100%, $E$13)</f>
        <v>7.3437000000000001</v>
      </c>
      <c r="E482" s="64">
        <f>8.7074 * CHOOSE(CONTROL!$C$22, $C$13, 100%, $E$13)</f>
        <v>8.7073999999999998</v>
      </c>
      <c r="F482" s="64">
        <f>8.7074 * CHOOSE(CONTROL!$C$22, $C$13, 100%, $E$13)</f>
        <v>8.7073999999999998</v>
      </c>
      <c r="G482" s="64">
        <f>8.7075 * CHOOSE(CONTROL!$C$22, $C$13, 100%, $E$13)</f>
        <v>8.7074999999999996</v>
      </c>
      <c r="H482" s="64">
        <f>14.712* CHOOSE(CONTROL!$C$22, $C$13, 100%, $E$13)</f>
        <v>14.712</v>
      </c>
      <c r="I482" s="64">
        <f>14.7121 * CHOOSE(CONTROL!$C$22, $C$13, 100%, $E$13)</f>
        <v>14.7121</v>
      </c>
      <c r="J482" s="64">
        <f>8.7074 * CHOOSE(CONTROL!$C$22, $C$13, 100%, $E$13)</f>
        <v>8.7073999999999998</v>
      </c>
      <c r="K482" s="64">
        <f>8.7075 * CHOOSE(CONTROL!$C$22, $C$13, 100%, $E$13)</f>
        <v>8.7074999999999996</v>
      </c>
    </row>
    <row r="483" spans="1:11" ht="15">
      <c r="A483" s="13">
        <v>56189</v>
      </c>
      <c r="B483" s="63">
        <f>7.3468 * CHOOSE(CONTROL!$C$22, $C$13, 100%, $E$13)</f>
        <v>7.3468</v>
      </c>
      <c r="C483" s="63">
        <f>7.3468 * CHOOSE(CONTROL!$C$22, $C$13, 100%, $E$13)</f>
        <v>7.3468</v>
      </c>
      <c r="D483" s="63">
        <f>7.3468 * CHOOSE(CONTROL!$C$22, $C$13, 100%, $E$13)</f>
        <v>7.3468</v>
      </c>
      <c r="E483" s="64">
        <f>8.7394 * CHOOSE(CONTROL!$C$22, $C$13, 100%, $E$13)</f>
        <v>8.7393999999999998</v>
      </c>
      <c r="F483" s="64">
        <f>8.7394 * CHOOSE(CONTROL!$C$22, $C$13, 100%, $E$13)</f>
        <v>8.7393999999999998</v>
      </c>
      <c r="G483" s="64">
        <f>8.7395 * CHOOSE(CONTROL!$C$22, $C$13, 100%, $E$13)</f>
        <v>8.7394999999999996</v>
      </c>
      <c r="H483" s="64">
        <f>14.7427* CHOOSE(CONTROL!$C$22, $C$13, 100%, $E$13)</f>
        <v>14.742699999999999</v>
      </c>
      <c r="I483" s="64">
        <f>14.7428 * CHOOSE(CONTROL!$C$22, $C$13, 100%, $E$13)</f>
        <v>14.742800000000001</v>
      </c>
      <c r="J483" s="64">
        <f>8.7394 * CHOOSE(CONTROL!$C$22, $C$13, 100%, $E$13)</f>
        <v>8.7393999999999998</v>
      </c>
      <c r="K483" s="64">
        <f>8.7395 * CHOOSE(CONTROL!$C$22, $C$13, 100%, $E$13)</f>
        <v>8.7394999999999996</v>
      </c>
    </row>
    <row r="484" spans="1:11" ht="15">
      <c r="A484" s="13">
        <v>56219</v>
      </c>
      <c r="B484" s="63">
        <f>7.3468 * CHOOSE(CONTROL!$C$22, $C$13, 100%, $E$13)</f>
        <v>7.3468</v>
      </c>
      <c r="C484" s="63">
        <f>7.3468 * CHOOSE(CONTROL!$C$22, $C$13, 100%, $E$13)</f>
        <v>7.3468</v>
      </c>
      <c r="D484" s="63">
        <f>7.3468 * CHOOSE(CONTROL!$C$22, $C$13, 100%, $E$13)</f>
        <v>7.3468</v>
      </c>
      <c r="E484" s="64">
        <f>8.6648 * CHOOSE(CONTROL!$C$22, $C$13, 100%, $E$13)</f>
        <v>8.6647999999999996</v>
      </c>
      <c r="F484" s="64">
        <f>8.6648 * CHOOSE(CONTROL!$C$22, $C$13, 100%, $E$13)</f>
        <v>8.6647999999999996</v>
      </c>
      <c r="G484" s="64">
        <f>8.6648 * CHOOSE(CONTROL!$C$22, $C$13, 100%, $E$13)</f>
        <v>8.6647999999999996</v>
      </c>
      <c r="H484" s="64">
        <f>14.7734* CHOOSE(CONTROL!$C$22, $C$13, 100%, $E$13)</f>
        <v>14.773400000000001</v>
      </c>
      <c r="I484" s="64">
        <f>14.7735 * CHOOSE(CONTROL!$C$22, $C$13, 100%, $E$13)</f>
        <v>14.7735</v>
      </c>
      <c r="J484" s="64">
        <f>8.6648 * CHOOSE(CONTROL!$C$22, $C$13, 100%, $E$13)</f>
        <v>8.6647999999999996</v>
      </c>
      <c r="K484" s="64">
        <f>8.6648 * CHOOSE(CONTROL!$C$22, $C$13, 100%, $E$13)</f>
        <v>8.6647999999999996</v>
      </c>
    </row>
    <row r="485" spans="1:11" ht="15">
      <c r="A485" s="13">
        <v>56250</v>
      </c>
      <c r="B485" s="63">
        <f>7.4101 * CHOOSE(CONTROL!$C$22, $C$13, 100%, $E$13)</f>
        <v>7.4100999999999999</v>
      </c>
      <c r="C485" s="63">
        <f>7.4101 * CHOOSE(CONTROL!$C$22, $C$13, 100%, $E$13)</f>
        <v>7.4100999999999999</v>
      </c>
      <c r="D485" s="63">
        <f>7.4102 * CHOOSE(CONTROL!$C$22, $C$13, 100%, $E$13)</f>
        <v>7.4101999999999997</v>
      </c>
      <c r="E485" s="64">
        <f>8.7891 * CHOOSE(CONTROL!$C$22, $C$13, 100%, $E$13)</f>
        <v>8.7890999999999995</v>
      </c>
      <c r="F485" s="64">
        <f>8.7891 * CHOOSE(CONTROL!$C$22, $C$13, 100%, $E$13)</f>
        <v>8.7890999999999995</v>
      </c>
      <c r="G485" s="64">
        <f>8.7892 * CHOOSE(CONTROL!$C$22, $C$13, 100%, $E$13)</f>
        <v>8.7891999999999992</v>
      </c>
      <c r="H485" s="64">
        <f>14.8042* CHOOSE(CONTROL!$C$22, $C$13, 100%, $E$13)</f>
        <v>14.8042</v>
      </c>
      <c r="I485" s="64">
        <f>14.8042 * CHOOSE(CONTROL!$C$22, $C$13, 100%, $E$13)</f>
        <v>14.8042</v>
      </c>
      <c r="J485" s="64">
        <f>8.7891 * CHOOSE(CONTROL!$C$22, $C$13, 100%, $E$13)</f>
        <v>8.7890999999999995</v>
      </c>
      <c r="K485" s="64">
        <f>8.7892 * CHOOSE(CONTROL!$C$22, $C$13, 100%, $E$13)</f>
        <v>8.7891999999999992</v>
      </c>
    </row>
    <row r="486" spans="1:11" ht="15">
      <c r="A486" s="13">
        <v>56281</v>
      </c>
      <c r="B486" s="63">
        <f>7.4071 * CHOOSE(CONTROL!$C$22, $C$13, 100%, $E$13)</f>
        <v>7.4070999999999998</v>
      </c>
      <c r="C486" s="63">
        <f>7.4071 * CHOOSE(CONTROL!$C$22, $C$13, 100%, $E$13)</f>
        <v>7.4070999999999998</v>
      </c>
      <c r="D486" s="63">
        <f>7.4071 * CHOOSE(CONTROL!$C$22, $C$13, 100%, $E$13)</f>
        <v>7.4070999999999998</v>
      </c>
      <c r="E486" s="64">
        <f>8.642 * CHOOSE(CONTROL!$C$22, $C$13, 100%, $E$13)</f>
        <v>8.6419999999999995</v>
      </c>
      <c r="F486" s="64">
        <f>8.642 * CHOOSE(CONTROL!$C$22, $C$13, 100%, $E$13)</f>
        <v>8.6419999999999995</v>
      </c>
      <c r="G486" s="64">
        <f>8.6421 * CHOOSE(CONTROL!$C$22, $C$13, 100%, $E$13)</f>
        <v>8.6420999999999992</v>
      </c>
      <c r="H486" s="64">
        <f>14.835* CHOOSE(CONTROL!$C$22, $C$13, 100%, $E$13)</f>
        <v>14.835000000000001</v>
      </c>
      <c r="I486" s="64">
        <f>14.8351 * CHOOSE(CONTROL!$C$22, $C$13, 100%, $E$13)</f>
        <v>14.835100000000001</v>
      </c>
      <c r="J486" s="64">
        <f>8.642 * CHOOSE(CONTROL!$C$22, $C$13, 100%, $E$13)</f>
        <v>8.6419999999999995</v>
      </c>
      <c r="K486" s="64">
        <f>8.6421 * CHOOSE(CONTROL!$C$22, $C$13, 100%, $E$13)</f>
        <v>8.6420999999999992</v>
      </c>
    </row>
    <row r="487" spans="1:11" ht="15">
      <c r="A487" s="13">
        <v>56309</v>
      </c>
      <c r="B487" s="63">
        <f>7.4041 * CHOOSE(CONTROL!$C$22, $C$13, 100%, $E$13)</f>
        <v>7.4040999999999997</v>
      </c>
      <c r="C487" s="63">
        <f>7.4041 * CHOOSE(CONTROL!$C$22, $C$13, 100%, $E$13)</f>
        <v>7.4040999999999997</v>
      </c>
      <c r="D487" s="63">
        <f>7.4041 * CHOOSE(CONTROL!$C$22, $C$13, 100%, $E$13)</f>
        <v>7.4040999999999997</v>
      </c>
      <c r="E487" s="64">
        <f>8.7542 * CHOOSE(CONTROL!$C$22, $C$13, 100%, $E$13)</f>
        <v>8.7542000000000009</v>
      </c>
      <c r="F487" s="64">
        <f>8.7542 * CHOOSE(CONTROL!$C$22, $C$13, 100%, $E$13)</f>
        <v>8.7542000000000009</v>
      </c>
      <c r="G487" s="64">
        <f>8.7542 * CHOOSE(CONTROL!$C$22, $C$13, 100%, $E$13)</f>
        <v>8.7542000000000009</v>
      </c>
      <c r="H487" s="64">
        <f>14.8659* CHOOSE(CONTROL!$C$22, $C$13, 100%, $E$13)</f>
        <v>14.8659</v>
      </c>
      <c r="I487" s="64">
        <f>14.866 * CHOOSE(CONTROL!$C$22, $C$13, 100%, $E$13)</f>
        <v>14.866</v>
      </c>
      <c r="J487" s="64">
        <f>8.7542 * CHOOSE(CONTROL!$C$22, $C$13, 100%, $E$13)</f>
        <v>8.7542000000000009</v>
      </c>
      <c r="K487" s="64">
        <f>8.7542 * CHOOSE(CONTROL!$C$22, $C$13, 100%, $E$13)</f>
        <v>8.7542000000000009</v>
      </c>
    </row>
    <row r="488" spans="1:11" ht="15">
      <c r="A488" s="13">
        <v>56340</v>
      </c>
      <c r="B488" s="63">
        <f>7.4046 * CHOOSE(CONTROL!$C$22, $C$13, 100%, $E$13)</f>
        <v>7.4046000000000003</v>
      </c>
      <c r="C488" s="63">
        <f>7.4046 * CHOOSE(CONTROL!$C$22, $C$13, 100%, $E$13)</f>
        <v>7.4046000000000003</v>
      </c>
      <c r="D488" s="63">
        <f>7.4046 * CHOOSE(CONTROL!$C$22, $C$13, 100%, $E$13)</f>
        <v>7.4046000000000003</v>
      </c>
      <c r="E488" s="64">
        <f>8.8727 * CHOOSE(CONTROL!$C$22, $C$13, 100%, $E$13)</f>
        <v>8.8727</v>
      </c>
      <c r="F488" s="64">
        <f>8.8727 * CHOOSE(CONTROL!$C$22, $C$13, 100%, $E$13)</f>
        <v>8.8727</v>
      </c>
      <c r="G488" s="64">
        <f>8.8727 * CHOOSE(CONTROL!$C$22, $C$13, 100%, $E$13)</f>
        <v>8.8727</v>
      </c>
      <c r="H488" s="64">
        <f>14.8969* CHOOSE(CONTROL!$C$22, $C$13, 100%, $E$13)</f>
        <v>14.8969</v>
      </c>
      <c r="I488" s="64">
        <f>14.897 * CHOOSE(CONTROL!$C$22, $C$13, 100%, $E$13)</f>
        <v>14.897</v>
      </c>
      <c r="J488" s="64">
        <f>8.8727 * CHOOSE(CONTROL!$C$22, $C$13, 100%, $E$13)</f>
        <v>8.8727</v>
      </c>
      <c r="K488" s="64">
        <f>8.8727 * CHOOSE(CONTROL!$C$22, $C$13, 100%, $E$13)</f>
        <v>8.8727</v>
      </c>
    </row>
    <row r="489" spans="1:11" ht="15">
      <c r="A489" s="13">
        <v>56370</v>
      </c>
      <c r="B489" s="63">
        <f>7.4046 * CHOOSE(CONTROL!$C$22, $C$13, 100%, $E$13)</f>
        <v>7.4046000000000003</v>
      </c>
      <c r="C489" s="63">
        <f>7.4046 * CHOOSE(CONTROL!$C$22, $C$13, 100%, $E$13)</f>
        <v>7.4046000000000003</v>
      </c>
      <c r="D489" s="63">
        <f>7.4131 * CHOOSE(CONTROL!$C$22, $C$13, 100%, $E$13)</f>
        <v>7.4131</v>
      </c>
      <c r="E489" s="64">
        <f>8.9187 * CHOOSE(CONTROL!$C$22, $C$13, 100%, $E$13)</f>
        <v>8.9186999999999994</v>
      </c>
      <c r="F489" s="64">
        <f>8.9187 * CHOOSE(CONTROL!$C$22, $C$13, 100%, $E$13)</f>
        <v>8.9186999999999994</v>
      </c>
      <c r="G489" s="64">
        <f>8.9289 * CHOOSE(CONTROL!$C$22, $C$13, 100%, $E$13)</f>
        <v>8.9289000000000005</v>
      </c>
      <c r="H489" s="64">
        <f>14.9279* CHOOSE(CONTROL!$C$22, $C$13, 100%, $E$13)</f>
        <v>14.927899999999999</v>
      </c>
      <c r="I489" s="64">
        <f>14.9381 * CHOOSE(CONTROL!$C$22, $C$13, 100%, $E$13)</f>
        <v>14.9381</v>
      </c>
      <c r="J489" s="64">
        <f>8.9187 * CHOOSE(CONTROL!$C$22, $C$13, 100%, $E$13)</f>
        <v>8.9186999999999994</v>
      </c>
      <c r="K489" s="64">
        <f>8.9289 * CHOOSE(CONTROL!$C$22, $C$13, 100%, $E$13)</f>
        <v>8.9289000000000005</v>
      </c>
    </row>
    <row r="490" spans="1:11" ht="15">
      <c r="A490" s="13">
        <v>56401</v>
      </c>
      <c r="B490" s="63">
        <f>7.4107 * CHOOSE(CONTROL!$C$22, $C$13, 100%, $E$13)</f>
        <v>7.4107000000000003</v>
      </c>
      <c r="C490" s="63">
        <f>7.4107 * CHOOSE(CONTROL!$C$22, $C$13, 100%, $E$13)</f>
        <v>7.4107000000000003</v>
      </c>
      <c r="D490" s="63">
        <f>7.4191 * CHOOSE(CONTROL!$C$22, $C$13, 100%, $E$13)</f>
        <v>7.4191000000000003</v>
      </c>
      <c r="E490" s="64">
        <f>8.8769 * CHOOSE(CONTROL!$C$22, $C$13, 100%, $E$13)</f>
        <v>8.8768999999999991</v>
      </c>
      <c r="F490" s="64">
        <f>8.8769 * CHOOSE(CONTROL!$C$22, $C$13, 100%, $E$13)</f>
        <v>8.8768999999999991</v>
      </c>
      <c r="G490" s="64">
        <f>8.8871 * CHOOSE(CONTROL!$C$22, $C$13, 100%, $E$13)</f>
        <v>8.8871000000000002</v>
      </c>
      <c r="H490" s="64">
        <f>14.959* CHOOSE(CONTROL!$C$22, $C$13, 100%, $E$13)</f>
        <v>14.959</v>
      </c>
      <c r="I490" s="64">
        <f>14.9692 * CHOOSE(CONTROL!$C$22, $C$13, 100%, $E$13)</f>
        <v>14.969200000000001</v>
      </c>
      <c r="J490" s="64">
        <f>8.8769 * CHOOSE(CONTROL!$C$22, $C$13, 100%, $E$13)</f>
        <v>8.8768999999999991</v>
      </c>
      <c r="K490" s="64">
        <f>8.8871 * CHOOSE(CONTROL!$C$22, $C$13, 100%, $E$13)</f>
        <v>8.8871000000000002</v>
      </c>
    </row>
    <row r="491" spans="1:11" ht="15">
      <c r="A491" s="13">
        <v>56431</v>
      </c>
      <c r="B491" s="63">
        <f>7.5277 * CHOOSE(CONTROL!$C$22, $C$13, 100%, $E$13)</f>
        <v>7.5277000000000003</v>
      </c>
      <c r="C491" s="63">
        <f>7.5277 * CHOOSE(CONTROL!$C$22, $C$13, 100%, $E$13)</f>
        <v>7.5277000000000003</v>
      </c>
      <c r="D491" s="63">
        <f>7.5362 * CHOOSE(CONTROL!$C$22, $C$13, 100%, $E$13)</f>
        <v>7.5362</v>
      </c>
      <c r="E491" s="64">
        <f>9.0233 * CHOOSE(CONTROL!$C$22, $C$13, 100%, $E$13)</f>
        <v>9.0233000000000008</v>
      </c>
      <c r="F491" s="64">
        <f>9.0233 * CHOOSE(CONTROL!$C$22, $C$13, 100%, $E$13)</f>
        <v>9.0233000000000008</v>
      </c>
      <c r="G491" s="64">
        <f>9.0335 * CHOOSE(CONTROL!$C$22, $C$13, 100%, $E$13)</f>
        <v>9.0335000000000001</v>
      </c>
      <c r="H491" s="64">
        <f>14.9902* CHOOSE(CONTROL!$C$22, $C$13, 100%, $E$13)</f>
        <v>14.9902</v>
      </c>
      <c r="I491" s="64">
        <f>15.0004 * CHOOSE(CONTROL!$C$22, $C$13, 100%, $E$13)</f>
        <v>15.000400000000001</v>
      </c>
      <c r="J491" s="64">
        <f>9.0233 * CHOOSE(CONTROL!$C$22, $C$13, 100%, $E$13)</f>
        <v>9.0233000000000008</v>
      </c>
      <c r="K491" s="64">
        <f>9.0335 * CHOOSE(CONTROL!$C$22, $C$13, 100%, $E$13)</f>
        <v>9.0335000000000001</v>
      </c>
    </row>
    <row r="492" spans="1:11" ht="15">
      <c r="A492" s="13">
        <v>56462</v>
      </c>
      <c r="B492" s="63">
        <f>7.5344 * CHOOSE(CONTROL!$C$22, $C$13, 100%, $E$13)</f>
        <v>7.5343999999999998</v>
      </c>
      <c r="C492" s="63">
        <f>7.5344 * CHOOSE(CONTROL!$C$22, $C$13, 100%, $E$13)</f>
        <v>7.5343999999999998</v>
      </c>
      <c r="D492" s="63">
        <f>7.5429 * CHOOSE(CONTROL!$C$22, $C$13, 100%, $E$13)</f>
        <v>7.5429000000000004</v>
      </c>
      <c r="E492" s="64">
        <f>8.8899 * CHOOSE(CONTROL!$C$22, $C$13, 100%, $E$13)</f>
        <v>8.8899000000000008</v>
      </c>
      <c r="F492" s="64">
        <f>8.8899 * CHOOSE(CONTROL!$C$22, $C$13, 100%, $E$13)</f>
        <v>8.8899000000000008</v>
      </c>
      <c r="G492" s="64">
        <f>8.9001 * CHOOSE(CONTROL!$C$22, $C$13, 100%, $E$13)</f>
        <v>8.9001000000000001</v>
      </c>
      <c r="H492" s="64">
        <f>15.0214* CHOOSE(CONTROL!$C$22, $C$13, 100%, $E$13)</f>
        <v>15.0214</v>
      </c>
      <c r="I492" s="64">
        <f>15.0316 * CHOOSE(CONTROL!$C$22, $C$13, 100%, $E$13)</f>
        <v>15.031599999999999</v>
      </c>
      <c r="J492" s="64">
        <f>8.8899 * CHOOSE(CONTROL!$C$22, $C$13, 100%, $E$13)</f>
        <v>8.8899000000000008</v>
      </c>
      <c r="K492" s="64">
        <f>8.9001 * CHOOSE(CONTROL!$C$22, $C$13, 100%, $E$13)</f>
        <v>8.9001000000000001</v>
      </c>
    </row>
    <row r="493" spans="1:11" ht="15">
      <c r="A493" s="13">
        <v>56493</v>
      </c>
      <c r="B493" s="63">
        <f>7.5314 * CHOOSE(CONTROL!$C$22, $C$13, 100%, $E$13)</f>
        <v>7.5313999999999997</v>
      </c>
      <c r="C493" s="63">
        <f>7.5314 * CHOOSE(CONTROL!$C$22, $C$13, 100%, $E$13)</f>
        <v>7.5313999999999997</v>
      </c>
      <c r="D493" s="63">
        <f>7.5398 * CHOOSE(CONTROL!$C$22, $C$13, 100%, $E$13)</f>
        <v>7.5397999999999996</v>
      </c>
      <c r="E493" s="64">
        <f>8.8725 * CHOOSE(CONTROL!$C$22, $C$13, 100%, $E$13)</f>
        <v>8.8725000000000005</v>
      </c>
      <c r="F493" s="64">
        <f>8.8725 * CHOOSE(CONTROL!$C$22, $C$13, 100%, $E$13)</f>
        <v>8.8725000000000005</v>
      </c>
      <c r="G493" s="64">
        <f>8.8827 * CHOOSE(CONTROL!$C$22, $C$13, 100%, $E$13)</f>
        <v>8.8826999999999998</v>
      </c>
      <c r="H493" s="64">
        <f>15.0527* CHOOSE(CONTROL!$C$22, $C$13, 100%, $E$13)</f>
        <v>15.0527</v>
      </c>
      <c r="I493" s="64">
        <f>15.0629 * CHOOSE(CONTROL!$C$22, $C$13, 100%, $E$13)</f>
        <v>15.062900000000001</v>
      </c>
      <c r="J493" s="64">
        <f>8.8725 * CHOOSE(CONTROL!$C$22, $C$13, 100%, $E$13)</f>
        <v>8.8725000000000005</v>
      </c>
      <c r="K493" s="64">
        <f>8.8827 * CHOOSE(CONTROL!$C$22, $C$13, 100%, $E$13)</f>
        <v>8.8826999999999998</v>
      </c>
    </row>
    <row r="494" spans="1:11" ht="15">
      <c r="A494" s="13">
        <v>56523</v>
      </c>
      <c r="B494" s="63">
        <f>7.5381 * CHOOSE(CONTROL!$C$22, $C$13, 100%, $E$13)</f>
        <v>7.5381</v>
      </c>
      <c r="C494" s="63">
        <f>7.5381 * CHOOSE(CONTROL!$C$22, $C$13, 100%, $E$13)</f>
        <v>7.5381</v>
      </c>
      <c r="D494" s="63">
        <f>7.5381 * CHOOSE(CONTROL!$C$22, $C$13, 100%, $E$13)</f>
        <v>7.5381</v>
      </c>
      <c r="E494" s="64">
        <f>8.9204 * CHOOSE(CONTROL!$C$22, $C$13, 100%, $E$13)</f>
        <v>8.9204000000000008</v>
      </c>
      <c r="F494" s="64">
        <f>8.9204 * CHOOSE(CONTROL!$C$22, $C$13, 100%, $E$13)</f>
        <v>8.9204000000000008</v>
      </c>
      <c r="G494" s="64">
        <f>8.9205 * CHOOSE(CONTROL!$C$22, $C$13, 100%, $E$13)</f>
        <v>8.9205000000000005</v>
      </c>
      <c r="H494" s="64">
        <f>15.0841* CHOOSE(CONTROL!$C$22, $C$13, 100%, $E$13)</f>
        <v>15.084099999999999</v>
      </c>
      <c r="I494" s="64">
        <f>15.0842 * CHOOSE(CONTROL!$C$22, $C$13, 100%, $E$13)</f>
        <v>15.084199999999999</v>
      </c>
      <c r="J494" s="64">
        <f>8.9204 * CHOOSE(CONTROL!$C$22, $C$13, 100%, $E$13)</f>
        <v>8.9204000000000008</v>
      </c>
      <c r="K494" s="64">
        <f>8.9205 * CHOOSE(CONTROL!$C$22, $C$13, 100%, $E$13)</f>
        <v>8.9205000000000005</v>
      </c>
    </row>
    <row r="495" spans="1:11" ht="15">
      <c r="A495" s="13">
        <v>56554</v>
      </c>
      <c r="B495" s="63">
        <f>7.5411 * CHOOSE(CONTROL!$C$22, $C$13, 100%, $E$13)</f>
        <v>7.5411000000000001</v>
      </c>
      <c r="C495" s="63">
        <f>7.5411 * CHOOSE(CONTROL!$C$22, $C$13, 100%, $E$13)</f>
        <v>7.5411000000000001</v>
      </c>
      <c r="D495" s="63">
        <f>7.5411 * CHOOSE(CONTROL!$C$22, $C$13, 100%, $E$13)</f>
        <v>7.5411000000000001</v>
      </c>
      <c r="E495" s="64">
        <f>8.9532 * CHOOSE(CONTROL!$C$22, $C$13, 100%, $E$13)</f>
        <v>8.9532000000000007</v>
      </c>
      <c r="F495" s="64">
        <f>8.9532 * CHOOSE(CONTROL!$C$22, $C$13, 100%, $E$13)</f>
        <v>8.9532000000000007</v>
      </c>
      <c r="G495" s="64">
        <f>8.9533 * CHOOSE(CONTROL!$C$22, $C$13, 100%, $E$13)</f>
        <v>8.9533000000000005</v>
      </c>
      <c r="H495" s="64">
        <f>15.1155* CHOOSE(CONTROL!$C$22, $C$13, 100%, $E$13)</f>
        <v>15.115500000000001</v>
      </c>
      <c r="I495" s="64">
        <f>15.1156 * CHOOSE(CONTROL!$C$22, $C$13, 100%, $E$13)</f>
        <v>15.115600000000001</v>
      </c>
      <c r="J495" s="64">
        <f>8.9532 * CHOOSE(CONTROL!$C$22, $C$13, 100%, $E$13)</f>
        <v>8.9532000000000007</v>
      </c>
      <c r="K495" s="64">
        <f>8.9533 * CHOOSE(CONTROL!$C$22, $C$13, 100%, $E$13)</f>
        <v>8.9533000000000005</v>
      </c>
    </row>
    <row r="496" spans="1:11" ht="15">
      <c r="A496" s="13">
        <v>56584</v>
      </c>
      <c r="B496" s="63">
        <f>7.5411 * CHOOSE(CONTROL!$C$22, $C$13, 100%, $E$13)</f>
        <v>7.5411000000000001</v>
      </c>
      <c r="C496" s="63">
        <f>7.5411 * CHOOSE(CONTROL!$C$22, $C$13, 100%, $E$13)</f>
        <v>7.5411000000000001</v>
      </c>
      <c r="D496" s="63">
        <f>7.5411 * CHOOSE(CONTROL!$C$22, $C$13, 100%, $E$13)</f>
        <v>7.5411000000000001</v>
      </c>
      <c r="E496" s="64">
        <f>8.8765 * CHOOSE(CONTROL!$C$22, $C$13, 100%, $E$13)</f>
        <v>8.8765000000000001</v>
      </c>
      <c r="F496" s="64">
        <f>8.8765 * CHOOSE(CONTROL!$C$22, $C$13, 100%, $E$13)</f>
        <v>8.8765000000000001</v>
      </c>
      <c r="G496" s="64">
        <f>8.8766 * CHOOSE(CONTROL!$C$22, $C$13, 100%, $E$13)</f>
        <v>8.8765999999999998</v>
      </c>
      <c r="H496" s="64">
        <f>15.147* CHOOSE(CONTROL!$C$22, $C$13, 100%, $E$13)</f>
        <v>15.147</v>
      </c>
      <c r="I496" s="64">
        <f>15.1471 * CHOOSE(CONTROL!$C$22, $C$13, 100%, $E$13)</f>
        <v>15.1471</v>
      </c>
      <c r="J496" s="64">
        <f>8.8765 * CHOOSE(CONTROL!$C$22, $C$13, 100%, $E$13)</f>
        <v>8.8765000000000001</v>
      </c>
      <c r="K496" s="64">
        <f>8.8766 * CHOOSE(CONTROL!$C$22, $C$13, 100%, $E$13)</f>
        <v>8.8765999999999998</v>
      </c>
    </row>
    <row r="497" spans="1:11" ht="15">
      <c r="A497" s="13">
        <v>56615</v>
      </c>
      <c r="B497" s="63">
        <f>7.606 * CHOOSE(CONTROL!$C$22, $C$13, 100%, $E$13)</f>
        <v>7.6059999999999999</v>
      </c>
      <c r="C497" s="63">
        <f>7.606 * CHOOSE(CONTROL!$C$22, $C$13, 100%, $E$13)</f>
        <v>7.6059999999999999</v>
      </c>
      <c r="D497" s="63">
        <f>7.606 * CHOOSE(CONTROL!$C$22, $C$13, 100%, $E$13)</f>
        <v>7.6059999999999999</v>
      </c>
      <c r="E497" s="64">
        <f>9.004 * CHOOSE(CONTROL!$C$22, $C$13, 100%, $E$13)</f>
        <v>9.0039999999999996</v>
      </c>
      <c r="F497" s="64">
        <f>9.004 * CHOOSE(CONTROL!$C$22, $C$13, 100%, $E$13)</f>
        <v>9.0039999999999996</v>
      </c>
      <c r="G497" s="64">
        <f>9.0041 * CHOOSE(CONTROL!$C$22, $C$13, 100%, $E$13)</f>
        <v>9.0040999999999993</v>
      </c>
      <c r="H497" s="64">
        <f>15.1785* CHOOSE(CONTROL!$C$22, $C$13, 100%, $E$13)</f>
        <v>15.1785</v>
      </c>
      <c r="I497" s="64">
        <f>15.1786 * CHOOSE(CONTROL!$C$22, $C$13, 100%, $E$13)</f>
        <v>15.178599999999999</v>
      </c>
      <c r="J497" s="64">
        <f>9.004 * CHOOSE(CONTROL!$C$22, $C$13, 100%, $E$13)</f>
        <v>9.0039999999999996</v>
      </c>
      <c r="K497" s="64">
        <f>9.0041 * CHOOSE(CONTROL!$C$22, $C$13, 100%, $E$13)</f>
        <v>9.0040999999999993</v>
      </c>
    </row>
    <row r="498" spans="1:11" ht="15">
      <c r="A498" s="13">
        <v>56646</v>
      </c>
      <c r="B498" s="63">
        <f>7.603 * CHOOSE(CONTROL!$C$22, $C$13, 100%, $E$13)</f>
        <v>7.6029999999999998</v>
      </c>
      <c r="C498" s="63">
        <f>7.603 * CHOOSE(CONTROL!$C$22, $C$13, 100%, $E$13)</f>
        <v>7.6029999999999998</v>
      </c>
      <c r="D498" s="63">
        <f>7.603 * CHOOSE(CONTROL!$C$22, $C$13, 100%, $E$13)</f>
        <v>7.6029999999999998</v>
      </c>
      <c r="E498" s="64">
        <f>8.8528 * CHOOSE(CONTROL!$C$22, $C$13, 100%, $E$13)</f>
        <v>8.8528000000000002</v>
      </c>
      <c r="F498" s="64">
        <f>8.8528 * CHOOSE(CONTROL!$C$22, $C$13, 100%, $E$13)</f>
        <v>8.8528000000000002</v>
      </c>
      <c r="G498" s="64">
        <f>8.8529 * CHOOSE(CONTROL!$C$22, $C$13, 100%, $E$13)</f>
        <v>8.8529</v>
      </c>
      <c r="H498" s="64">
        <f>15.2102* CHOOSE(CONTROL!$C$22, $C$13, 100%, $E$13)</f>
        <v>15.2102</v>
      </c>
      <c r="I498" s="64">
        <f>15.2102 * CHOOSE(CONTROL!$C$22, $C$13, 100%, $E$13)</f>
        <v>15.2102</v>
      </c>
      <c r="J498" s="64">
        <f>8.8528 * CHOOSE(CONTROL!$C$22, $C$13, 100%, $E$13)</f>
        <v>8.8528000000000002</v>
      </c>
      <c r="K498" s="64">
        <f>8.8529 * CHOOSE(CONTROL!$C$22, $C$13, 100%, $E$13)</f>
        <v>8.8529</v>
      </c>
    </row>
    <row r="499" spans="1:11" ht="15">
      <c r="A499" s="13">
        <v>56674</v>
      </c>
      <c r="B499" s="63">
        <f>7.6 * CHOOSE(CONTROL!$C$22, $C$13, 100%, $E$13)</f>
        <v>7.6</v>
      </c>
      <c r="C499" s="63">
        <f>7.6 * CHOOSE(CONTROL!$C$22, $C$13, 100%, $E$13)</f>
        <v>7.6</v>
      </c>
      <c r="D499" s="63">
        <f>7.6 * CHOOSE(CONTROL!$C$22, $C$13, 100%, $E$13)</f>
        <v>7.6</v>
      </c>
      <c r="E499" s="64">
        <f>8.9682 * CHOOSE(CONTROL!$C$22, $C$13, 100%, $E$13)</f>
        <v>8.9681999999999995</v>
      </c>
      <c r="F499" s="64">
        <f>8.9682 * CHOOSE(CONTROL!$C$22, $C$13, 100%, $E$13)</f>
        <v>8.9681999999999995</v>
      </c>
      <c r="G499" s="64">
        <f>8.9683 * CHOOSE(CONTROL!$C$22, $C$13, 100%, $E$13)</f>
        <v>8.9682999999999993</v>
      </c>
      <c r="H499" s="64">
        <f>15.2419* CHOOSE(CONTROL!$C$22, $C$13, 100%, $E$13)</f>
        <v>15.241899999999999</v>
      </c>
      <c r="I499" s="64">
        <f>15.2419 * CHOOSE(CONTROL!$C$22, $C$13, 100%, $E$13)</f>
        <v>15.241899999999999</v>
      </c>
      <c r="J499" s="64">
        <f>8.9682 * CHOOSE(CONTROL!$C$22, $C$13, 100%, $E$13)</f>
        <v>8.9681999999999995</v>
      </c>
      <c r="K499" s="64">
        <f>8.9683 * CHOOSE(CONTROL!$C$22, $C$13, 100%, $E$13)</f>
        <v>8.9682999999999993</v>
      </c>
    </row>
    <row r="500" spans="1:11" ht="15">
      <c r="A500" s="13">
        <v>56705</v>
      </c>
      <c r="B500" s="63">
        <f>7.6007 * CHOOSE(CONTROL!$C$22, $C$13, 100%, $E$13)</f>
        <v>7.6006999999999998</v>
      </c>
      <c r="C500" s="63">
        <f>7.6007 * CHOOSE(CONTROL!$C$22, $C$13, 100%, $E$13)</f>
        <v>7.6006999999999998</v>
      </c>
      <c r="D500" s="63">
        <f>7.6007 * CHOOSE(CONTROL!$C$22, $C$13, 100%, $E$13)</f>
        <v>7.6006999999999998</v>
      </c>
      <c r="E500" s="64">
        <f>9.0901 * CHOOSE(CONTROL!$C$22, $C$13, 100%, $E$13)</f>
        <v>9.0900999999999996</v>
      </c>
      <c r="F500" s="64">
        <f>9.0901 * CHOOSE(CONTROL!$C$22, $C$13, 100%, $E$13)</f>
        <v>9.0900999999999996</v>
      </c>
      <c r="G500" s="64">
        <f>9.0902 * CHOOSE(CONTROL!$C$22, $C$13, 100%, $E$13)</f>
        <v>9.0901999999999994</v>
      </c>
      <c r="H500" s="64">
        <f>15.2736* CHOOSE(CONTROL!$C$22, $C$13, 100%, $E$13)</f>
        <v>15.2736</v>
      </c>
      <c r="I500" s="64">
        <f>15.2737 * CHOOSE(CONTROL!$C$22, $C$13, 100%, $E$13)</f>
        <v>15.2737</v>
      </c>
      <c r="J500" s="64">
        <f>9.0901 * CHOOSE(CONTROL!$C$22, $C$13, 100%, $E$13)</f>
        <v>9.0900999999999996</v>
      </c>
      <c r="K500" s="64">
        <f>9.0902 * CHOOSE(CONTROL!$C$22, $C$13, 100%, $E$13)</f>
        <v>9.0901999999999994</v>
      </c>
    </row>
    <row r="501" spans="1:11" ht="15">
      <c r="A501" s="13">
        <v>56735</v>
      </c>
      <c r="B501" s="63">
        <f>7.6007 * CHOOSE(CONTROL!$C$22, $C$13, 100%, $E$13)</f>
        <v>7.6006999999999998</v>
      </c>
      <c r="C501" s="63">
        <f>7.6007 * CHOOSE(CONTROL!$C$22, $C$13, 100%, $E$13)</f>
        <v>7.6006999999999998</v>
      </c>
      <c r="D501" s="63">
        <f>7.6091 * CHOOSE(CONTROL!$C$22, $C$13, 100%, $E$13)</f>
        <v>7.6090999999999998</v>
      </c>
      <c r="E501" s="64">
        <f>9.1375 * CHOOSE(CONTROL!$C$22, $C$13, 100%, $E$13)</f>
        <v>9.1374999999999993</v>
      </c>
      <c r="F501" s="64">
        <f>9.1375 * CHOOSE(CONTROL!$C$22, $C$13, 100%, $E$13)</f>
        <v>9.1374999999999993</v>
      </c>
      <c r="G501" s="64">
        <f>9.1477 * CHOOSE(CONTROL!$C$22, $C$13, 100%, $E$13)</f>
        <v>9.1477000000000004</v>
      </c>
      <c r="H501" s="64">
        <f>15.3054* CHOOSE(CONTROL!$C$22, $C$13, 100%, $E$13)</f>
        <v>15.305400000000001</v>
      </c>
      <c r="I501" s="64">
        <f>15.3156 * CHOOSE(CONTROL!$C$22, $C$13, 100%, $E$13)</f>
        <v>15.3156</v>
      </c>
      <c r="J501" s="64">
        <f>9.1375 * CHOOSE(CONTROL!$C$22, $C$13, 100%, $E$13)</f>
        <v>9.1374999999999993</v>
      </c>
      <c r="K501" s="64">
        <f>9.1477 * CHOOSE(CONTROL!$C$22, $C$13, 100%, $E$13)</f>
        <v>9.1477000000000004</v>
      </c>
    </row>
    <row r="502" spans="1:11" ht="15">
      <c r="A502" s="13">
        <v>56766</v>
      </c>
      <c r="B502" s="63">
        <f>7.6068 * CHOOSE(CONTROL!$C$22, $C$13, 100%, $E$13)</f>
        <v>7.6067999999999998</v>
      </c>
      <c r="C502" s="63">
        <f>7.6068 * CHOOSE(CONTROL!$C$22, $C$13, 100%, $E$13)</f>
        <v>7.6067999999999998</v>
      </c>
      <c r="D502" s="63">
        <f>7.6152 * CHOOSE(CONTROL!$C$22, $C$13, 100%, $E$13)</f>
        <v>7.6151999999999997</v>
      </c>
      <c r="E502" s="64">
        <f>9.0944 * CHOOSE(CONTROL!$C$22, $C$13, 100%, $E$13)</f>
        <v>9.0944000000000003</v>
      </c>
      <c r="F502" s="64">
        <f>9.0944 * CHOOSE(CONTROL!$C$22, $C$13, 100%, $E$13)</f>
        <v>9.0944000000000003</v>
      </c>
      <c r="G502" s="64">
        <f>9.1046 * CHOOSE(CONTROL!$C$22, $C$13, 100%, $E$13)</f>
        <v>9.1045999999999996</v>
      </c>
      <c r="H502" s="64">
        <f>15.3373* CHOOSE(CONTROL!$C$22, $C$13, 100%, $E$13)</f>
        <v>15.337300000000001</v>
      </c>
      <c r="I502" s="64">
        <f>15.3475 * CHOOSE(CONTROL!$C$22, $C$13, 100%, $E$13)</f>
        <v>15.3475</v>
      </c>
      <c r="J502" s="64">
        <f>9.0944 * CHOOSE(CONTROL!$C$22, $C$13, 100%, $E$13)</f>
        <v>9.0944000000000003</v>
      </c>
      <c r="K502" s="64">
        <f>9.1046 * CHOOSE(CONTROL!$C$22, $C$13, 100%, $E$13)</f>
        <v>9.1045999999999996</v>
      </c>
    </row>
    <row r="503" spans="1:11" ht="15">
      <c r="A503" s="13">
        <v>56796</v>
      </c>
      <c r="B503" s="63">
        <f>7.7266 * CHOOSE(CONTROL!$C$22, $C$13, 100%, $E$13)</f>
        <v>7.7266000000000004</v>
      </c>
      <c r="C503" s="63">
        <f>7.7266 * CHOOSE(CONTROL!$C$22, $C$13, 100%, $E$13)</f>
        <v>7.7266000000000004</v>
      </c>
      <c r="D503" s="63">
        <f>7.735 * CHOOSE(CONTROL!$C$22, $C$13, 100%, $E$13)</f>
        <v>7.7350000000000003</v>
      </c>
      <c r="E503" s="64">
        <f>9.2441 * CHOOSE(CONTROL!$C$22, $C$13, 100%, $E$13)</f>
        <v>9.2440999999999995</v>
      </c>
      <c r="F503" s="64">
        <f>9.2441 * CHOOSE(CONTROL!$C$22, $C$13, 100%, $E$13)</f>
        <v>9.2440999999999995</v>
      </c>
      <c r="G503" s="64">
        <f>9.2544 * CHOOSE(CONTROL!$C$22, $C$13, 100%, $E$13)</f>
        <v>9.2544000000000004</v>
      </c>
      <c r="H503" s="64">
        <f>15.3693* CHOOSE(CONTROL!$C$22, $C$13, 100%, $E$13)</f>
        <v>15.369300000000001</v>
      </c>
      <c r="I503" s="64">
        <f>15.3795 * CHOOSE(CONTROL!$C$22, $C$13, 100%, $E$13)</f>
        <v>15.3795</v>
      </c>
      <c r="J503" s="64">
        <f>9.2441 * CHOOSE(CONTROL!$C$22, $C$13, 100%, $E$13)</f>
        <v>9.2440999999999995</v>
      </c>
      <c r="K503" s="64">
        <f>9.2544 * CHOOSE(CONTROL!$C$22, $C$13, 100%, $E$13)</f>
        <v>9.2544000000000004</v>
      </c>
    </row>
    <row r="504" spans="1:11" ht="15">
      <c r="A504" s="13">
        <v>56827</v>
      </c>
      <c r="B504" s="63">
        <f>7.7333 * CHOOSE(CONTROL!$C$22, $C$13, 100%, $E$13)</f>
        <v>7.7332999999999998</v>
      </c>
      <c r="C504" s="63">
        <f>7.7333 * CHOOSE(CONTROL!$C$22, $C$13, 100%, $E$13)</f>
        <v>7.7332999999999998</v>
      </c>
      <c r="D504" s="63">
        <f>7.7417 * CHOOSE(CONTROL!$C$22, $C$13, 100%, $E$13)</f>
        <v>7.7416999999999998</v>
      </c>
      <c r="E504" s="64">
        <f>9.1068 * CHOOSE(CONTROL!$C$22, $C$13, 100%, $E$13)</f>
        <v>9.1067999999999998</v>
      </c>
      <c r="F504" s="64">
        <f>9.1068 * CHOOSE(CONTROL!$C$22, $C$13, 100%, $E$13)</f>
        <v>9.1067999999999998</v>
      </c>
      <c r="G504" s="64">
        <f>9.1171 * CHOOSE(CONTROL!$C$22, $C$13, 100%, $E$13)</f>
        <v>9.1171000000000006</v>
      </c>
      <c r="H504" s="64">
        <f>15.4013* CHOOSE(CONTROL!$C$22, $C$13, 100%, $E$13)</f>
        <v>15.401300000000001</v>
      </c>
      <c r="I504" s="64">
        <f>15.4115 * CHOOSE(CONTROL!$C$22, $C$13, 100%, $E$13)</f>
        <v>15.4115</v>
      </c>
      <c r="J504" s="64">
        <f>9.1068 * CHOOSE(CONTROL!$C$22, $C$13, 100%, $E$13)</f>
        <v>9.1067999999999998</v>
      </c>
      <c r="K504" s="64">
        <f>9.1171 * CHOOSE(CONTROL!$C$22, $C$13, 100%, $E$13)</f>
        <v>9.1171000000000006</v>
      </c>
    </row>
    <row r="505" spans="1:11" ht="15">
      <c r="A505" s="13">
        <v>56858</v>
      </c>
      <c r="B505" s="63">
        <f>7.7303 * CHOOSE(CONTROL!$C$22, $C$13, 100%, $E$13)</f>
        <v>7.7302999999999997</v>
      </c>
      <c r="C505" s="63">
        <f>7.7303 * CHOOSE(CONTROL!$C$22, $C$13, 100%, $E$13)</f>
        <v>7.7302999999999997</v>
      </c>
      <c r="D505" s="63">
        <f>7.7387 * CHOOSE(CONTROL!$C$22, $C$13, 100%, $E$13)</f>
        <v>7.7386999999999997</v>
      </c>
      <c r="E505" s="64">
        <f>9.089 * CHOOSE(CONTROL!$C$22, $C$13, 100%, $E$13)</f>
        <v>9.0890000000000004</v>
      </c>
      <c r="F505" s="64">
        <f>9.089 * CHOOSE(CONTROL!$C$22, $C$13, 100%, $E$13)</f>
        <v>9.0890000000000004</v>
      </c>
      <c r="G505" s="64">
        <f>9.0992 * CHOOSE(CONTROL!$C$22, $C$13, 100%, $E$13)</f>
        <v>9.0991999999999997</v>
      </c>
      <c r="H505" s="64">
        <f>15.4334* CHOOSE(CONTROL!$C$22, $C$13, 100%, $E$13)</f>
        <v>15.433400000000001</v>
      </c>
      <c r="I505" s="64">
        <f>15.4436 * CHOOSE(CONTROL!$C$22, $C$13, 100%, $E$13)</f>
        <v>15.4436</v>
      </c>
      <c r="J505" s="64">
        <f>9.089 * CHOOSE(CONTROL!$C$22, $C$13, 100%, $E$13)</f>
        <v>9.0890000000000004</v>
      </c>
      <c r="K505" s="64">
        <f>9.0992 * CHOOSE(CONTROL!$C$22, $C$13, 100%, $E$13)</f>
        <v>9.0991999999999997</v>
      </c>
    </row>
    <row r="506" spans="1:11" ht="15">
      <c r="A506" s="13">
        <v>56888</v>
      </c>
      <c r="B506" s="63">
        <f>7.7376 * CHOOSE(CONTROL!$C$22, $C$13, 100%, $E$13)</f>
        <v>7.7375999999999996</v>
      </c>
      <c r="C506" s="63">
        <f>7.7376 * CHOOSE(CONTROL!$C$22, $C$13, 100%, $E$13)</f>
        <v>7.7375999999999996</v>
      </c>
      <c r="D506" s="63">
        <f>7.7376 * CHOOSE(CONTROL!$C$22, $C$13, 100%, $E$13)</f>
        <v>7.7375999999999996</v>
      </c>
      <c r="E506" s="64">
        <f>9.1386 * CHOOSE(CONTROL!$C$22, $C$13, 100%, $E$13)</f>
        <v>9.1386000000000003</v>
      </c>
      <c r="F506" s="64">
        <f>9.1386 * CHOOSE(CONTROL!$C$22, $C$13, 100%, $E$13)</f>
        <v>9.1386000000000003</v>
      </c>
      <c r="G506" s="64">
        <f>9.1387 * CHOOSE(CONTROL!$C$22, $C$13, 100%, $E$13)</f>
        <v>9.1387</v>
      </c>
      <c r="H506" s="64">
        <f>15.4655* CHOOSE(CONTROL!$C$22, $C$13, 100%, $E$13)</f>
        <v>15.4655</v>
      </c>
      <c r="I506" s="64">
        <f>15.4656 * CHOOSE(CONTROL!$C$22, $C$13, 100%, $E$13)</f>
        <v>15.4656</v>
      </c>
      <c r="J506" s="64">
        <f>9.1386 * CHOOSE(CONTROL!$C$22, $C$13, 100%, $E$13)</f>
        <v>9.1386000000000003</v>
      </c>
      <c r="K506" s="64">
        <f>9.1387 * CHOOSE(CONTROL!$C$22, $C$13, 100%, $E$13)</f>
        <v>9.1387</v>
      </c>
    </row>
    <row r="507" spans="1:11" ht="15">
      <c r="A507" s="13">
        <v>56919</v>
      </c>
      <c r="B507" s="63">
        <f>7.7406 * CHOOSE(CONTROL!$C$22, $C$13, 100%, $E$13)</f>
        <v>7.7405999999999997</v>
      </c>
      <c r="C507" s="63">
        <f>7.7406 * CHOOSE(CONTROL!$C$22, $C$13, 100%, $E$13)</f>
        <v>7.7405999999999997</v>
      </c>
      <c r="D507" s="63">
        <f>7.7406 * CHOOSE(CONTROL!$C$22, $C$13, 100%, $E$13)</f>
        <v>7.7405999999999997</v>
      </c>
      <c r="E507" s="64">
        <f>9.1723 * CHOOSE(CONTROL!$C$22, $C$13, 100%, $E$13)</f>
        <v>9.1722999999999999</v>
      </c>
      <c r="F507" s="64">
        <f>9.1723 * CHOOSE(CONTROL!$C$22, $C$13, 100%, $E$13)</f>
        <v>9.1722999999999999</v>
      </c>
      <c r="G507" s="64">
        <f>9.1724 * CHOOSE(CONTROL!$C$22, $C$13, 100%, $E$13)</f>
        <v>9.1723999999999997</v>
      </c>
      <c r="H507" s="64">
        <f>15.4977* CHOOSE(CONTROL!$C$22, $C$13, 100%, $E$13)</f>
        <v>15.4977</v>
      </c>
      <c r="I507" s="64">
        <f>15.4978 * CHOOSE(CONTROL!$C$22, $C$13, 100%, $E$13)</f>
        <v>15.4978</v>
      </c>
      <c r="J507" s="64">
        <f>9.1723 * CHOOSE(CONTROL!$C$22, $C$13, 100%, $E$13)</f>
        <v>9.1722999999999999</v>
      </c>
      <c r="K507" s="64">
        <f>9.1724 * CHOOSE(CONTROL!$C$22, $C$13, 100%, $E$13)</f>
        <v>9.1723999999999997</v>
      </c>
    </row>
    <row r="508" spans="1:11" ht="15">
      <c r="A508" s="13">
        <v>56949</v>
      </c>
      <c r="B508" s="63">
        <f>7.7406 * CHOOSE(CONTROL!$C$22, $C$13, 100%, $E$13)</f>
        <v>7.7405999999999997</v>
      </c>
      <c r="C508" s="63">
        <f>7.7406 * CHOOSE(CONTROL!$C$22, $C$13, 100%, $E$13)</f>
        <v>7.7405999999999997</v>
      </c>
      <c r="D508" s="63">
        <f>7.7406 * CHOOSE(CONTROL!$C$22, $C$13, 100%, $E$13)</f>
        <v>7.7405999999999997</v>
      </c>
      <c r="E508" s="64">
        <f>9.0934 * CHOOSE(CONTROL!$C$22, $C$13, 100%, $E$13)</f>
        <v>9.0934000000000008</v>
      </c>
      <c r="F508" s="64">
        <f>9.0934 * CHOOSE(CONTROL!$C$22, $C$13, 100%, $E$13)</f>
        <v>9.0934000000000008</v>
      </c>
      <c r="G508" s="64">
        <f>9.0935 * CHOOSE(CONTROL!$C$22, $C$13, 100%, $E$13)</f>
        <v>9.0935000000000006</v>
      </c>
      <c r="H508" s="64">
        <f>15.53* CHOOSE(CONTROL!$C$22, $C$13, 100%, $E$13)</f>
        <v>15.53</v>
      </c>
      <c r="I508" s="64">
        <f>15.5301 * CHOOSE(CONTROL!$C$22, $C$13, 100%, $E$13)</f>
        <v>15.530099999999999</v>
      </c>
      <c r="J508" s="64">
        <f>9.0934 * CHOOSE(CONTROL!$C$22, $C$13, 100%, $E$13)</f>
        <v>9.0934000000000008</v>
      </c>
      <c r="K508" s="64">
        <f>9.0935 * CHOOSE(CONTROL!$C$22, $C$13, 100%, $E$13)</f>
        <v>9.0935000000000006</v>
      </c>
    </row>
    <row r="509" spans="1:11" ht="15">
      <c r="A509" s="13">
        <v>56980</v>
      </c>
      <c r="B509" s="63">
        <f>7.8071 * CHOOSE(CONTROL!$C$22, $C$13, 100%, $E$13)</f>
        <v>7.8071000000000002</v>
      </c>
      <c r="C509" s="63">
        <f>7.8071 * CHOOSE(CONTROL!$C$22, $C$13, 100%, $E$13)</f>
        <v>7.8071000000000002</v>
      </c>
      <c r="D509" s="63">
        <f>7.8072 * CHOOSE(CONTROL!$C$22, $C$13, 100%, $E$13)</f>
        <v>7.8071999999999999</v>
      </c>
      <c r="E509" s="64">
        <f>9.2242 * CHOOSE(CONTROL!$C$22, $C$13, 100%, $E$13)</f>
        <v>9.2241999999999997</v>
      </c>
      <c r="F509" s="64">
        <f>9.2242 * CHOOSE(CONTROL!$C$22, $C$13, 100%, $E$13)</f>
        <v>9.2241999999999997</v>
      </c>
      <c r="G509" s="64">
        <f>9.2243 * CHOOSE(CONTROL!$C$22, $C$13, 100%, $E$13)</f>
        <v>9.2242999999999995</v>
      </c>
      <c r="H509" s="64">
        <f>15.5624* CHOOSE(CONTROL!$C$22, $C$13, 100%, $E$13)</f>
        <v>15.5624</v>
      </c>
      <c r="I509" s="64">
        <f>15.5625 * CHOOSE(CONTROL!$C$22, $C$13, 100%, $E$13)</f>
        <v>15.5625</v>
      </c>
      <c r="J509" s="64">
        <f>9.2242 * CHOOSE(CONTROL!$C$22, $C$13, 100%, $E$13)</f>
        <v>9.2241999999999997</v>
      </c>
      <c r="K509" s="64">
        <f>9.2243 * CHOOSE(CONTROL!$C$22, $C$13, 100%, $E$13)</f>
        <v>9.2242999999999995</v>
      </c>
    </row>
    <row r="510" spans="1:11" ht="15">
      <c r="A510" s="13">
        <v>57011</v>
      </c>
      <c r="B510" s="63">
        <f>7.8041 * CHOOSE(CONTROL!$C$22, $C$13, 100%, $E$13)</f>
        <v>7.8041</v>
      </c>
      <c r="C510" s="63">
        <f>7.8041 * CHOOSE(CONTROL!$C$22, $C$13, 100%, $E$13)</f>
        <v>7.8041</v>
      </c>
      <c r="D510" s="63">
        <f>7.8041 * CHOOSE(CONTROL!$C$22, $C$13, 100%, $E$13)</f>
        <v>7.8041</v>
      </c>
      <c r="E510" s="64">
        <f>9.0688 * CHOOSE(CONTROL!$C$22, $C$13, 100%, $E$13)</f>
        <v>9.0687999999999995</v>
      </c>
      <c r="F510" s="64">
        <f>9.0688 * CHOOSE(CONTROL!$C$22, $C$13, 100%, $E$13)</f>
        <v>9.0687999999999995</v>
      </c>
      <c r="G510" s="64">
        <f>9.0689 * CHOOSE(CONTROL!$C$22, $C$13, 100%, $E$13)</f>
        <v>9.0688999999999993</v>
      </c>
      <c r="H510" s="64">
        <f>15.5948* CHOOSE(CONTROL!$C$22, $C$13, 100%, $E$13)</f>
        <v>15.594799999999999</v>
      </c>
      <c r="I510" s="64">
        <f>15.5949 * CHOOSE(CONTROL!$C$22, $C$13, 100%, $E$13)</f>
        <v>15.594900000000001</v>
      </c>
      <c r="J510" s="64">
        <f>9.0688 * CHOOSE(CONTROL!$C$22, $C$13, 100%, $E$13)</f>
        <v>9.0687999999999995</v>
      </c>
      <c r="K510" s="64">
        <f>9.0689 * CHOOSE(CONTROL!$C$22, $C$13, 100%, $E$13)</f>
        <v>9.0688999999999993</v>
      </c>
    </row>
    <row r="511" spans="1:11" ht="15">
      <c r="A511" s="13">
        <v>57040</v>
      </c>
      <c r="B511" s="63">
        <f>7.8011 * CHOOSE(CONTROL!$C$22, $C$13, 100%, $E$13)</f>
        <v>7.8010999999999999</v>
      </c>
      <c r="C511" s="63">
        <f>7.8011 * CHOOSE(CONTROL!$C$22, $C$13, 100%, $E$13)</f>
        <v>7.8010999999999999</v>
      </c>
      <c r="D511" s="63">
        <f>7.8011 * CHOOSE(CONTROL!$C$22, $C$13, 100%, $E$13)</f>
        <v>7.8010999999999999</v>
      </c>
      <c r="E511" s="64">
        <f>9.1875 * CHOOSE(CONTROL!$C$22, $C$13, 100%, $E$13)</f>
        <v>9.1875</v>
      </c>
      <c r="F511" s="64">
        <f>9.1875 * CHOOSE(CONTROL!$C$22, $C$13, 100%, $E$13)</f>
        <v>9.1875</v>
      </c>
      <c r="G511" s="64">
        <f>9.1876 * CHOOSE(CONTROL!$C$22, $C$13, 100%, $E$13)</f>
        <v>9.1875999999999998</v>
      </c>
      <c r="H511" s="64">
        <f>15.6273* CHOOSE(CONTROL!$C$22, $C$13, 100%, $E$13)</f>
        <v>15.6273</v>
      </c>
      <c r="I511" s="64">
        <f>15.6274 * CHOOSE(CONTROL!$C$22, $C$13, 100%, $E$13)</f>
        <v>15.6274</v>
      </c>
      <c r="J511" s="64">
        <f>9.1875 * CHOOSE(CONTROL!$C$22, $C$13, 100%, $E$13)</f>
        <v>9.1875</v>
      </c>
      <c r="K511" s="64">
        <f>9.1876 * CHOOSE(CONTROL!$C$22, $C$13, 100%, $E$13)</f>
        <v>9.1875999999999998</v>
      </c>
    </row>
    <row r="512" spans="1:11" ht="15">
      <c r="A512" s="13">
        <v>57071</v>
      </c>
      <c r="B512" s="63">
        <f>7.802 * CHOOSE(CONTROL!$C$22, $C$13, 100%, $E$13)</f>
        <v>7.8019999999999996</v>
      </c>
      <c r="C512" s="63">
        <f>7.802 * CHOOSE(CONTROL!$C$22, $C$13, 100%, $E$13)</f>
        <v>7.8019999999999996</v>
      </c>
      <c r="D512" s="63">
        <f>7.802 * CHOOSE(CONTROL!$C$22, $C$13, 100%, $E$13)</f>
        <v>7.8019999999999996</v>
      </c>
      <c r="E512" s="64">
        <f>9.313 * CHOOSE(CONTROL!$C$22, $C$13, 100%, $E$13)</f>
        <v>9.3130000000000006</v>
      </c>
      <c r="F512" s="64">
        <f>9.313 * CHOOSE(CONTROL!$C$22, $C$13, 100%, $E$13)</f>
        <v>9.3130000000000006</v>
      </c>
      <c r="G512" s="64">
        <f>9.3131 * CHOOSE(CONTROL!$C$22, $C$13, 100%, $E$13)</f>
        <v>9.3131000000000004</v>
      </c>
      <c r="H512" s="64">
        <f>15.6599* CHOOSE(CONTROL!$C$22, $C$13, 100%, $E$13)</f>
        <v>15.6599</v>
      </c>
      <c r="I512" s="64">
        <f>15.6599 * CHOOSE(CONTROL!$C$22, $C$13, 100%, $E$13)</f>
        <v>15.6599</v>
      </c>
      <c r="J512" s="64">
        <f>9.313 * CHOOSE(CONTROL!$C$22, $C$13, 100%, $E$13)</f>
        <v>9.3130000000000006</v>
      </c>
      <c r="K512" s="64">
        <f>9.3131 * CHOOSE(CONTROL!$C$22, $C$13, 100%, $E$13)</f>
        <v>9.3131000000000004</v>
      </c>
    </row>
    <row r="513" spans="1:11" ht="15">
      <c r="A513" s="13">
        <v>57101</v>
      </c>
      <c r="B513" s="63">
        <f>7.802 * CHOOSE(CONTROL!$C$22, $C$13, 100%, $E$13)</f>
        <v>7.8019999999999996</v>
      </c>
      <c r="C513" s="63">
        <f>7.802 * CHOOSE(CONTROL!$C$22, $C$13, 100%, $E$13)</f>
        <v>7.8019999999999996</v>
      </c>
      <c r="D513" s="63">
        <f>7.8104 * CHOOSE(CONTROL!$C$22, $C$13, 100%, $E$13)</f>
        <v>7.8103999999999996</v>
      </c>
      <c r="E513" s="64">
        <f>9.3616 * CHOOSE(CONTROL!$C$22, $C$13, 100%, $E$13)</f>
        <v>9.3615999999999993</v>
      </c>
      <c r="F513" s="64">
        <f>9.3616 * CHOOSE(CONTROL!$C$22, $C$13, 100%, $E$13)</f>
        <v>9.3615999999999993</v>
      </c>
      <c r="G513" s="64">
        <f>9.3719 * CHOOSE(CONTROL!$C$22, $C$13, 100%, $E$13)</f>
        <v>9.3719000000000001</v>
      </c>
      <c r="H513" s="64">
        <f>15.6925* CHOOSE(CONTROL!$C$22, $C$13, 100%, $E$13)</f>
        <v>15.692500000000001</v>
      </c>
      <c r="I513" s="64">
        <f>15.7027 * CHOOSE(CONTROL!$C$22, $C$13, 100%, $E$13)</f>
        <v>15.7027</v>
      </c>
      <c r="J513" s="64">
        <f>9.3616 * CHOOSE(CONTROL!$C$22, $C$13, 100%, $E$13)</f>
        <v>9.3615999999999993</v>
      </c>
      <c r="K513" s="64">
        <f>9.3719 * CHOOSE(CONTROL!$C$22, $C$13, 100%, $E$13)</f>
        <v>9.3719000000000001</v>
      </c>
    </row>
    <row r="514" spans="1:11" ht="15">
      <c r="A514" s="13">
        <v>57132</v>
      </c>
      <c r="B514" s="63">
        <f>7.808 * CHOOSE(CONTROL!$C$22, $C$13, 100%, $E$13)</f>
        <v>7.8079999999999998</v>
      </c>
      <c r="C514" s="63">
        <f>7.808 * CHOOSE(CONTROL!$C$22, $C$13, 100%, $E$13)</f>
        <v>7.8079999999999998</v>
      </c>
      <c r="D514" s="63">
        <f>7.8165 * CHOOSE(CONTROL!$C$22, $C$13, 100%, $E$13)</f>
        <v>7.8164999999999996</v>
      </c>
      <c r="E514" s="64">
        <f>9.3172 * CHOOSE(CONTROL!$C$22, $C$13, 100%, $E$13)</f>
        <v>9.3171999999999997</v>
      </c>
      <c r="F514" s="64">
        <f>9.3172 * CHOOSE(CONTROL!$C$22, $C$13, 100%, $E$13)</f>
        <v>9.3171999999999997</v>
      </c>
      <c r="G514" s="64">
        <f>9.3275 * CHOOSE(CONTROL!$C$22, $C$13, 100%, $E$13)</f>
        <v>9.3275000000000006</v>
      </c>
      <c r="H514" s="64">
        <f>15.7252* CHOOSE(CONTROL!$C$22, $C$13, 100%, $E$13)</f>
        <v>15.725199999999999</v>
      </c>
      <c r="I514" s="64">
        <f>15.7354 * CHOOSE(CONTROL!$C$22, $C$13, 100%, $E$13)</f>
        <v>15.7354</v>
      </c>
      <c r="J514" s="64">
        <f>9.3172 * CHOOSE(CONTROL!$C$22, $C$13, 100%, $E$13)</f>
        <v>9.3171999999999997</v>
      </c>
      <c r="K514" s="64">
        <f>9.3275 * CHOOSE(CONTROL!$C$22, $C$13, 100%, $E$13)</f>
        <v>9.3275000000000006</v>
      </c>
    </row>
    <row r="515" spans="1:11" ht="15">
      <c r="A515" s="13">
        <v>57162</v>
      </c>
      <c r="B515" s="63">
        <f>7.9308 * CHOOSE(CONTROL!$C$22, $C$13, 100%, $E$13)</f>
        <v>7.9307999999999996</v>
      </c>
      <c r="C515" s="63">
        <f>7.9308 * CHOOSE(CONTROL!$C$22, $C$13, 100%, $E$13)</f>
        <v>7.9307999999999996</v>
      </c>
      <c r="D515" s="63">
        <f>7.9392 * CHOOSE(CONTROL!$C$22, $C$13, 100%, $E$13)</f>
        <v>7.9391999999999996</v>
      </c>
      <c r="E515" s="64">
        <f>9.4704 * CHOOSE(CONTROL!$C$22, $C$13, 100%, $E$13)</f>
        <v>9.4703999999999997</v>
      </c>
      <c r="F515" s="64">
        <f>9.4704 * CHOOSE(CONTROL!$C$22, $C$13, 100%, $E$13)</f>
        <v>9.4703999999999997</v>
      </c>
      <c r="G515" s="64">
        <f>9.4806 * CHOOSE(CONTROL!$C$22, $C$13, 100%, $E$13)</f>
        <v>9.4806000000000008</v>
      </c>
      <c r="H515" s="64">
        <f>15.7579* CHOOSE(CONTROL!$C$22, $C$13, 100%, $E$13)</f>
        <v>15.757899999999999</v>
      </c>
      <c r="I515" s="64">
        <f>15.7682 * CHOOSE(CONTROL!$C$22, $C$13, 100%, $E$13)</f>
        <v>15.7682</v>
      </c>
      <c r="J515" s="64">
        <f>9.4704 * CHOOSE(CONTROL!$C$22, $C$13, 100%, $E$13)</f>
        <v>9.4703999999999997</v>
      </c>
      <c r="K515" s="64">
        <f>9.4806 * CHOOSE(CONTROL!$C$22, $C$13, 100%, $E$13)</f>
        <v>9.4806000000000008</v>
      </c>
    </row>
    <row r="516" spans="1:11" ht="15">
      <c r="A516" s="13">
        <v>57193</v>
      </c>
      <c r="B516" s="63">
        <f>7.9375 * CHOOSE(CONTROL!$C$22, $C$13, 100%, $E$13)</f>
        <v>7.9375</v>
      </c>
      <c r="C516" s="63">
        <f>7.9375 * CHOOSE(CONTROL!$C$22, $C$13, 100%, $E$13)</f>
        <v>7.9375</v>
      </c>
      <c r="D516" s="63">
        <f>7.9459 * CHOOSE(CONTROL!$C$22, $C$13, 100%, $E$13)</f>
        <v>7.9459</v>
      </c>
      <c r="E516" s="64">
        <f>9.3291 * CHOOSE(CONTROL!$C$22, $C$13, 100%, $E$13)</f>
        <v>9.3291000000000004</v>
      </c>
      <c r="F516" s="64">
        <f>9.3291 * CHOOSE(CONTROL!$C$22, $C$13, 100%, $E$13)</f>
        <v>9.3291000000000004</v>
      </c>
      <c r="G516" s="64">
        <f>9.3393 * CHOOSE(CONTROL!$C$22, $C$13, 100%, $E$13)</f>
        <v>9.3392999999999997</v>
      </c>
      <c r="H516" s="64">
        <f>15.7908* CHOOSE(CONTROL!$C$22, $C$13, 100%, $E$13)</f>
        <v>15.790800000000001</v>
      </c>
      <c r="I516" s="64">
        <f>15.801 * CHOOSE(CONTROL!$C$22, $C$13, 100%, $E$13)</f>
        <v>15.801</v>
      </c>
      <c r="J516" s="64">
        <f>9.3291 * CHOOSE(CONTROL!$C$22, $C$13, 100%, $E$13)</f>
        <v>9.3291000000000004</v>
      </c>
      <c r="K516" s="64">
        <f>9.3393 * CHOOSE(CONTROL!$C$22, $C$13, 100%, $E$13)</f>
        <v>9.3392999999999997</v>
      </c>
    </row>
    <row r="517" spans="1:11" ht="15">
      <c r="A517" s="13">
        <v>57224</v>
      </c>
      <c r="B517" s="63">
        <f>7.9344 * CHOOSE(CONTROL!$C$22, $C$13, 100%, $E$13)</f>
        <v>7.9344000000000001</v>
      </c>
      <c r="C517" s="63">
        <f>7.9344 * CHOOSE(CONTROL!$C$22, $C$13, 100%, $E$13)</f>
        <v>7.9344000000000001</v>
      </c>
      <c r="D517" s="63">
        <f>7.9429 * CHOOSE(CONTROL!$C$22, $C$13, 100%, $E$13)</f>
        <v>7.9428999999999998</v>
      </c>
      <c r="E517" s="64">
        <f>9.3108 * CHOOSE(CONTROL!$C$22, $C$13, 100%, $E$13)</f>
        <v>9.3108000000000004</v>
      </c>
      <c r="F517" s="64">
        <f>9.3108 * CHOOSE(CONTROL!$C$22, $C$13, 100%, $E$13)</f>
        <v>9.3108000000000004</v>
      </c>
      <c r="G517" s="64">
        <f>9.321 * CHOOSE(CONTROL!$C$22, $C$13, 100%, $E$13)</f>
        <v>9.3209999999999997</v>
      </c>
      <c r="H517" s="64">
        <f>15.8237* CHOOSE(CONTROL!$C$22, $C$13, 100%, $E$13)</f>
        <v>15.823700000000001</v>
      </c>
      <c r="I517" s="64">
        <f>15.8339 * CHOOSE(CONTROL!$C$22, $C$13, 100%, $E$13)</f>
        <v>15.8339</v>
      </c>
      <c r="J517" s="64">
        <f>9.3108 * CHOOSE(CONTROL!$C$22, $C$13, 100%, $E$13)</f>
        <v>9.3108000000000004</v>
      </c>
      <c r="K517" s="64">
        <f>9.321 * CHOOSE(CONTROL!$C$22, $C$13, 100%, $E$13)</f>
        <v>9.3209999999999997</v>
      </c>
    </row>
    <row r="518" spans="1:11" ht="15">
      <c r="A518" s="13">
        <v>57254</v>
      </c>
      <c r="B518" s="63">
        <f>7.9424 * CHOOSE(CONTROL!$C$22, $C$13, 100%, $E$13)</f>
        <v>7.9424000000000001</v>
      </c>
      <c r="C518" s="63">
        <f>7.9424 * CHOOSE(CONTROL!$C$22, $C$13, 100%, $E$13)</f>
        <v>7.9424000000000001</v>
      </c>
      <c r="D518" s="63">
        <f>7.9424 * CHOOSE(CONTROL!$C$22, $C$13, 100%, $E$13)</f>
        <v>7.9424000000000001</v>
      </c>
      <c r="E518" s="64">
        <f>9.3622 * CHOOSE(CONTROL!$C$22, $C$13, 100%, $E$13)</f>
        <v>9.3621999999999996</v>
      </c>
      <c r="F518" s="64">
        <f>9.3622 * CHOOSE(CONTROL!$C$22, $C$13, 100%, $E$13)</f>
        <v>9.3621999999999996</v>
      </c>
      <c r="G518" s="64">
        <f>9.3623 * CHOOSE(CONTROL!$C$22, $C$13, 100%, $E$13)</f>
        <v>9.3622999999999994</v>
      </c>
      <c r="H518" s="64">
        <f>15.8566* CHOOSE(CONTROL!$C$22, $C$13, 100%, $E$13)</f>
        <v>15.8566</v>
      </c>
      <c r="I518" s="64">
        <f>15.8567 * CHOOSE(CONTROL!$C$22, $C$13, 100%, $E$13)</f>
        <v>15.8567</v>
      </c>
      <c r="J518" s="64">
        <f>9.3622 * CHOOSE(CONTROL!$C$22, $C$13, 100%, $E$13)</f>
        <v>9.3621999999999996</v>
      </c>
      <c r="K518" s="64">
        <f>9.3623 * CHOOSE(CONTROL!$C$22, $C$13, 100%, $E$13)</f>
        <v>9.3622999999999994</v>
      </c>
    </row>
    <row r="519" spans="1:11" ht="15">
      <c r="A519" s="13">
        <v>57285</v>
      </c>
      <c r="B519" s="63">
        <f>7.9454 * CHOOSE(CONTROL!$C$22, $C$13, 100%, $E$13)</f>
        <v>7.9454000000000002</v>
      </c>
      <c r="C519" s="63">
        <f>7.9454 * CHOOSE(CONTROL!$C$22, $C$13, 100%, $E$13)</f>
        <v>7.9454000000000002</v>
      </c>
      <c r="D519" s="63">
        <f>7.9455 * CHOOSE(CONTROL!$C$22, $C$13, 100%, $E$13)</f>
        <v>7.9455</v>
      </c>
      <c r="E519" s="64">
        <f>9.3968 * CHOOSE(CONTROL!$C$22, $C$13, 100%, $E$13)</f>
        <v>9.3968000000000007</v>
      </c>
      <c r="F519" s="64">
        <f>9.3968 * CHOOSE(CONTROL!$C$22, $C$13, 100%, $E$13)</f>
        <v>9.3968000000000007</v>
      </c>
      <c r="G519" s="64">
        <f>9.3968 * CHOOSE(CONTROL!$C$22, $C$13, 100%, $E$13)</f>
        <v>9.3968000000000007</v>
      </c>
      <c r="H519" s="64">
        <f>15.8897* CHOOSE(CONTROL!$C$22, $C$13, 100%, $E$13)</f>
        <v>15.889699999999999</v>
      </c>
      <c r="I519" s="64">
        <f>15.8897 * CHOOSE(CONTROL!$C$22, $C$13, 100%, $E$13)</f>
        <v>15.889699999999999</v>
      </c>
      <c r="J519" s="64">
        <f>9.3968 * CHOOSE(CONTROL!$C$22, $C$13, 100%, $E$13)</f>
        <v>9.3968000000000007</v>
      </c>
      <c r="K519" s="64">
        <f>9.3968 * CHOOSE(CONTROL!$C$22, $C$13, 100%, $E$13)</f>
        <v>9.3968000000000007</v>
      </c>
    </row>
    <row r="520" spans="1:11" ht="15">
      <c r="A520" s="13">
        <v>57315</v>
      </c>
      <c r="B520" s="63">
        <f>7.9454 * CHOOSE(CONTROL!$C$22, $C$13, 100%, $E$13)</f>
        <v>7.9454000000000002</v>
      </c>
      <c r="C520" s="63">
        <f>7.9454 * CHOOSE(CONTROL!$C$22, $C$13, 100%, $E$13)</f>
        <v>7.9454000000000002</v>
      </c>
      <c r="D520" s="63">
        <f>7.9455 * CHOOSE(CONTROL!$C$22, $C$13, 100%, $E$13)</f>
        <v>7.9455</v>
      </c>
      <c r="E520" s="64">
        <f>9.3157 * CHOOSE(CONTROL!$C$22, $C$13, 100%, $E$13)</f>
        <v>9.3156999999999996</v>
      </c>
      <c r="F520" s="64">
        <f>9.3157 * CHOOSE(CONTROL!$C$22, $C$13, 100%, $E$13)</f>
        <v>9.3156999999999996</v>
      </c>
      <c r="G520" s="64">
        <f>9.3158 * CHOOSE(CONTROL!$C$22, $C$13, 100%, $E$13)</f>
        <v>9.3157999999999994</v>
      </c>
      <c r="H520" s="64">
        <f>15.9228* CHOOSE(CONTROL!$C$22, $C$13, 100%, $E$13)</f>
        <v>15.922800000000001</v>
      </c>
      <c r="I520" s="64">
        <f>15.9228 * CHOOSE(CONTROL!$C$22, $C$13, 100%, $E$13)</f>
        <v>15.922800000000001</v>
      </c>
      <c r="J520" s="64">
        <f>9.3157 * CHOOSE(CONTROL!$C$22, $C$13, 100%, $E$13)</f>
        <v>9.3156999999999996</v>
      </c>
      <c r="K520" s="64">
        <f>9.3158 * CHOOSE(CONTROL!$C$22, $C$13, 100%, $E$13)</f>
        <v>9.3157999999999994</v>
      </c>
    </row>
    <row r="521" spans="1:11" ht="15">
      <c r="A521" s="13">
        <v>57346</v>
      </c>
      <c r="B521" s="63">
        <f>8.0136 * CHOOSE(CONTROL!$C$22, $C$13, 100%, $E$13)</f>
        <v>8.0136000000000003</v>
      </c>
      <c r="C521" s="63">
        <f>8.0136 * CHOOSE(CONTROL!$C$22, $C$13, 100%, $E$13)</f>
        <v>8.0136000000000003</v>
      </c>
      <c r="D521" s="63">
        <f>8.0136 * CHOOSE(CONTROL!$C$22, $C$13, 100%, $E$13)</f>
        <v>8.0136000000000003</v>
      </c>
      <c r="E521" s="64">
        <f>9.4498 * CHOOSE(CONTROL!$C$22, $C$13, 100%, $E$13)</f>
        <v>9.4497999999999998</v>
      </c>
      <c r="F521" s="64">
        <f>9.4498 * CHOOSE(CONTROL!$C$22, $C$13, 100%, $E$13)</f>
        <v>9.4497999999999998</v>
      </c>
      <c r="G521" s="64">
        <f>9.4499 * CHOOSE(CONTROL!$C$22, $C$13, 100%, $E$13)</f>
        <v>9.4498999999999995</v>
      </c>
      <c r="H521" s="64">
        <f>15.9559* CHOOSE(CONTROL!$C$22, $C$13, 100%, $E$13)</f>
        <v>15.9559</v>
      </c>
      <c r="I521" s="64">
        <f>15.956 * CHOOSE(CONTROL!$C$22, $C$13, 100%, $E$13)</f>
        <v>15.956</v>
      </c>
      <c r="J521" s="64">
        <f>9.4498 * CHOOSE(CONTROL!$C$22, $C$13, 100%, $E$13)</f>
        <v>9.4497999999999998</v>
      </c>
      <c r="K521" s="64">
        <f>9.4499 * CHOOSE(CONTROL!$C$22, $C$13, 100%, $E$13)</f>
        <v>9.4498999999999995</v>
      </c>
    </row>
    <row r="522" spans="1:11" ht="15">
      <c r="A522" s="13">
        <v>57377</v>
      </c>
      <c r="B522" s="63">
        <f>8.0106 * CHOOSE(CONTROL!$C$22, $C$13, 100%, $E$13)</f>
        <v>8.0106000000000002</v>
      </c>
      <c r="C522" s="63">
        <f>8.0106 * CHOOSE(CONTROL!$C$22, $C$13, 100%, $E$13)</f>
        <v>8.0106000000000002</v>
      </c>
      <c r="D522" s="63">
        <f>8.0106 * CHOOSE(CONTROL!$C$22, $C$13, 100%, $E$13)</f>
        <v>8.0106000000000002</v>
      </c>
      <c r="E522" s="64">
        <f>9.2901 * CHOOSE(CONTROL!$C$22, $C$13, 100%, $E$13)</f>
        <v>9.2901000000000007</v>
      </c>
      <c r="F522" s="64">
        <f>9.2901 * CHOOSE(CONTROL!$C$22, $C$13, 100%, $E$13)</f>
        <v>9.2901000000000007</v>
      </c>
      <c r="G522" s="64">
        <f>9.2902 * CHOOSE(CONTROL!$C$22, $C$13, 100%, $E$13)</f>
        <v>9.2902000000000005</v>
      </c>
      <c r="H522" s="64">
        <f>15.9892* CHOOSE(CONTROL!$C$22, $C$13, 100%, $E$13)</f>
        <v>15.9892</v>
      </c>
      <c r="I522" s="64">
        <f>15.9893 * CHOOSE(CONTROL!$C$22, $C$13, 100%, $E$13)</f>
        <v>15.9893</v>
      </c>
      <c r="J522" s="64">
        <f>9.2901 * CHOOSE(CONTROL!$C$22, $C$13, 100%, $E$13)</f>
        <v>9.2901000000000007</v>
      </c>
      <c r="K522" s="64">
        <f>9.2902 * CHOOSE(CONTROL!$C$22, $C$13, 100%, $E$13)</f>
        <v>9.2902000000000005</v>
      </c>
    </row>
    <row r="523" spans="1:11" ht="15">
      <c r="A523" s="13">
        <v>57405</v>
      </c>
      <c r="B523" s="63">
        <f>8.0075 * CHOOSE(CONTROL!$C$22, $C$13, 100%, $E$13)</f>
        <v>8.0075000000000003</v>
      </c>
      <c r="C523" s="63">
        <f>8.0075 * CHOOSE(CONTROL!$C$22, $C$13, 100%, $E$13)</f>
        <v>8.0075000000000003</v>
      </c>
      <c r="D523" s="63">
        <f>8.0076 * CHOOSE(CONTROL!$C$22, $C$13, 100%, $E$13)</f>
        <v>8.0076000000000001</v>
      </c>
      <c r="E523" s="64">
        <f>9.4122 * CHOOSE(CONTROL!$C$22, $C$13, 100%, $E$13)</f>
        <v>9.4122000000000003</v>
      </c>
      <c r="F523" s="64">
        <f>9.4122 * CHOOSE(CONTROL!$C$22, $C$13, 100%, $E$13)</f>
        <v>9.4122000000000003</v>
      </c>
      <c r="G523" s="64">
        <f>9.4123 * CHOOSE(CONTROL!$C$22, $C$13, 100%, $E$13)</f>
        <v>9.4123000000000001</v>
      </c>
      <c r="H523" s="64">
        <f>16.0225* CHOOSE(CONTROL!$C$22, $C$13, 100%, $E$13)</f>
        <v>16.022500000000001</v>
      </c>
      <c r="I523" s="64">
        <f>16.0226 * CHOOSE(CONTROL!$C$22, $C$13, 100%, $E$13)</f>
        <v>16.022600000000001</v>
      </c>
      <c r="J523" s="64">
        <f>9.4122 * CHOOSE(CONTROL!$C$22, $C$13, 100%, $E$13)</f>
        <v>9.4122000000000003</v>
      </c>
      <c r="K523" s="64">
        <f>9.4123 * CHOOSE(CONTROL!$C$22, $C$13, 100%, $E$13)</f>
        <v>9.4123000000000001</v>
      </c>
    </row>
    <row r="524" spans="1:11" ht="15">
      <c r="A524" s="13">
        <v>57436</v>
      </c>
      <c r="B524" s="63">
        <f>8.0086 * CHOOSE(CONTROL!$C$22, $C$13, 100%, $E$13)</f>
        <v>8.0085999999999995</v>
      </c>
      <c r="C524" s="63">
        <f>8.0086 * CHOOSE(CONTROL!$C$22, $C$13, 100%, $E$13)</f>
        <v>8.0085999999999995</v>
      </c>
      <c r="D524" s="63">
        <f>8.0086 * CHOOSE(CONTROL!$C$22, $C$13, 100%, $E$13)</f>
        <v>8.0085999999999995</v>
      </c>
      <c r="E524" s="64">
        <f>9.5413 * CHOOSE(CONTROL!$C$22, $C$13, 100%, $E$13)</f>
        <v>9.5412999999999997</v>
      </c>
      <c r="F524" s="64">
        <f>9.5413 * CHOOSE(CONTROL!$C$22, $C$13, 100%, $E$13)</f>
        <v>9.5412999999999997</v>
      </c>
      <c r="G524" s="64">
        <f>9.5414 * CHOOSE(CONTROL!$C$22, $C$13, 100%, $E$13)</f>
        <v>9.5413999999999994</v>
      </c>
      <c r="H524" s="64">
        <f>16.0559* CHOOSE(CONTROL!$C$22, $C$13, 100%, $E$13)</f>
        <v>16.055900000000001</v>
      </c>
      <c r="I524" s="64">
        <f>16.0559 * CHOOSE(CONTROL!$C$22, $C$13, 100%, $E$13)</f>
        <v>16.055900000000001</v>
      </c>
      <c r="J524" s="64">
        <f>9.5413 * CHOOSE(CONTROL!$C$22, $C$13, 100%, $E$13)</f>
        <v>9.5412999999999997</v>
      </c>
      <c r="K524" s="64">
        <f>9.5414 * CHOOSE(CONTROL!$C$22, $C$13, 100%, $E$13)</f>
        <v>9.5413999999999994</v>
      </c>
    </row>
    <row r="525" spans="1:11" ht="15">
      <c r="A525" s="13">
        <v>57466</v>
      </c>
      <c r="B525" s="63">
        <f>8.0086 * CHOOSE(CONTROL!$C$22, $C$13, 100%, $E$13)</f>
        <v>8.0085999999999995</v>
      </c>
      <c r="C525" s="63">
        <f>8.0086 * CHOOSE(CONTROL!$C$22, $C$13, 100%, $E$13)</f>
        <v>8.0085999999999995</v>
      </c>
      <c r="D525" s="63">
        <f>8.017 * CHOOSE(CONTROL!$C$22, $C$13, 100%, $E$13)</f>
        <v>8.0169999999999995</v>
      </c>
      <c r="E525" s="64">
        <f>9.5913 * CHOOSE(CONTROL!$C$22, $C$13, 100%, $E$13)</f>
        <v>9.5913000000000004</v>
      </c>
      <c r="F525" s="64">
        <f>9.5913 * CHOOSE(CONTROL!$C$22, $C$13, 100%, $E$13)</f>
        <v>9.5913000000000004</v>
      </c>
      <c r="G525" s="64">
        <f>9.6016 * CHOOSE(CONTROL!$C$22, $C$13, 100%, $E$13)</f>
        <v>9.6015999999999995</v>
      </c>
      <c r="H525" s="64">
        <f>16.0893* CHOOSE(CONTROL!$C$22, $C$13, 100%, $E$13)</f>
        <v>16.089300000000001</v>
      </c>
      <c r="I525" s="64">
        <f>16.0995 * CHOOSE(CONTROL!$C$22, $C$13, 100%, $E$13)</f>
        <v>16.099499999999999</v>
      </c>
      <c r="J525" s="64">
        <f>9.5913 * CHOOSE(CONTROL!$C$22, $C$13, 100%, $E$13)</f>
        <v>9.5913000000000004</v>
      </c>
      <c r="K525" s="64">
        <f>9.6016 * CHOOSE(CONTROL!$C$22, $C$13, 100%, $E$13)</f>
        <v>9.6015999999999995</v>
      </c>
    </row>
    <row r="526" spans="1:11" ht="15">
      <c r="A526" s="13">
        <v>57497</v>
      </c>
      <c r="B526" s="63">
        <f>8.0147 * CHOOSE(CONTROL!$C$22, $C$13, 100%, $E$13)</f>
        <v>8.0146999999999995</v>
      </c>
      <c r="C526" s="63">
        <f>8.0147 * CHOOSE(CONTROL!$C$22, $C$13, 100%, $E$13)</f>
        <v>8.0146999999999995</v>
      </c>
      <c r="D526" s="63">
        <f>8.0231 * CHOOSE(CONTROL!$C$22, $C$13, 100%, $E$13)</f>
        <v>8.0230999999999995</v>
      </c>
      <c r="E526" s="64">
        <f>9.5456 * CHOOSE(CONTROL!$C$22, $C$13, 100%, $E$13)</f>
        <v>9.5456000000000003</v>
      </c>
      <c r="F526" s="64">
        <f>9.5456 * CHOOSE(CONTROL!$C$22, $C$13, 100%, $E$13)</f>
        <v>9.5456000000000003</v>
      </c>
      <c r="G526" s="64">
        <f>9.5558 * CHOOSE(CONTROL!$C$22, $C$13, 100%, $E$13)</f>
        <v>9.5557999999999996</v>
      </c>
      <c r="H526" s="64">
        <f>16.1228* CHOOSE(CONTROL!$C$22, $C$13, 100%, $E$13)</f>
        <v>16.122800000000002</v>
      </c>
      <c r="I526" s="64">
        <f>16.1331 * CHOOSE(CONTROL!$C$22, $C$13, 100%, $E$13)</f>
        <v>16.133099999999999</v>
      </c>
      <c r="J526" s="64">
        <f>9.5456 * CHOOSE(CONTROL!$C$22, $C$13, 100%, $E$13)</f>
        <v>9.5456000000000003</v>
      </c>
      <c r="K526" s="64">
        <f>9.5558 * CHOOSE(CONTROL!$C$22, $C$13, 100%, $E$13)</f>
        <v>9.5557999999999996</v>
      </c>
    </row>
    <row r="527" spans="1:11" ht="15">
      <c r="A527" s="13">
        <v>57527</v>
      </c>
      <c r="B527" s="63">
        <f>8.1404 * CHOOSE(CONTROL!$C$22, $C$13, 100%, $E$13)</f>
        <v>8.1403999999999996</v>
      </c>
      <c r="C527" s="63">
        <f>8.1404 * CHOOSE(CONTROL!$C$22, $C$13, 100%, $E$13)</f>
        <v>8.1403999999999996</v>
      </c>
      <c r="D527" s="63">
        <f>8.1489 * CHOOSE(CONTROL!$C$22, $C$13, 100%, $E$13)</f>
        <v>8.1488999999999994</v>
      </c>
      <c r="E527" s="64">
        <f>9.7022 * CHOOSE(CONTROL!$C$22, $C$13, 100%, $E$13)</f>
        <v>9.7021999999999995</v>
      </c>
      <c r="F527" s="64">
        <f>9.7022 * CHOOSE(CONTROL!$C$22, $C$13, 100%, $E$13)</f>
        <v>9.7021999999999995</v>
      </c>
      <c r="G527" s="64">
        <f>9.7124 * CHOOSE(CONTROL!$C$22, $C$13, 100%, $E$13)</f>
        <v>9.7124000000000006</v>
      </c>
      <c r="H527" s="64">
        <f>16.1564* CHOOSE(CONTROL!$C$22, $C$13, 100%, $E$13)</f>
        <v>16.156400000000001</v>
      </c>
      <c r="I527" s="64">
        <f>16.1666 * CHOOSE(CONTROL!$C$22, $C$13, 100%, $E$13)</f>
        <v>16.166599999999999</v>
      </c>
      <c r="J527" s="64">
        <f>9.7022 * CHOOSE(CONTROL!$C$22, $C$13, 100%, $E$13)</f>
        <v>9.7021999999999995</v>
      </c>
      <c r="K527" s="64">
        <f>9.7124 * CHOOSE(CONTROL!$C$22, $C$13, 100%, $E$13)</f>
        <v>9.7124000000000006</v>
      </c>
    </row>
    <row r="528" spans="1:11" ht="15">
      <c r="A528" s="13">
        <v>57558</v>
      </c>
      <c r="B528" s="63">
        <f>8.1471 * CHOOSE(CONTROL!$C$22, $C$13, 100%, $E$13)</f>
        <v>8.1471</v>
      </c>
      <c r="C528" s="63">
        <f>8.1471 * CHOOSE(CONTROL!$C$22, $C$13, 100%, $E$13)</f>
        <v>8.1471</v>
      </c>
      <c r="D528" s="63">
        <f>8.1555 * CHOOSE(CONTROL!$C$22, $C$13, 100%, $E$13)</f>
        <v>8.1555</v>
      </c>
      <c r="E528" s="64">
        <f>9.5568 * CHOOSE(CONTROL!$C$22, $C$13, 100%, $E$13)</f>
        <v>9.5568000000000008</v>
      </c>
      <c r="F528" s="64">
        <f>9.5568 * CHOOSE(CONTROL!$C$22, $C$13, 100%, $E$13)</f>
        <v>9.5568000000000008</v>
      </c>
      <c r="G528" s="64">
        <f>9.567 * CHOOSE(CONTROL!$C$22, $C$13, 100%, $E$13)</f>
        <v>9.5670000000000002</v>
      </c>
      <c r="H528" s="64">
        <f>16.1901* CHOOSE(CONTROL!$C$22, $C$13, 100%, $E$13)</f>
        <v>16.190100000000001</v>
      </c>
      <c r="I528" s="64">
        <f>16.2003 * CHOOSE(CONTROL!$C$22, $C$13, 100%, $E$13)</f>
        <v>16.200299999999999</v>
      </c>
      <c r="J528" s="64">
        <f>9.5568 * CHOOSE(CONTROL!$C$22, $C$13, 100%, $E$13)</f>
        <v>9.5568000000000008</v>
      </c>
      <c r="K528" s="64">
        <f>9.567 * CHOOSE(CONTROL!$C$22, $C$13, 100%, $E$13)</f>
        <v>9.5670000000000002</v>
      </c>
    </row>
    <row r="529" spans="1:11" ht="15">
      <c r="A529" s="13">
        <v>57589</v>
      </c>
      <c r="B529" s="63">
        <f>8.1441 * CHOOSE(CONTROL!$C$22, $C$13, 100%, $E$13)</f>
        <v>8.1440999999999999</v>
      </c>
      <c r="C529" s="63">
        <f>8.1441 * CHOOSE(CONTROL!$C$22, $C$13, 100%, $E$13)</f>
        <v>8.1440999999999999</v>
      </c>
      <c r="D529" s="63">
        <f>8.1525 * CHOOSE(CONTROL!$C$22, $C$13, 100%, $E$13)</f>
        <v>8.1524999999999999</v>
      </c>
      <c r="E529" s="64">
        <f>9.538 * CHOOSE(CONTROL!$C$22, $C$13, 100%, $E$13)</f>
        <v>9.5380000000000003</v>
      </c>
      <c r="F529" s="64">
        <f>9.538 * CHOOSE(CONTROL!$C$22, $C$13, 100%, $E$13)</f>
        <v>9.5380000000000003</v>
      </c>
      <c r="G529" s="64">
        <f>9.5482 * CHOOSE(CONTROL!$C$22, $C$13, 100%, $E$13)</f>
        <v>9.5481999999999996</v>
      </c>
      <c r="H529" s="64">
        <f>16.2238* CHOOSE(CONTROL!$C$22, $C$13, 100%, $E$13)</f>
        <v>16.223800000000001</v>
      </c>
      <c r="I529" s="64">
        <f>16.234 * CHOOSE(CONTROL!$C$22, $C$13, 100%, $E$13)</f>
        <v>16.234000000000002</v>
      </c>
      <c r="J529" s="64">
        <f>9.538 * CHOOSE(CONTROL!$C$22, $C$13, 100%, $E$13)</f>
        <v>9.5380000000000003</v>
      </c>
      <c r="K529" s="64">
        <f>9.5482 * CHOOSE(CONTROL!$C$22, $C$13, 100%, $E$13)</f>
        <v>9.5481999999999996</v>
      </c>
    </row>
    <row r="530" spans="1:11" ht="15">
      <c r="A530" s="13">
        <v>57619</v>
      </c>
      <c r="B530" s="63">
        <f>8.1527 * CHOOSE(CONTROL!$C$22, $C$13, 100%, $E$13)</f>
        <v>8.1526999999999994</v>
      </c>
      <c r="C530" s="63">
        <f>8.1527 * CHOOSE(CONTROL!$C$22, $C$13, 100%, $E$13)</f>
        <v>8.1526999999999994</v>
      </c>
      <c r="D530" s="63">
        <f>8.1527 * CHOOSE(CONTROL!$C$22, $C$13, 100%, $E$13)</f>
        <v>8.1526999999999994</v>
      </c>
      <c r="E530" s="64">
        <f>9.5913 * CHOOSE(CONTROL!$C$22, $C$13, 100%, $E$13)</f>
        <v>9.5913000000000004</v>
      </c>
      <c r="F530" s="64">
        <f>9.5913 * CHOOSE(CONTROL!$C$22, $C$13, 100%, $E$13)</f>
        <v>9.5913000000000004</v>
      </c>
      <c r="G530" s="64">
        <f>9.5914 * CHOOSE(CONTROL!$C$22, $C$13, 100%, $E$13)</f>
        <v>9.5914000000000001</v>
      </c>
      <c r="H530" s="64">
        <f>16.2576* CHOOSE(CONTROL!$C$22, $C$13, 100%, $E$13)</f>
        <v>16.2576</v>
      </c>
      <c r="I530" s="64">
        <f>16.2577 * CHOOSE(CONTROL!$C$22, $C$13, 100%, $E$13)</f>
        <v>16.2577</v>
      </c>
      <c r="J530" s="64">
        <f>9.5913 * CHOOSE(CONTROL!$C$22, $C$13, 100%, $E$13)</f>
        <v>9.5913000000000004</v>
      </c>
      <c r="K530" s="64">
        <f>9.5914 * CHOOSE(CONTROL!$C$22, $C$13, 100%, $E$13)</f>
        <v>9.5914000000000001</v>
      </c>
    </row>
    <row r="531" spans="1:11" ht="15">
      <c r="A531" s="13">
        <v>57650</v>
      </c>
      <c r="B531" s="63">
        <f>8.1558 * CHOOSE(CONTROL!$C$22, $C$13, 100%, $E$13)</f>
        <v>8.1557999999999993</v>
      </c>
      <c r="C531" s="63">
        <f>8.1558 * CHOOSE(CONTROL!$C$22, $C$13, 100%, $E$13)</f>
        <v>8.1557999999999993</v>
      </c>
      <c r="D531" s="63">
        <f>8.1558 * CHOOSE(CONTROL!$C$22, $C$13, 100%, $E$13)</f>
        <v>8.1557999999999993</v>
      </c>
      <c r="E531" s="64">
        <f>9.6267 * CHOOSE(CONTROL!$C$22, $C$13, 100%, $E$13)</f>
        <v>9.6266999999999996</v>
      </c>
      <c r="F531" s="64">
        <f>9.6267 * CHOOSE(CONTROL!$C$22, $C$13, 100%, $E$13)</f>
        <v>9.6266999999999996</v>
      </c>
      <c r="G531" s="64">
        <f>9.6268 * CHOOSE(CONTROL!$C$22, $C$13, 100%, $E$13)</f>
        <v>9.6267999999999994</v>
      </c>
      <c r="H531" s="64">
        <f>16.2915* CHOOSE(CONTROL!$C$22, $C$13, 100%, $E$13)</f>
        <v>16.291499999999999</v>
      </c>
      <c r="I531" s="64">
        <f>16.2916 * CHOOSE(CONTROL!$C$22, $C$13, 100%, $E$13)</f>
        <v>16.291599999999999</v>
      </c>
      <c r="J531" s="64">
        <f>9.6267 * CHOOSE(CONTROL!$C$22, $C$13, 100%, $E$13)</f>
        <v>9.6266999999999996</v>
      </c>
      <c r="K531" s="64">
        <f>9.6268 * CHOOSE(CONTROL!$C$22, $C$13, 100%, $E$13)</f>
        <v>9.6267999999999994</v>
      </c>
    </row>
    <row r="532" spans="1:11" ht="15">
      <c r="A532" s="13">
        <v>57680</v>
      </c>
      <c r="B532" s="63">
        <f>8.1558 * CHOOSE(CONTROL!$C$22, $C$13, 100%, $E$13)</f>
        <v>8.1557999999999993</v>
      </c>
      <c r="C532" s="63">
        <f>8.1558 * CHOOSE(CONTROL!$C$22, $C$13, 100%, $E$13)</f>
        <v>8.1557999999999993</v>
      </c>
      <c r="D532" s="63">
        <f>8.1558 * CHOOSE(CONTROL!$C$22, $C$13, 100%, $E$13)</f>
        <v>8.1557999999999993</v>
      </c>
      <c r="E532" s="64">
        <f>9.5434 * CHOOSE(CONTROL!$C$22, $C$13, 100%, $E$13)</f>
        <v>9.5434000000000001</v>
      </c>
      <c r="F532" s="64">
        <f>9.5434 * CHOOSE(CONTROL!$C$22, $C$13, 100%, $E$13)</f>
        <v>9.5434000000000001</v>
      </c>
      <c r="G532" s="64">
        <f>9.5435 * CHOOSE(CONTROL!$C$22, $C$13, 100%, $E$13)</f>
        <v>9.5434999999999999</v>
      </c>
      <c r="H532" s="64">
        <f>16.3254* CHOOSE(CONTROL!$C$22, $C$13, 100%, $E$13)</f>
        <v>16.325399999999998</v>
      </c>
      <c r="I532" s="64">
        <f>16.3255 * CHOOSE(CONTROL!$C$22, $C$13, 100%, $E$13)</f>
        <v>16.325500000000002</v>
      </c>
      <c r="J532" s="64">
        <f>9.5434 * CHOOSE(CONTROL!$C$22, $C$13, 100%, $E$13)</f>
        <v>9.5434000000000001</v>
      </c>
      <c r="K532" s="64">
        <f>9.5435 * CHOOSE(CONTROL!$C$22, $C$13, 100%, $E$13)</f>
        <v>9.5434999999999999</v>
      </c>
    </row>
    <row r="533" spans="1:11" ht="15">
      <c r="A533" s="13">
        <v>57711</v>
      </c>
      <c r="B533" s="63">
        <f>8.2256 * CHOOSE(CONTROL!$C$22, $C$13, 100%, $E$13)</f>
        <v>8.2256</v>
      </c>
      <c r="C533" s="63">
        <f>8.2256 * CHOOSE(CONTROL!$C$22, $C$13, 100%, $E$13)</f>
        <v>8.2256</v>
      </c>
      <c r="D533" s="63">
        <f>8.2256 * CHOOSE(CONTROL!$C$22, $C$13, 100%, $E$13)</f>
        <v>8.2256</v>
      </c>
      <c r="E533" s="64">
        <f>9.6809 * CHOOSE(CONTROL!$C$22, $C$13, 100%, $E$13)</f>
        <v>9.6808999999999994</v>
      </c>
      <c r="F533" s="64">
        <f>9.6809 * CHOOSE(CONTROL!$C$22, $C$13, 100%, $E$13)</f>
        <v>9.6808999999999994</v>
      </c>
      <c r="G533" s="64">
        <f>9.681 * CHOOSE(CONTROL!$C$22, $C$13, 100%, $E$13)</f>
        <v>9.6809999999999992</v>
      </c>
      <c r="H533" s="64">
        <f>16.3594* CHOOSE(CONTROL!$C$22, $C$13, 100%, $E$13)</f>
        <v>16.359400000000001</v>
      </c>
      <c r="I533" s="64">
        <f>16.3595 * CHOOSE(CONTROL!$C$22, $C$13, 100%, $E$13)</f>
        <v>16.359500000000001</v>
      </c>
      <c r="J533" s="64">
        <f>9.6809 * CHOOSE(CONTROL!$C$22, $C$13, 100%, $E$13)</f>
        <v>9.6808999999999994</v>
      </c>
      <c r="K533" s="64">
        <f>9.681 * CHOOSE(CONTROL!$C$22, $C$13, 100%, $E$13)</f>
        <v>9.6809999999999992</v>
      </c>
    </row>
    <row r="534" spans="1:11" ht="15">
      <c r="A534" s="13">
        <v>57742</v>
      </c>
      <c r="B534" s="63">
        <f>8.2226 * CHOOSE(CONTROL!$C$22, $C$13, 100%, $E$13)</f>
        <v>8.2225999999999999</v>
      </c>
      <c r="C534" s="63">
        <f>8.2226 * CHOOSE(CONTROL!$C$22, $C$13, 100%, $E$13)</f>
        <v>8.2225999999999999</v>
      </c>
      <c r="D534" s="63">
        <f>8.2226 * CHOOSE(CONTROL!$C$22, $C$13, 100%, $E$13)</f>
        <v>8.2225999999999999</v>
      </c>
      <c r="E534" s="64">
        <f>9.5169 * CHOOSE(CONTROL!$C$22, $C$13, 100%, $E$13)</f>
        <v>9.5168999999999997</v>
      </c>
      <c r="F534" s="64">
        <f>9.5169 * CHOOSE(CONTROL!$C$22, $C$13, 100%, $E$13)</f>
        <v>9.5168999999999997</v>
      </c>
      <c r="G534" s="64">
        <f>9.517 * CHOOSE(CONTROL!$C$22, $C$13, 100%, $E$13)</f>
        <v>9.5169999999999995</v>
      </c>
      <c r="H534" s="64">
        <f>16.3935* CHOOSE(CONTROL!$C$22, $C$13, 100%, $E$13)</f>
        <v>16.3935</v>
      </c>
      <c r="I534" s="64">
        <f>16.3936 * CHOOSE(CONTROL!$C$22, $C$13, 100%, $E$13)</f>
        <v>16.393599999999999</v>
      </c>
      <c r="J534" s="64">
        <f>9.5169 * CHOOSE(CONTROL!$C$22, $C$13, 100%, $E$13)</f>
        <v>9.5168999999999997</v>
      </c>
      <c r="K534" s="64">
        <f>9.517 * CHOOSE(CONTROL!$C$22, $C$13, 100%, $E$13)</f>
        <v>9.5169999999999995</v>
      </c>
    </row>
    <row r="535" spans="1:11" ht="15">
      <c r="A535" s="13">
        <v>57770</v>
      </c>
      <c r="B535" s="63">
        <f>8.2195 * CHOOSE(CONTROL!$C$22, $C$13, 100%, $E$13)</f>
        <v>8.2195</v>
      </c>
      <c r="C535" s="63">
        <f>8.2195 * CHOOSE(CONTROL!$C$22, $C$13, 100%, $E$13)</f>
        <v>8.2195</v>
      </c>
      <c r="D535" s="63">
        <f>8.2195 * CHOOSE(CONTROL!$C$22, $C$13, 100%, $E$13)</f>
        <v>8.2195</v>
      </c>
      <c r="E535" s="64">
        <f>9.6424 * CHOOSE(CONTROL!$C$22, $C$13, 100%, $E$13)</f>
        <v>9.6424000000000003</v>
      </c>
      <c r="F535" s="64">
        <f>9.6424 * CHOOSE(CONTROL!$C$22, $C$13, 100%, $E$13)</f>
        <v>9.6424000000000003</v>
      </c>
      <c r="G535" s="64">
        <f>9.6425 * CHOOSE(CONTROL!$C$22, $C$13, 100%, $E$13)</f>
        <v>9.6425000000000001</v>
      </c>
      <c r="H535" s="64">
        <f>16.4277* CHOOSE(CONTROL!$C$22, $C$13, 100%, $E$13)</f>
        <v>16.427700000000002</v>
      </c>
      <c r="I535" s="64">
        <f>16.4277 * CHOOSE(CONTROL!$C$22, $C$13, 100%, $E$13)</f>
        <v>16.427700000000002</v>
      </c>
      <c r="J535" s="64">
        <f>9.6424 * CHOOSE(CONTROL!$C$22, $C$13, 100%, $E$13)</f>
        <v>9.6424000000000003</v>
      </c>
      <c r="K535" s="64">
        <f>9.6425 * CHOOSE(CONTROL!$C$22, $C$13, 100%, $E$13)</f>
        <v>9.6425000000000001</v>
      </c>
    </row>
    <row r="536" spans="1:11" ht="15">
      <c r="A536" s="13">
        <v>57801</v>
      </c>
      <c r="B536" s="63">
        <f>8.2208 * CHOOSE(CONTROL!$C$22, $C$13, 100%, $E$13)</f>
        <v>8.2208000000000006</v>
      </c>
      <c r="C536" s="63">
        <f>8.2208 * CHOOSE(CONTROL!$C$22, $C$13, 100%, $E$13)</f>
        <v>8.2208000000000006</v>
      </c>
      <c r="D536" s="63">
        <f>8.2208 * CHOOSE(CONTROL!$C$22, $C$13, 100%, $E$13)</f>
        <v>8.2208000000000006</v>
      </c>
      <c r="E536" s="64">
        <f>9.7753 * CHOOSE(CONTROL!$C$22, $C$13, 100%, $E$13)</f>
        <v>9.7752999999999997</v>
      </c>
      <c r="F536" s="64">
        <f>9.7753 * CHOOSE(CONTROL!$C$22, $C$13, 100%, $E$13)</f>
        <v>9.7752999999999997</v>
      </c>
      <c r="G536" s="64">
        <f>9.7754 * CHOOSE(CONTROL!$C$22, $C$13, 100%, $E$13)</f>
        <v>9.7753999999999994</v>
      </c>
      <c r="H536" s="64">
        <f>16.4619* CHOOSE(CONTROL!$C$22, $C$13, 100%, $E$13)</f>
        <v>16.4619</v>
      </c>
      <c r="I536" s="64">
        <f>16.462 * CHOOSE(CONTROL!$C$22, $C$13, 100%, $E$13)</f>
        <v>16.462</v>
      </c>
      <c r="J536" s="64">
        <f>9.7753 * CHOOSE(CONTROL!$C$22, $C$13, 100%, $E$13)</f>
        <v>9.7752999999999997</v>
      </c>
      <c r="K536" s="64">
        <f>9.7754 * CHOOSE(CONTROL!$C$22, $C$13, 100%, $E$13)</f>
        <v>9.7753999999999994</v>
      </c>
    </row>
    <row r="537" spans="1:11" ht="15">
      <c r="A537" s="13">
        <v>57831</v>
      </c>
      <c r="B537" s="63">
        <f>8.2208 * CHOOSE(CONTROL!$C$22, $C$13, 100%, $E$13)</f>
        <v>8.2208000000000006</v>
      </c>
      <c r="C537" s="63">
        <f>8.2208 * CHOOSE(CONTROL!$C$22, $C$13, 100%, $E$13)</f>
        <v>8.2208000000000006</v>
      </c>
      <c r="D537" s="63">
        <f>8.2292 * CHOOSE(CONTROL!$C$22, $C$13, 100%, $E$13)</f>
        <v>8.2292000000000005</v>
      </c>
      <c r="E537" s="64">
        <f>9.8267 * CHOOSE(CONTROL!$C$22, $C$13, 100%, $E$13)</f>
        <v>9.8267000000000007</v>
      </c>
      <c r="F537" s="64">
        <f>9.8267 * CHOOSE(CONTROL!$C$22, $C$13, 100%, $E$13)</f>
        <v>9.8267000000000007</v>
      </c>
      <c r="G537" s="64">
        <f>9.8369 * CHOOSE(CONTROL!$C$22, $C$13, 100%, $E$13)</f>
        <v>9.8369</v>
      </c>
      <c r="H537" s="64">
        <f>16.4962* CHOOSE(CONTROL!$C$22, $C$13, 100%, $E$13)</f>
        <v>16.496200000000002</v>
      </c>
      <c r="I537" s="64">
        <f>16.5064 * CHOOSE(CONTROL!$C$22, $C$13, 100%, $E$13)</f>
        <v>16.506399999999999</v>
      </c>
      <c r="J537" s="64">
        <f>9.8267 * CHOOSE(CONTROL!$C$22, $C$13, 100%, $E$13)</f>
        <v>9.8267000000000007</v>
      </c>
      <c r="K537" s="64">
        <f>9.8369 * CHOOSE(CONTROL!$C$22, $C$13, 100%, $E$13)</f>
        <v>9.8369</v>
      </c>
    </row>
    <row r="538" spans="1:11" ht="15">
      <c r="A538" s="13">
        <v>57862</v>
      </c>
      <c r="B538" s="63">
        <f>8.2269 * CHOOSE(CONTROL!$C$22, $C$13, 100%, $E$13)</f>
        <v>8.2269000000000005</v>
      </c>
      <c r="C538" s="63">
        <f>8.2269 * CHOOSE(CONTROL!$C$22, $C$13, 100%, $E$13)</f>
        <v>8.2269000000000005</v>
      </c>
      <c r="D538" s="63">
        <f>8.2353 * CHOOSE(CONTROL!$C$22, $C$13, 100%, $E$13)</f>
        <v>8.2353000000000005</v>
      </c>
      <c r="E538" s="64">
        <f>9.7795 * CHOOSE(CONTROL!$C$22, $C$13, 100%, $E$13)</f>
        <v>9.7795000000000005</v>
      </c>
      <c r="F538" s="64">
        <f>9.7795 * CHOOSE(CONTROL!$C$22, $C$13, 100%, $E$13)</f>
        <v>9.7795000000000005</v>
      </c>
      <c r="G538" s="64">
        <f>9.7897 * CHOOSE(CONTROL!$C$22, $C$13, 100%, $E$13)</f>
        <v>9.7896999999999998</v>
      </c>
      <c r="H538" s="64">
        <f>16.5306* CHOOSE(CONTROL!$C$22, $C$13, 100%, $E$13)</f>
        <v>16.5306</v>
      </c>
      <c r="I538" s="64">
        <f>16.5408 * CHOOSE(CONTROL!$C$22, $C$13, 100%, $E$13)</f>
        <v>16.540800000000001</v>
      </c>
      <c r="J538" s="64">
        <f>9.7795 * CHOOSE(CONTROL!$C$22, $C$13, 100%, $E$13)</f>
        <v>9.7795000000000005</v>
      </c>
      <c r="K538" s="64">
        <f>9.7897 * CHOOSE(CONTROL!$C$22, $C$13, 100%, $E$13)</f>
        <v>9.7896999999999998</v>
      </c>
    </row>
    <row r="539" spans="1:11" ht="15">
      <c r="A539" s="13">
        <v>57892</v>
      </c>
      <c r="B539" s="63">
        <f>8.3557 * CHOOSE(CONTROL!$C$22, $C$13, 100%, $E$13)</f>
        <v>8.3557000000000006</v>
      </c>
      <c r="C539" s="63">
        <f>8.3557 * CHOOSE(CONTROL!$C$22, $C$13, 100%, $E$13)</f>
        <v>8.3557000000000006</v>
      </c>
      <c r="D539" s="63">
        <f>8.3641 * CHOOSE(CONTROL!$C$22, $C$13, 100%, $E$13)</f>
        <v>8.3641000000000005</v>
      </c>
      <c r="E539" s="64">
        <f>9.9397 * CHOOSE(CONTROL!$C$22, $C$13, 100%, $E$13)</f>
        <v>9.9397000000000002</v>
      </c>
      <c r="F539" s="64">
        <f>9.9397 * CHOOSE(CONTROL!$C$22, $C$13, 100%, $E$13)</f>
        <v>9.9397000000000002</v>
      </c>
      <c r="G539" s="64">
        <f>9.9499 * CHOOSE(CONTROL!$C$22, $C$13, 100%, $E$13)</f>
        <v>9.9498999999999995</v>
      </c>
      <c r="H539" s="64">
        <f>16.565* CHOOSE(CONTROL!$C$22, $C$13, 100%, $E$13)</f>
        <v>16.565000000000001</v>
      </c>
      <c r="I539" s="64">
        <f>16.5752 * CHOOSE(CONTROL!$C$22, $C$13, 100%, $E$13)</f>
        <v>16.575199999999999</v>
      </c>
      <c r="J539" s="64">
        <f>9.9397 * CHOOSE(CONTROL!$C$22, $C$13, 100%, $E$13)</f>
        <v>9.9397000000000002</v>
      </c>
      <c r="K539" s="64">
        <f>9.9499 * CHOOSE(CONTROL!$C$22, $C$13, 100%, $E$13)</f>
        <v>9.9498999999999995</v>
      </c>
    </row>
    <row r="540" spans="1:11" ht="15">
      <c r="A540" s="13">
        <v>57923</v>
      </c>
      <c r="B540" s="63">
        <f>8.3623 * CHOOSE(CONTROL!$C$22, $C$13, 100%, $E$13)</f>
        <v>8.3622999999999994</v>
      </c>
      <c r="C540" s="63">
        <f>8.3623 * CHOOSE(CONTROL!$C$22, $C$13, 100%, $E$13)</f>
        <v>8.3622999999999994</v>
      </c>
      <c r="D540" s="63">
        <f>8.3708 * CHOOSE(CONTROL!$C$22, $C$13, 100%, $E$13)</f>
        <v>8.3707999999999991</v>
      </c>
      <c r="E540" s="64">
        <f>9.7901 * CHOOSE(CONTROL!$C$22, $C$13, 100%, $E$13)</f>
        <v>9.7901000000000007</v>
      </c>
      <c r="F540" s="64">
        <f>9.7901 * CHOOSE(CONTROL!$C$22, $C$13, 100%, $E$13)</f>
        <v>9.7901000000000007</v>
      </c>
      <c r="G540" s="64">
        <f>9.8003 * CHOOSE(CONTROL!$C$22, $C$13, 100%, $E$13)</f>
        <v>9.8003</v>
      </c>
      <c r="H540" s="64">
        <f>16.5995* CHOOSE(CONTROL!$C$22, $C$13, 100%, $E$13)</f>
        <v>16.599499999999999</v>
      </c>
      <c r="I540" s="64">
        <f>16.6097 * CHOOSE(CONTROL!$C$22, $C$13, 100%, $E$13)</f>
        <v>16.6097</v>
      </c>
      <c r="J540" s="64">
        <f>9.7901 * CHOOSE(CONTROL!$C$22, $C$13, 100%, $E$13)</f>
        <v>9.7901000000000007</v>
      </c>
      <c r="K540" s="64">
        <f>9.8003 * CHOOSE(CONTROL!$C$22, $C$13, 100%, $E$13)</f>
        <v>9.8003</v>
      </c>
    </row>
    <row r="541" spans="1:11" ht="15">
      <c r="A541" s="13">
        <v>57954</v>
      </c>
      <c r="B541" s="63">
        <f>8.3593 * CHOOSE(CONTROL!$C$22, $C$13, 100%, $E$13)</f>
        <v>8.3592999999999993</v>
      </c>
      <c r="C541" s="63">
        <f>8.3593 * CHOOSE(CONTROL!$C$22, $C$13, 100%, $E$13)</f>
        <v>8.3592999999999993</v>
      </c>
      <c r="D541" s="63">
        <f>8.3677 * CHOOSE(CONTROL!$C$22, $C$13, 100%, $E$13)</f>
        <v>8.3676999999999992</v>
      </c>
      <c r="E541" s="64">
        <f>9.7709 * CHOOSE(CONTROL!$C$22, $C$13, 100%, $E$13)</f>
        <v>9.7708999999999993</v>
      </c>
      <c r="F541" s="64">
        <f>9.7709 * CHOOSE(CONTROL!$C$22, $C$13, 100%, $E$13)</f>
        <v>9.7708999999999993</v>
      </c>
      <c r="G541" s="64">
        <f>9.7811 * CHOOSE(CONTROL!$C$22, $C$13, 100%, $E$13)</f>
        <v>9.7811000000000003</v>
      </c>
      <c r="H541" s="64">
        <f>16.6341* CHOOSE(CONTROL!$C$22, $C$13, 100%, $E$13)</f>
        <v>16.6341</v>
      </c>
      <c r="I541" s="64">
        <f>16.6443 * CHOOSE(CONTROL!$C$22, $C$13, 100%, $E$13)</f>
        <v>16.644300000000001</v>
      </c>
      <c r="J541" s="64">
        <f>9.7709 * CHOOSE(CONTROL!$C$22, $C$13, 100%, $E$13)</f>
        <v>9.7708999999999993</v>
      </c>
      <c r="K541" s="64">
        <f>9.7811 * CHOOSE(CONTROL!$C$22, $C$13, 100%, $E$13)</f>
        <v>9.7811000000000003</v>
      </c>
    </row>
    <row r="542" spans="1:11" ht="15">
      <c r="A542" s="13">
        <v>57984</v>
      </c>
      <c r="B542" s="63">
        <f>8.3686 * CHOOSE(CONTROL!$C$22, $C$13, 100%, $E$13)</f>
        <v>8.3686000000000007</v>
      </c>
      <c r="C542" s="63">
        <f>8.3686 * CHOOSE(CONTROL!$C$22, $C$13, 100%, $E$13)</f>
        <v>8.3686000000000007</v>
      </c>
      <c r="D542" s="63">
        <f>8.3686 * CHOOSE(CONTROL!$C$22, $C$13, 100%, $E$13)</f>
        <v>8.3686000000000007</v>
      </c>
      <c r="E542" s="64">
        <f>9.826 * CHOOSE(CONTROL!$C$22, $C$13, 100%, $E$13)</f>
        <v>9.8260000000000005</v>
      </c>
      <c r="F542" s="64">
        <f>9.826 * CHOOSE(CONTROL!$C$22, $C$13, 100%, $E$13)</f>
        <v>9.8260000000000005</v>
      </c>
      <c r="G542" s="64">
        <f>9.8261 * CHOOSE(CONTROL!$C$22, $C$13, 100%, $E$13)</f>
        <v>9.8261000000000003</v>
      </c>
      <c r="H542" s="64">
        <f>16.6687* CHOOSE(CONTROL!$C$22, $C$13, 100%, $E$13)</f>
        <v>16.668700000000001</v>
      </c>
      <c r="I542" s="64">
        <f>16.6688 * CHOOSE(CONTROL!$C$22, $C$13, 100%, $E$13)</f>
        <v>16.668800000000001</v>
      </c>
      <c r="J542" s="64">
        <f>9.826 * CHOOSE(CONTROL!$C$22, $C$13, 100%, $E$13)</f>
        <v>9.8260000000000005</v>
      </c>
      <c r="K542" s="64">
        <f>9.8261 * CHOOSE(CONTROL!$C$22, $C$13, 100%, $E$13)</f>
        <v>9.8261000000000003</v>
      </c>
    </row>
    <row r="543" spans="1:11" ht="15">
      <c r="A543" s="13">
        <v>58015</v>
      </c>
      <c r="B543" s="63">
        <f>8.3717 * CHOOSE(CONTROL!$C$22, $C$13, 100%, $E$13)</f>
        <v>8.3717000000000006</v>
      </c>
      <c r="C543" s="63">
        <f>8.3717 * CHOOSE(CONTROL!$C$22, $C$13, 100%, $E$13)</f>
        <v>8.3717000000000006</v>
      </c>
      <c r="D543" s="63">
        <f>8.3717 * CHOOSE(CONTROL!$C$22, $C$13, 100%, $E$13)</f>
        <v>8.3717000000000006</v>
      </c>
      <c r="E543" s="64">
        <f>9.8624 * CHOOSE(CONTROL!$C$22, $C$13, 100%, $E$13)</f>
        <v>9.8623999999999992</v>
      </c>
      <c r="F543" s="64">
        <f>9.8624 * CHOOSE(CONTROL!$C$22, $C$13, 100%, $E$13)</f>
        <v>9.8623999999999992</v>
      </c>
      <c r="G543" s="64">
        <f>9.8625 * CHOOSE(CONTROL!$C$22, $C$13, 100%, $E$13)</f>
        <v>9.8625000000000007</v>
      </c>
      <c r="H543" s="64">
        <f>16.7035* CHOOSE(CONTROL!$C$22, $C$13, 100%, $E$13)</f>
        <v>16.703499999999998</v>
      </c>
      <c r="I543" s="64">
        <f>16.7035 * CHOOSE(CONTROL!$C$22, $C$13, 100%, $E$13)</f>
        <v>16.703499999999998</v>
      </c>
      <c r="J543" s="64">
        <f>9.8624 * CHOOSE(CONTROL!$C$22, $C$13, 100%, $E$13)</f>
        <v>9.8623999999999992</v>
      </c>
      <c r="K543" s="64">
        <f>9.8625 * CHOOSE(CONTROL!$C$22, $C$13, 100%, $E$13)</f>
        <v>9.8625000000000007</v>
      </c>
    </row>
    <row r="544" spans="1:11" ht="15">
      <c r="A544" s="13">
        <v>58045</v>
      </c>
      <c r="B544" s="63">
        <f>8.3717 * CHOOSE(CONTROL!$C$22, $C$13, 100%, $E$13)</f>
        <v>8.3717000000000006</v>
      </c>
      <c r="C544" s="63">
        <f>8.3717 * CHOOSE(CONTROL!$C$22, $C$13, 100%, $E$13)</f>
        <v>8.3717000000000006</v>
      </c>
      <c r="D544" s="63">
        <f>8.3717 * CHOOSE(CONTROL!$C$22, $C$13, 100%, $E$13)</f>
        <v>8.3717000000000006</v>
      </c>
      <c r="E544" s="64">
        <f>9.7767 * CHOOSE(CONTROL!$C$22, $C$13, 100%, $E$13)</f>
        <v>9.7766999999999999</v>
      </c>
      <c r="F544" s="64">
        <f>9.7767 * CHOOSE(CONTROL!$C$22, $C$13, 100%, $E$13)</f>
        <v>9.7766999999999999</v>
      </c>
      <c r="G544" s="64">
        <f>9.7768 * CHOOSE(CONTROL!$C$22, $C$13, 100%, $E$13)</f>
        <v>9.7767999999999997</v>
      </c>
      <c r="H544" s="64">
        <f>16.7383* CHOOSE(CONTROL!$C$22, $C$13, 100%, $E$13)</f>
        <v>16.738299999999999</v>
      </c>
      <c r="I544" s="64">
        <f>16.7383 * CHOOSE(CONTROL!$C$22, $C$13, 100%, $E$13)</f>
        <v>16.738299999999999</v>
      </c>
      <c r="J544" s="64">
        <f>9.7767 * CHOOSE(CONTROL!$C$22, $C$13, 100%, $E$13)</f>
        <v>9.7766999999999999</v>
      </c>
      <c r="K544" s="64">
        <f>9.7768 * CHOOSE(CONTROL!$C$22, $C$13, 100%, $E$13)</f>
        <v>9.7767999999999997</v>
      </c>
    </row>
    <row r="545" spans="1:11" ht="15">
      <c r="A545" s="13">
        <v>58076</v>
      </c>
      <c r="B545" s="63">
        <f>8.4433 * CHOOSE(CONTROL!$C$22, $C$13, 100%, $E$13)</f>
        <v>8.4433000000000007</v>
      </c>
      <c r="C545" s="63">
        <f>8.4433 * CHOOSE(CONTROL!$C$22, $C$13, 100%, $E$13)</f>
        <v>8.4433000000000007</v>
      </c>
      <c r="D545" s="63">
        <f>8.4433 * CHOOSE(CONTROL!$C$22, $C$13, 100%, $E$13)</f>
        <v>8.4433000000000007</v>
      </c>
      <c r="E545" s="64">
        <f>9.9178 * CHOOSE(CONTROL!$C$22, $C$13, 100%, $E$13)</f>
        <v>9.9177999999999997</v>
      </c>
      <c r="F545" s="64">
        <f>9.9178 * CHOOSE(CONTROL!$C$22, $C$13, 100%, $E$13)</f>
        <v>9.9177999999999997</v>
      </c>
      <c r="G545" s="64">
        <f>9.9178 * CHOOSE(CONTROL!$C$22, $C$13, 100%, $E$13)</f>
        <v>9.9177999999999997</v>
      </c>
      <c r="H545" s="64">
        <f>16.7731* CHOOSE(CONTROL!$C$22, $C$13, 100%, $E$13)</f>
        <v>16.773099999999999</v>
      </c>
      <c r="I545" s="64">
        <f>16.7732 * CHOOSE(CONTROL!$C$22, $C$13, 100%, $E$13)</f>
        <v>16.773199999999999</v>
      </c>
      <c r="J545" s="64">
        <f>9.9178 * CHOOSE(CONTROL!$C$22, $C$13, 100%, $E$13)</f>
        <v>9.9177999999999997</v>
      </c>
      <c r="K545" s="64">
        <f>9.9178 * CHOOSE(CONTROL!$C$22, $C$13, 100%, $E$13)</f>
        <v>9.9177999999999997</v>
      </c>
    </row>
    <row r="546" spans="1:11" ht="15">
      <c r="A546" s="13">
        <v>58107</v>
      </c>
      <c r="B546" s="63">
        <f>8.4402 * CHOOSE(CONTROL!$C$22, $C$13, 100%, $E$13)</f>
        <v>8.4402000000000008</v>
      </c>
      <c r="C546" s="63">
        <f>8.4402 * CHOOSE(CONTROL!$C$22, $C$13, 100%, $E$13)</f>
        <v>8.4402000000000008</v>
      </c>
      <c r="D546" s="63">
        <f>8.4402 * CHOOSE(CONTROL!$C$22, $C$13, 100%, $E$13)</f>
        <v>8.4402000000000008</v>
      </c>
      <c r="E546" s="64">
        <f>9.7492 * CHOOSE(CONTROL!$C$22, $C$13, 100%, $E$13)</f>
        <v>9.7492000000000001</v>
      </c>
      <c r="F546" s="64">
        <f>9.7492 * CHOOSE(CONTROL!$C$22, $C$13, 100%, $E$13)</f>
        <v>9.7492000000000001</v>
      </c>
      <c r="G546" s="64">
        <f>9.7492 * CHOOSE(CONTROL!$C$22, $C$13, 100%, $E$13)</f>
        <v>9.7492000000000001</v>
      </c>
      <c r="H546" s="64">
        <f>16.8081* CHOOSE(CONTROL!$C$22, $C$13, 100%, $E$13)</f>
        <v>16.8081</v>
      </c>
      <c r="I546" s="64">
        <f>16.8082 * CHOOSE(CONTROL!$C$22, $C$13, 100%, $E$13)</f>
        <v>16.808199999999999</v>
      </c>
      <c r="J546" s="64">
        <f>9.7492 * CHOOSE(CONTROL!$C$22, $C$13, 100%, $E$13)</f>
        <v>9.7492000000000001</v>
      </c>
      <c r="K546" s="64">
        <f>9.7492 * CHOOSE(CONTROL!$C$22, $C$13, 100%, $E$13)</f>
        <v>9.7492000000000001</v>
      </c>
    </row>
    <row r="547" spans="1:11" ht="15">
      <c r="A547" s="13">
        <v>58135</v>
      </c>
      <c r="B547" s="63">
        <f>8.4372 * CHOOSE(CONTROL!$C$22, $C$13, 100%, $E$13)</f>
        <v>8.4372000000000007</v>
      </c>
      <c r="C547" s="63">
        <f>8.4372 * CHOOSE(CONTROL!$C$22, $C$13, 100%, $E$13)</f>
        <v>8.4372000000000007</v>
      </c>
      <c r="D547" s="63">
        <f>8.4372 * CHOOSE(CONTROL!$C$22, $C$13, 100%, $E$13)</f>
        <v>8.4372000000000007</v>
      </c>
      <c r="E547" s="64">
        <f>9.8783 * CHOOSE(CONTROL!$C$22, $C$13, 100%, $E$13)</f>
        <v>9.8782999999999994</v>
      </c>
      <c r="F547" s="64">
        <f>9.8783 * CHOOSE(CONTROL!$C$22, $C$13, 100%, $E$13)</f>
        <v>9.8782999999999994</v>
      </c>
      <c r="G547" s="64">
        <f>9.8784 * CHOOSE(CONTROL!$C$22, $C$13, 100%, $E$13)</f>
        <v>9.8783999999999992</v>
      </c>
      <c r="H547" s="64">
        <f>16.8431* CHOOSE(CONTROL!$C$22, $C$13, 100%, $E$13)</f>
        <v>16.8431</v>
      </c>
      <c r="I547" s="64">
        <f>16.8432 * CHOOSE(CONTROL!$C$22, $C$13, 100%, $E$13)</f>
        <v>16.8432</v>
      </c>
      <c r="J547" s="64">
        <f>9.8783 * CHOOSE(CONTROL!$C$22, $C$13, 100%, $E$13)</f>
        <v>9.8782999999999994</v>
      </c>
      <c r="K547" s="64">
        <f>9.8784 * CHOOSE(CONTROL!$C$22, $C$13, 100%, $E$13)</f>
        <v>9.8783999999999992</v>
      </c>
    </row>
    <row r="548" spans="1:11" ht="15">
      <c r="A548" s="13">
        <v>58166</v>
      </c>
      <c r="B548" s="63">
        <f>8.4386 * CHOOSE(CONTROL!$C$22, $C$13, 100%, $E$13)</f>
        <v>8.4385999999999992</v>
      </c>
      <c r="C548" s="63">
        <f>8.4386 * CHOOSE(CONTROL!$C$22, $C$13, 100%, $E$13)</f>
        <v>8.4385999999999992</v>
      </c>
      <c r="D548" s="63">
        <f>8.4386 * CHOOSE(CONTROL!$C$22, $C$13, 100%, $E$13)</f>
        <v>8.4385999999999992</v>
      </c>
      <c r="E548" s="64">
        <f>10.015 * CHOOSE(CONTROL!$C$22, $C$13, 100%, $E$13)</f>
        <v>10.015000000000001</v>
      </c>
      <c r="F548" s="64">
        <f>10.015 * CHOOSE(CONTROL!$C$22, $C$13, 100%, $E$13)</f>
        <v>10.015000000000001</v>
      </c>
      <c r="G548" s="64">
        <f>10.0151 * CHOOSE(CONTROL!$C$22, $C$13, 100%, $E$13)</f>
        <v>10.0151</v>
      </c>
      <c r="H548" s="64">
        <f>16.8782* CHOOSE(CONTROL!$C$22, $C$13, 100%, $E$13)</f>
        <v>16.8782</v>
      </c>
      <c r="I548" s="64">
        <f>16.8783 * CHOOSE(CONTROL!$C$22, $C$13, 100%, $E$13)</f>
        <v>16.878299999999999</v>
      </c>
      <c r="J548" s="64">
        <f>10.015 * CHOOSE(CONTROL!$C$22, $C$13, 100%, $E$13)</f>
        <v>10.015000000000001</v>
      </c>
      <c r="K548" s="64">
        <f>10.0151 * CHOOSE(CONTROL!$C$22, $C$13, 100%, $E$13)</f>
        <v>10.0151</v>
      </c>
    </row>
    <row r="549" spans="1:11" ht="15">
      <c r="A549" s="13">
        <v>58196</v>
      </c>
      <c r="B549" s="63">
        <f>8.4386 * CHOOSE(CONTROL!$C$22, $C$13, 100%, $E$13)</f>
        <v>8.4385999999999992</v>
      </c>
      <c r="C549" s="63">
        <f>8.4386 * CHOOSE(CONTROL!$C$22, $C$13, 100%, $E$13)</f>
        <v>8.4385999999999992</v>
      </c>
      <c r="D549" s="63">
        <f>8.4471 * CHOOSE(CONTROL!$C$22, $C$13, 100%, $E$13)</f>
        <v>8.4471000000000007</v>
      </c>
      <c r="E549" s="64">
        <f>10.0679 * CHOOSE(CONTROL!$C$22, $C$13, 100%, $E$13)</f>
        <v>10.0679</v>
      </c>
      <c r="F549" s="64">
        <f>10.0679 * CHOOSE(CONTROL!$C$22, $C$13, 100%, $E$13)</f>
        <v>10.0679</v>
      </c>
      <c r="G549" s="64">
        <f>10.0781 * CHOOSE(CONTROL!$C$22, $C$13, 100%, $E$13)</f>
        <v>10.078099999999999</v>
      </c>
      <c r="H549" s="64">
        <f>16.9134* CHOOSE(CONTROL!$C$22, $C$13, 100%, $E$13)</f>
        <v>16.913399999999999</v>
      </c>
      <c r="I549" s="64">
        <f>16.9236 * CHOOSE(CONTROL!$C$22, $C$13, 100%, $E$13)</f>
        <v>16.9236</v>
      </c>
      <c r="J549" s="64">
        <f>10.0679 * CHOOSE(CONTROL!$C$22, $C$13, 100%, $E$13)</f>
        <v>10.0679</v>
      </c>
      <c r="K549" s="64">
        <f>10.0781 * CHOOSE(CONTROL!$C$22, $C$13, 100%, $E$13)</f>
        <v>10.078099999999999</v>
      </c>
    </row>
    <row r="550" spans="1:11" ht="15">
      <c r="A550" s="13">
        <v>58227</v>
      </c>
      <c r="B550" s="63">
        <f>8.4447 * CHOOSE(CONTROL!$C$22, $C$13, 100%, $E$13)</f>
        <v>8.4446999999999992</v>
      </c>
      <c r="C550" s="63">
        <f>8.4447 * CHOOSE(CONTROL!$C$22, $C$13, 100%, $E$13)</f>
        <v>8.4446999999999992</v>
      </c>
      <c r="D550" s="63">
        <f>8.4531 * CHOOSE(CONTROL!$C$22, $C$13, 100%, $E$13)</f>
        <v>8.4530999999999992</v>
      </c>
      <c r="E550" s="64">
        <f>10.0192 * CHOOSE(CONTROL!$C$22, $C$13, 100%, $E$13)</f>
        <v>10.0192</v>
      </c>
      <c r="F550" s="64">
        <f>10.0192 * CHOOSE(CONTROL!$C$22, $C$13, 100%, $E$13)</f>
        <v>10.0192</v>
      </c>
      <c r="G550" s="64">
        <f>10.0295 * CHOOSE(CONTROL!$C$22, $C$13, 100%, $E$13)</f>
        <v>10.029500000000001</v>
      </c>
      <c r="H550" s="64">
        <f>16.9486* CHOOSE(CONTROL!$C$22, $C$13, 100%, $E$13)</f>
        <v>16.948599999999999</v>
      </c>
      <c r="I550" s="64">
        <f>16.9588 * CHOOSE(CONTROL!$C$22, $C$13, 100%, $E$13)</f>
        <v>16.9588</v>
      </c>
      <c r="J550" s="64">
        <f>10.0192 * CHOOSE(CONTROL!$C$22, $C$13, 100%, $E$13)</f>
        <v>10.0192</v>
      </c>
      <c r="K550" s="64">
        <f>10.0295 * CHOOSE(CONTROL!$C$22, $C$13, 100%, $E$13)</f>
        <v>10.029500000000001</v>
      </c>
    </row>
    <row r="551" spans="1:11" ht="15">
      <c r="A551" s="13">
        <v>58257</v>
      </c>
      <c r="B551" s="63">
        <f>8.5766 * CHOOSE(CONTROL!$C$22, $C$13, 100%, $E$13)</f>
        <v>8.5765999999999991</v>
      </c>
      <c r="C551" s="63">
        <f>8.5766 * CHOOSE(CONTROL!$C$22, $C$13, 100%, $E$13)</f>
        <v>8.5765999999999991</v>
      </c>
      <c r="D551" s="63">
        <f>8.5851 * CHOOSE(CONTROL!$C$22, $C$13, 100%, $E$13)</f>
        <v>8.5851000000000006</v>
      </c>
      <c r="E551" s="64">
        <f>10.183 * CHOOSE(CONTROL!$C$22, $C$13, 100%, $E$13)</f>
        <v>10.183</v>
      </c>
      <c r="F551" s="64">
        <f>10.183 * CHOOSE(CONTROL!$C$22, $C$13, 100%, $E$13)</f>
        <v>10.183</v>
      </c>
      <c r="G551" s="64">
        <f>10.1933 * CHOOSE(CONTROL!$C$22, $C$13, 100%, $E$13)</f>
        <v>10.193300000000001</v>
      </c>
      <c r="H551" s="64">
        <f>16.9839* CHOOSE(CONTROL!$C$22, $C$13, 100%, $E$13)</f>
        <v>16.983899999999998</v>
      </c>
      <c r="I551" s="64">
        <f>16.9941 * CHOOSE(CONTROL!$C$22, $C$13, 100%, $E$13)</f>
        <v>16.9941</v>
      </c>
      <c r="J551" s="64">
        <f>10.183 * CHOOSE(CONTROL!$C$22, $C$13, 100%, $E$13)</f>
        <v>10.183</v>
      </c>
      <c r="K551" s="64">
        <f>10.1933 * CHOOSE(CONTROL!$C$22, $C$13, 100%, $E$13)</f>
        <v>10.193300000000001</v>
      </c>
    </row>
    <row r="552" spans="1:11" ht="15">
      <c r="A552" s="13">
        <v>58288</v>
      </c>
      <c r="B552" s="63">
        <f>8.5833 * CHOOSE(CONTROL!$C$22, $C$13, 100%, $E$13)</f>
        <v>8.5832999999999995</v>
      </c>
      <c r="C552" s="63">
        <f>8.5833 * CHOOSE(CONTROL!$C$22, $C$13, 100%, $E$13)</f>
        <v>8.5832999999999995</v>
      </c>
      <c r="D552" s="63">
        <f>8.5918 * CHOOSE(CONTROL!$C$22, $C$13, 100%, $E$13)</f>
        <v>8.5917999999999992</v>
      </c>
      <c r="E552" s="64">
        <f>10.0291 * CHOOSE(CONTROL!$C$22, $C$13, 100%, $E$13)</f>
        <v>10.0291</v>
      </c>
      <c r="F552" s="64">
        <f>10.0291 * CHOOSE(CONTROL!$C$22, $C$13, 100%, $E$13)</f>
        <v>10.0291</v>
      </c>
      <c r="G552" s="64">
        <f>10.0394 * CHOOSE(CONTROL!$C$22, $C$13, 100%, $E$13)</f>
        <v>10.039400000000001</v>
      </c>
      <c r="H552" s="64">
        <f>17.0193* CHOOSE(CONTROL!$C$22, $C$13, 100%, $E$13)</f>
        <v>17.019300000000001</v>
      </c>
      <c r="I552" s="64">
        <f>17.0295 * CHOOSE(CONTROL!$C$22, $C$13, 100%, $E$13)</f>
        <v>17.029499999999999</v>
      </c>
      <c r="J552" s="64">
        <f>10.0291 * CHOOSE(CONTROL!$C$22, $C$13, 100%, $E$13)</f>
        <v>10.0291</v>
      </c>
      <c r="K552" s="64">
        <f>10.0394 * CHOOSE(CONTROL!$C$22, $C$13, 100%, $E$13)</f>
        <v>10.039400000000001</v>
      </c>
    </row>
    <row r="553" spans="1:11" ht="15">
      <c r="A553" s="13">
        <v>58319</v>
      </c>
      <c r="B553" s="63">
        <f>8.5803 * CHOOSE(CONTROL!$C$22, $C$13, 100%, $E$13)</f>
        <v>8.5802999999999994</v>
      </c>
      <c r="C553" s="63">
        <f>8.5803 * CHOOSE(CONTROL!$C$22, $C$13, 100%, $E$13)</f>
        <v>8.5802999999999994</v>
      </c>
      <c r="D553" s="63">
        <f>8.5887 * CHOOSE(CONTROL!$C$22, $C$13, 100%, $E$13)</f>
        <v>8.5886999999999993</v>
      </c>
      <c r="E553" s="64">
        <f>10.0094 * CHOOSE(CONTROL!$C$22, $C$13, 100%, $E$13)</f>
        <v>10.009399999999999</v>
      </c>
      <c r="F553" s="64">
        <f>10.0094 * CHOOSE(CONTROL!$C$22, $C$13, 100%, $E$13)</f>
        <v>10.009399999999999</v>
      </c>
      <c r="G553" s="64">
        <f>10.0196 * CHOOSE(CONTROL!$C$22, $C$13, 100%, $E$13)</f>
        <v>10.019600000000001</v>
      </c>
      <c r="H553" s="64">
        <f>17.0547* CHOOSE(CONTROL!$C$22, $C$13, 100%, $E$13)</f>
        <v>17.0547</v>
      </c>
      <c r="I553" s="64">
        <f>17.065 * CHOOSE(CONTROL!$C$22, $C$13, 100%, $E$13)</f>
        <v>17.065000000000001</v>
      </c>
      <c r="J553" s="64">
        <f>10.0094 * CHOOSE(CONTROL!$C$22, $C$13, 100%, $E$13)</f>
        <v>10.009399999999999</v>
      </c>
      <c r="K553" s="64">
        <f>10.0196 * CHOOSE(CONTROL!$C$22, $C$13, 100%, $E$13)</f>
        <v>10.019600000000001</v>
      </c>
    </row>
    <row r="554" spans="1:11" ht="15">
      <c r="A554" s="13">
        <v>58349</v>
      </c>
      <c r="B554" s="63">
        <f>8.5903 * CHOOSE(CONTROL!$C$22, $C$13, 100%, $E$13)</f>
        <v>8.5902999999999992</v>
      </c>
      <c r="C554" s="63">
        <f>8.5903 * CHOOSE(CONTROL!$C$22, $C$13, 100%, $E$13)</f>
        <v>8.5902999999999992</v>
      </c>
      <c r="D554" s="63">
        <f>8.5903 * CHOOSE(CONTROL!$C$22, $C$13, 100%, $E$13)</f>
        <v>8.5902999999999992</v>
      </c>
      <c r="E554" s="64">
        <f>10.0665 * CHOOSE(CONTROL!$C$22, $C$13, 100%, $E$13)</f>
        <v>10.0665</v>
      </c>
      <c r="F554" s="64">
        <f>10.0665 * CHOOSE(CONTROL!$C$22, $C$13, 100%, $E$13)</f>
        <v>10.0665</v>
      </c>
      <c r="G554" s="64">
        <f>10.0665 * CHOOSE(CONTROL!$C$22, $C$13, 100%, $E$13)</f>
        <v>10.0665</v>
      </c>
      <c r="H554" s="64">
        <f>17.0903* CHOOSE(CONTROL!$C$22, $C$13, 100%, $E$13)</f>
        <v>17.090299999999999</v>
      </c>
      <c r="I554" s="64">
        <f>17.0903 * CHOOSE(CONTROL!$C$22, $C$13, 100%, $E$13)</f>
        <v>17.090299999999999</v>
      </c>
      <c r="J554" s="64">
        <f>10.0665 * CHOOSE(CONTROL!$C$22, $C$13, 100%, $E$13)</f>
        <v>10.0665</v>
      </c>
      <c r="K554" s="64">
        <f>10.0665 * CHOOSE(CONTROL!$C$22, $C$13, 100%, $E$13)</f>
        <v>10.0665</v>
      </c>
    </row>
    <row r="555" spans="1:11" ht="15">
      <c r="A555" s="13">
        <v>58380</v>
      </c>
      <c r="B555" s="63">
        <f>8.5934 * CHOOSE(CONTROL!$C$22, $C$13, 100%, $E$13)</f>
        <v>8.5934000000000008</v>
      </c>
      <c r="C555" s="63">
        <f>8.5934 * CHOOSE(CONTROL!$C$22, $C$13, 100%, $E$13)</f>
        <v>8.5934000000000008</v>
      </c>
      <c r="D555" s="63">
        <f>8.5934 * CHOOSE(CONTROL!$C$22, $C$13, 100%, $E$13)</f>
        <v>8.5934000000000008</v>
      </c>
      <c r="E555" s="64">
        <f>10.1038 * CHOOSE(CONTROL!$C$22, $C$13, 100%, $E$13)</f>
        <v>10.1038</v>
      </c>
      <c r="F555" s="64">
        <f>10.1038 * CHOOSE(CONTROL!$C$22, $C$13, 100%, $E$13)</f>
        <v>10.1038</v>
      </c>
      <c r="G555" s="64">
        <f>10.1039 * CHOOSE(CONTROL!$C$22, $C$13, 100%, $E$13)</f>
        <v>10.103899999999999</v>
      </c>
      <c r="H555" s="64">
        <f>17.1259* CHOOSE(CONTROL!$C$22, $C$13, 100%, $E$13)</f>
        <v>17.125900000000001</v>
      </c>
      <c r="I555" s="64">
        <f>17.126 * CHOOSE(CONTROL!$C$22, $C$13, 100%, $E$13)</f>
        <v>17.126000000000001</v>
      </c>
      <c r="J555" s="64">
        <f>10.1038 * CHOOSE(CONTROL!$C$22, $C$13, 100%, $E$13)</f>
        <v>10.1038</v>
      </c>
      <c r="K555" s="64">
        <f>10.1039 * CHOOSE(CONTROL!$C$22, $C$13, 100%, $E$13)</f>
        <v>10.103899999999999</v>
      </c>
    </row>
    <row r="556" spans="1:11" ht="15">
      <c r="A556" s="13">
        <v>58410</v>
      </c>
      <c r="B556" s="63">
        <f>8.5934 * CHOOSE(CONTROL!$C$22, $C$13, 100%, $E$13)</f>
        <v>8.5934000000000008</v>
      </c>
      <c r="C556" s="63">
        <f>8.5934 * CHOOSE(CONTROL!$C$22, $C$13, 100%, $E$13)</f>
        <v>8.5934000000000008</v>
      </c>
      <c r="D556" s="63">
        <f>8.5934 * CHOOSE(CONTROL!$C$22, $C$13, 100%, $E$13)</f>
        <v>8.5934000000000008</v>
      </c>
      <c r="E556" s="64">
        <f>10.0157 * CHOOSE(CONTROL!$C$22, $C$13, 100%, $E$13)</f>
        <v>10.015700000000001</v>
      </c>
      <c r="F556" s="64">
        <f>10.0157 * CHOOSE(CONTROL!$C$22, $C$13, 100%, $E$13)</f>
        <v>10.015700000000001</v>
      </c>
      <c r="G556" s="64">
        <f>10.0158 * CHOOSE(CONTROL!$C$22, $C$13, 100%, $E$13)</f>
        <v>10.0158</v>
      </c>
      <c r="H556" s="64">
        <f>17.1616* CHOOSE(CONTROL!$C$22, $C$13, 100%, $E$13)</f>
        <v>17.1616</v>
      </c>
      <c r="I556" s="64">
        <f>17.1616 * CHOOSE(CONTROL!$C$22, $C$13, 100%, $E$13)</f>
        <v>17.1616</v>
      </c>
      <c r="J556" s="64">
        <f>10.0157 * CHOOSE(CONTROL!$C$22, $C$13, 100%, $E$13)</f>
        <v>10.015700000000001</v>
      </c>
      <c r="K556" s="64">
        <f>10.0158 * CHOOSE(CONTROL!$C$22, $C$13, 100%, $E$13)</f>
        <v>10.0158</v>
      </c>
    </row>
    <row r="557" spans="1:11" ht="15">
      <c r="A557" s="13">
        <v>58441</v>
      </c>
      <c r="B557" s="63">
        <f>8.6667 * CHOOSE(CONTROL!$C$22, $C$13, 100%, $E$13)</f>
        <v>8.6667000000000005</v>
      </c>
      <c r="C557" s="63">
        <f>8.6667 * CHOOSE(CONTROL!$C$22, $C$13, 100%, $E$13)</f>
        <v>8.6667000000000005</v>
      </c>
      <c r="D557" s="63">
        <f>8.6667 * CHOOSE(CONTROL!$C$22, $C$13, 100%, $E$13)</f>
        <v>8.6667000000000005</v>
      </c>
      <c r="E557" s="64">
        <f>10.1604 * CHOOSE(CONTROL!$C$22, $C$13, 100%, $E$13)</f>
        <v>10.160399999999999</v>
      </c>
      <c r="F557" s="64">
        <f>10.1604 * CHOOSE(CONTROL!$C$22, $C$13, 100%, $E$13)</f>
        <v>10.160399999999999</v>
      </c>
      <c r="G557" s="64">
        <f>10.1605 * CHOOSE(CONTROL!$C$22, $C$13, 100%, $E$13)</f>
        <v>10.160500000000001</v>
      </c>
      <c r="H557" s="64">
        <f>17.1973* CHOOSE(CONTROL!$C$22, $C$13, 100%, $E$13)</f>
        <v>17.197299999999998</v>
      </c>
      <c r="I557" s="64">
        <f>17.1974 * CHOOSE(CONTROL!$C$22, $C$13, 100%, $E$13)</f>
        <v>17.197399999999998</v>
      </c>
      <c r="J557" s="64">
        <f>10.1604 * CHOOSE(CONTROL!$C$22, $C$13, 100%, $E$13)</f>
        <v>10.160399999999999</v>
      </c>
      <c r="K557" s="64">
        <f>10.1605 * CHOOSE(CONTROL!$C$22, $C$13, 100%, $E$13)</f>
        <v>10.160500000000001</v>
      </c>
    </row>
    <row r="558" spans="1:11" ht="15">
      <c r="A558" s="13">
        <v>58472</v>
      </c>
      <c r="B558" s="63">
        <f>8.6637 * CHOOSE(CONTROL!$C$22, $C$13, 100%, $E$13)</f>
        <v>8.6637000000000004</v>
      </c>
      <c r="C558" s="63">
        <f>8.6637 * CHOOSE(CONTROL!$C$22, $C$13, 100%, $E$13)</f>
        <v>8.6637000000000004</v>
      </c>
      <c r="D558" s="63">
        <f>8.6637 * CHOOSE(CONTROL!$C$22, $C$13, 100%, $E$13)</f>
        <v>8.6637000000000004</v>
      </c>
      <c r="E558" s="64">
        <f>9.9871 * CHOOSE(CONTROL!$C$22, $C$13, 100%, $E$13)</f>
        <v>9.9870999999999999</v>
      </c>
      <c r="F558" s="64">
        <f>9.9871 * CHOOSE(CONTROL!$C$22, $C$13, 100%, $E$13)</f>
        <v>9.9870999999999999</v>
      </c>
      <c r="G558" s="64">
        <f>9.9872 * CHOOSE(CONTROL!$C$22, $C$13, 100%, $E$13)</f>
        <v>9.9871999999999996</v>
      </c>
      <c r="H558" s="64">
        <f>17.2331* CHOOSE(CONTROL!$C$22, $C$13, 100%, $E$13)</f>
        <v>17.2331</v>
      </c>
      <c r="I558" s="64">
        <f>17.2332 * CHOOSE(CONTROL!$C$22, $C$13, 100%, $E$13)</f>
        <v>17.2332</v>
      </c>
      <c r="J558" s="64">
        <f>9.9871 * CHOOSE(CONTROL!$C$22, $C$13, 100%, $E$13)</f>
        <v>9.9870999999999999</v>
      </c>
      <c r="K558" s="64">
        <f>9.9872 * CHOOSE(CONTROL!$C$22, $C$13, 100%, $E$13)</f>
        <v>9.9871999999999996</v>
      </c>
    </row>
    <row r="559" spans="1:11" ht="15">
      <c r="A559" s="13">
        <v>58501</v>
      </c>
      <c r="B559" s="63">
        <f>8.6607 * CHOOSE(CONTROL!$C$22, $C$13, 100%, $E$13)</f>
        <v>8.6607000000000003</v>
      </c>
      <c r="C559" s="63">
        <f>8.6607 * CHOOSE(CONTROL!$C$22, $C$13, 100%, $E$13)</f>
        <v>8.6607000000000003</v>
      </c>
      <c r="D559" s="63">
        <f>8.6607 * CHOOSE(CONTROL!$C$22, $C$13, 100%, $E$13)</f>
        <v>8.6607000000000003</v>
      </c>
      <c r="E559" s="64">
        <f>10.1199 * CHOOSE(CONTROL!$C$22, $C$13, 100%, $E$13)</f>
        <v>10.119899999999999</v>
      </c>
      <c r="F559" s="64">
        <f>10.1199 * CHOOSE(CONTROL!$C$22, $C$13, 100%, $E$13)</f>
        <v>10.119899999999999</v>
      </c>
      <c r="G559" s="64">
        <f>10.12 * CHOOSE(CONTROL!$C$22, $C$13, 100%, $E$13)</f>
        <v>10.119999999999999</v>
      </c>
      <c r="H559" s="64">
        <f>17.269* CHOOSE(CONTROL!$C$22, $C$13, 100%, $E$13)</f>
        <v>17.268999999999998</v>
      </c>
      <c r="I559" s="64">
        <f>17.2691 * CHOOSE(CONTROL!$C$22, $C$13, 100%, $E$13)</f>
        <v>17.269100000000002</v>
      </c>
      <c r="J559" s="64">
        <f>10.1199 * CHOOSE(CONTROL!$C$22, $C$13, 100%, $E$13)</f>
        <v>10.119899999999999</v>
      </c>
      <c r="K559" s="64">
        <f>10.12 * CHOOSE(CONTROL!$C$22, $C$13, 100%, $E$13)</f>
        <v>10.119999999999999</v>
      </c>
    </row>
    <row r="560" spans="1:11" ht="15">
      <c r="A560" s="13">
        <v>58532</v>
      </c>
      <c r="B560" s="63">
        <f>8.6623 * CHOOSE(CONTROL!$C$22, $C$13, 100%, $E$13)</f>
        <v>8.6623000000000001</v>
      </c>
      <c r="C560" s="63">
        <f>8.6623 * CHOOSE(CONTROL!$C$22, $C$13, 100%, $E$13)</f>
        <v>8.6623000000000001</v>
      </c>
      <c r="D560" s="63">
        <f>8.6623 * CHOOSE(CONTROL!$C$22, $C$13, 100%, $E$13)</f>
        <v>8.6623000000000001</v>
      </c>
      <c r="E560" s="64">
        <f>10.2606 * CHOOSE(CONTROL!$C$22, $C$13, 100%, $E$13)</f>
        <v>10.2606</v>
      </c>
      <c r="F560" s="64">
        <f>10.2606 * CHOOSE(CONTROL!$C$22, $C$13, 100%, $E$13)</f>
        <v>10.2606</v>
      </c>
      <c r="G560" s="64">
        <f>10.2607 * CHOOSE(CONTROL!$C$22, $C$13, 100%, $E$13)</f>
        <v>10.2607</v>
      </c>
      <c r="H560" s="64">
        <f>17.305* CHOOSE(CONTROL!$C$22, $C$13, 100%, $E$13)</f>
        <v>17.305</v>
      </c>
      <c r="I560" s="64">
        <f>17.3051 * CHOOSE(CONTROL!$C$22, $C$13, 100%, $E$13)</f>
        <v>17.305099999999999</v>
      </c>
      <c r="J560" s="64">
        <f>10.2606 * CHOOSE(CONTROL!$C$22, $C$13, 100%, $E$13)</f>
        <v>10.2606</v>
      </c>
      <c r="K560" s="64">
        <f>10.2607 * CHOOSE(CONTROL!$C$22, $C$13, 100%, $E$13)</f>
        <v>10.2607</v>
      </c>
    </row>
    <row r="561" spans="1:11" ht="15">
      <c r="A561" s="13">
        <v>58562</v>
      </c>
      <c r="B561" s="63">
        <f>8.6623 * CHOOSE(CONTROL!$C$22, $C$13, 100%, $E$13)</f>
        <v>8.6623000000000001</v>
      </c>
      <c r="C561" s="63">
        <f>8.6623 * CHOOSE(CONTROL!$C$22, $C$13, 100%, $E$13)</f>
        <v>8.6623000000000001</v>
      </c>
      <c r="D561" s="63">
        <f>8.6707 * CHOOSE(CONTROL!$C$22, $C$13, 100%, $E$13)</f>
        <v>8.6707000000000001</v>
      </c>
      <c r="E561" s="64">
        <f>10.315 * CHOOSE(CONTROL!$C$22, $C$13, 100%, $E$13)</f>
        <v>10.315</v>
      </c>
      <c r="F561" s="64">
        <f>10.315 * CHOOSE(CONTROL!$C$22, $C$13, 100%, $E$13)</f>
        <v>10.315</v>
      </c>
      <c r="G561" s="64">
        <f>10.3252 * CHOOSE(CONTROL!$C$22, $C$13, 100%, $E$13)</f>
        <v>10.325200000000001</v>
      </c>
      <c r="H561" s="64">
        <f>17.3411* CHOOSE(CONTROL!$C$22, $C$13, 100%, $E$13)</f>
        <v>17.341100000000001</v>
      </c>
      <c r="I561" s="64">
        <f>17.3513 * CHOOSE(CONTROL!$C$22, $C$13, 100%, $E$13)</f>
        <v>17.351299999999998</v>
      </c>
      <c r="J561" s="64">
        <f>10.315 * CHOOSE(CONTROL!$C$22, $C$13, 100%, $E$13)</f>
        <v>10.315</v>
      </c>
      <c r="K561" s="64">
        <f>10.3252 * CHOOSE(CONTROL!$C$22, $C$13, 100%, $E$13)</f>
        <v>10.325200000000001</v>
      </c>
    </row>
    <row r="562" spans="1:11" ht="15">
      <c r="A562" s="13">
        <v>58593</v>
      </c>
      <c r="B562" s="63">
        <f>8.6684 * CHOOSE(CONTROL!$C$22, $C$13, 100%, $E$13)</f>
        <v>8.6684000000000001</v>
      </c>
      <c r="C562" s="63">
        <f>8.6684 * CHOOSE(CONTROL!$C$22, $C$13, 100%, $E$13)</f>
        <v>8.6684000000000001</v>
      </c>
      <c r="D562" s="63">
        <f>8.6768 * CHOOSE(CONTROL!$C$22, $C$13, 100%, $E$13)</f>
        <v>8.6768000000000001</v>
      </c>
      <c r="E562" s="64">
        <f>10.2649 * CHOOSE(CONTROL!$C$22, $C$13, 100%, $E$13)</f>
        <v>10.264900000000001</v>
      </c>
      <c r="F562" s="64">
        <f>10.2649 * CHOOSE(CONTROL!$C$22, $C$13, 100%, $E$13)</f>
        <v>10.264900000000001</v>
      </c>
      <c r="G562" s="64">
        <f>10.2751 * CHOOSE(CONTROL!$C$22, $C$13, 100%, $E$13)</f>
        <v>10.2751</v>
      </c>
      <c r="H562" s="64">
        <f>17.3772* CHOOSE(CONTROL!$C$22, $C$13, 100%, $E$13)</f>
        <v>17.377199999999998</v>
      </c>
      <c r="I562" s="64">
        <f>17.3874 * CHOOSE(CONTROL!$C$22, $C$13, 100%, $E$13)</f>
        <v>17.3874</v>
      </c>
      <c r="J562" s="64">
        <f>10.2649 * CHOOSE(CONTROL!$C$22, $C$13, 100%, $E$13)</f>
        <v>10.264900000000001</v>
      </c>
      <c r="K562" s="64">
        <f>10.2751 * CHOOSE(CONTROL!$C$22, $C$13, 100%, $E$13)</f>
        <v>10.2751</v>
      </c>
    </row>
    <row r="563" spans="1:11" ht="15">
      <c r="A563" s="13">
        <v>58623</v>
      </c>
      <c r="B563" s="63">
        <f>8.8035 * CHOOSE(CONTROL!$C$22, $C$13, 100%, $E$13)</f>
        <v>8.8034999999999997</v>
      </c>
      <c r="C563" s="63">
        <f>8.8035 * CHOOSE(CONTROL!$C$22, $C$13, 100%, $E$13)</f>
        <v>8.8034999999999997</v>
      </c>
      <c r="D563" s="63">
        <f>8.812 * CHOOSE(CONTROL!$C$22, $C$13, 100%, $E$13)</f>
        <v>8.8119999999999994</v>
      </c>
      <c r="E563" s="64">
        <f>10.4324 * CHOOSE(CONTROL!$C$22, $C$13, 100%, $E$13)</f>
        <v>10.432399999999999</v>
      </c>
      <c r="F563" s="64">
        <f>10.4324 * CHOOSE(CONTROL!$C$22, $C$13, 100%, $E$13)</f>
        <v>10.432399999999999</v>
      </c>
      <c r="G563" s="64">
        <f>10.4426 * CHOOSE(CONTROL!$C$22, $C$13, 100%, $E$13)</f>
        <v>10.442600000000001</v>
      </c>
      <c r="H563" s="64">
        <f>17.4134* CHOOSE(CONTROL!$C$22, $C$13, 100%, $E$13)</f>
        <v>17.413399999999999</v>
      </c>
      <c r="I563" s="64">
        <f>17.4236 * CHOOSE(CONTROL!$C$22, $C$13, 100%, $E$13)</f>
        <v>17.4236</v>
      </c>
      <c r="J563" s="64">
        <f>10.4324 * CHOOSE(CONTROL!$C$22, $C$13, 100%, $E$13)</f>
        <v>10.432399999999999</v>
      </c>
      <c r="K563" s="64">
        <f>10.4426 * CHOOSE(CONTROL!$C$22, $C$13, 100%, $E$13)</f>
        <v>10.442600000000001</v>
      </c>
    </row>
    <row r="564" spans="1:11" ht="15">
      <c r="A564" s="13">
        <v>58654</v>
      </c>
      <c r="B564" s="63">
        <f>8.8102 * CHOOSE(CONTROL!$C$22, $C$13, 100%, $E$13)</f>
        <v>8.8102</v>
      </c>
      <c r="C564" s="63">
        <f>8.8102 * CHOOSE(CONTROL!$C$22, $C$13, 100%, $E$13)</f>
        <v>8.8102</v>
      </c>
      <c r="D564" s="63">
        <f>8.8186 * CHOOSE(CONTROL!$C$22, $C$13, 100%, $E$13)</f>
        <v>8.8186</v>
      </c>
      <c r="E564" s="64">
        <f>10.274 * CHOOSE(CONTROL!$C$22, $C$13, 100%, $E$13)</f>
        <v>10.273999999999999</v>
      </c>
      <c r="F564" s="64">
        <f>10.274 * CHOOSE(CONTROL!$C$22, $C$13, 100%, $E$13)</f>
        <v>10.273999999999999</v>
      </c>
      <c r="G564" s="64">
        <f>10.2843 * CHOOSE(CONTROL!$C$22, $C$13, 100%, $E$13)</f>
        <v>10.2843</v>
      </c>
      <c r="H564" s="64">
        <f>17.4497* CHOOSE(CONTROL!$C$22, $C$13, 100%, $E$13)</f>
        <v>17.4497</v>
      </c>
      <c r="I564" s="64">
        <f>17.4599 * CHOOSE(CONTROL!$C$22, $C$13, 100%, $E$13)</f>
        <v>17.459900000000001</v>
      </c>
      <c r="J564" s="64">
        <f>10.274 * CHOOSE(CONTROL!$C$22, $C$13, 100%, $E$13)</f>
        <v>10.273999999999999</v>
      </c>
      <c r="K564" s="64">
        <f>10.2843 * CHOOSE(CONTROL!$C$22, $C$13, 100%, $E$13)</f>
        <v>10.2843</v>
      </c>
    </row>
    <row r="565" spans="1:11" ht="15">
      <c r="A565" s="13">
        <v>58685</v>
      </c>
      <c r="B565" s="63">
        <f>8.8072 * CHOOSE(CONTROL!$C$22, $C$13, 100%, $E$13)</f>
        <v>8.8071999999999999</v>
      </c>
      <c r="C565" s="63">
        <f>8.8072 * CHOOSE(CONTROL!$C$22, $C$13, 100%, $E$13)</f>
        <v>8.8071999999999999</v>
      </c>
      <c r="D565" s="63">
        <f>8.8156 * CHOOSE(CONTROL!$C$22, $C$13, 100%, $E$13)</f>
        <v>8.8155999999999999</v>
      </c>
      <c r="E565" s="64">
        <f>10.2538 * CHOOSE(CONTROL!$C$22, $C$13, 100%, $E$13)</f>
        <v>10.2538</v>
      </c>
      <c r="F565" s="64">
        <f>10.2538 * CHOOSE(CONTROL!$C$22, $C$13, 100%, $E$13)</f>
        <v>10.2538</v>
      </c>
      <c r="G565" s="64">
        <f>10.264 * CHOOSE(CONTROL!$C$22, $C$13, 100%, $E$13)</f>
        <v>10.263999999999999</v>
      </c>
      <c r="H565" s="64">
        <f>17.486* CHOOSE(CONTROL!$C$22, $C$13, 100%, $E$13)</f>
        <v>17.486000000000001</v>
      </c>
      <c r="I565" s="64">
        <f>17.4962 * CHOOSE(CONTROL!$C$22, $C$13, 100%, $E$13)</f>
        <v>17.496200000000002</v>
      </c>
      <c r="J565" s="64">
        <f>10.2538 * CHOOSE(CONTROL!$C$22, $C$13, 100%, $E$13)</f>
        <v>10.2538</v>
      </c>
      <c r="K565" s="64">
        <f>10.264 * CHOOSE(CONTROL!$C$22, $C$13, 100%, $E$13)</f>
        <v>10.263999999999999</v>
      </c>
    </row>
    <row r="566" spans="1:11" ht="15">
      <c r="A566" s="13">
        <v>58715</v>
      </c>
      <c r="B566" s="63">
        <f>8.8179 * CHOOSE(CONTROL!$C$22, $C$13, 100%, $E$13)</f>
        <v>8.8178999999999998</v>
      </c>
      <c r="C566" s="63">
        <f>8.8179 * CHOOSE(CONTROL!$C$22, $C$13, 100%, $E$13)</f>
        <v>8.8178999999999998</v>
      </c>
      <c r="D566" s="63">
        <f>8.8179 * CHOOSE(CONTROL!$C$22, $C$13, 100%, $E$13)</f>
        <v>8.8178999999999998</v>
      </c>
      <c r="E566" s="64">
        <f>10.3128 * CHOOSE(CONTROL!$C$22, $C$13, 100%, $E$13)</f>
        <v>10.312799999999999</v>
      </c>
      <c r="F566" s="64">
        <f>10.3128 * CHOOSE(CONTROL!$C$22, $C$13, 100%, $E$13)</f>
        <v>10.312799999999999</v>
      </c>
      <c r="G566" s="64">
        <f>10.3129 * CHOOSE(CONTROL!$C$22, $C$13, 100%, $E$13)</f>
        <v>10.312900000000001</v>
      </c>
      <c r="H566" s="64">
        <f>17.5225* CHOOSE(CONTROL!$C$22, $C$13, 100%, $E$13)</f>
        <v>17.522500000000001</v>
      </c>
      <c r="I566" s="64">
        <f>17.5225 * CHOOSE(CONTROL!$C$22, $C$13, 100%, $E$13)</f>
        <v>17.522500000000001</v>
      </c>
      <c r="J566" s="64">
        <f>10.3128 * CHOOSE(CONTROL!$C$22, $C$13, 100%, $E$13)</f>
        <v>10.312799999999999</v>
      </c>
      <c r="K566" s="64">
        <f>10.3129 * CHOOSE(CONTROL!$C$22, $C$13, 100%, $E$13)</f>
        <v>10.312900000000001</v>
      </c>
    </row>
    <row r="567" spans="1:11" ht="15">
      <c r="A567" s="13">
        <v>58746</v>
      </c>
      <c r="B567" s="63">
        <f>8.821 * CHOOSE(CONTROL!$C$22, $C$13, 100%, $E$13)</f>
        <v>8.8209999999999997</v>
      </c>
      <c r="C567" s="63">
        <f>8.821 * CHOOSE(CONTROL!$C$22, $C$13, 100%, $E$13)</f>
        <v>8.8209999999999997</v>
      </c>
      <c r="D567" s="63">
        <f>8.821 * CHOOSE(CONTROL!$C$22, $C$13, 100%, $E$13)</f>
        <v>8.8209999999999997</v>
      </c>
      <c r="E567" s="64">
        <f>10.3512 * CHOOSE(CONTROL!$C$22, $C$13, 100%, $E$13)</f>
        <v>10.3512</v>
      </c>
      <c r="F567" s="64">
        <f>10.3512 * CHOOSE(CONTROL!$C$22, $C$13, 100%, $E$13)</f>
        <v>10.3512</v>
      </c>
      <c r="G567" s="64">
        <f>10.3513 * CHOOSE(CONTROL!$C$22, $C$13, 100%, $E$13)</f>
        <v>10.3513</v>
      </c>
      <c r="H567" s="64">
        <f>17.559* CHOOSE(CONTROL!$C$22, $C$13, 100%, $E$13)</f>
        <v>17.559000000000001</v>
      </c>
      <c r="I567" s="64">
        <f>17.559 * CHOOSE(CONTROL!$C$22, $C$13, 100%, $E$13)</f>
        <v>17.559000000000001</v>
      </c>
      <c r="J567" s="64">
        <f>10.3512 * CHOOSE(CONTROL!$C$22, $C$13, 100%, $E$13)</f>
        <v>10.3512</v>
      </c>
      <c r="K567" s="64">
        <f>10.3513 * CHOOSE(CONTROL!$C$22, $C$13, 100%, $E$13)</f>
        <v>10.3513</v>
      </c>
    </row>
    <row r="568" spans="1:11" ht="15">
      <c r="A568" s="13">
        <v>58776</v>
      </c>
      <c r="B568" s="63">
        <f>8.821 * CHOOSE(CONTROL!$C$22, $C$13, 100%, $E$13)</f>
        <v>8.8209999999999997</v>
      </c>
      <c r="C568" s="63">
        <f>8.821 * CHOOSE(CONTROL!$C$22, $C$13, 100%, $E$13)</f>
        <v>8.8209999999999997</v>
      </c>
      <c r="D568" s="63">
        <f>8.821 * CHOOSE(CONTROL!$C$22, $C$13, 100%, $E$13)</f>
        <v>8.8209999999999997</v>
      </c>
      <c r="E568" s="64">
        <f>10.2606 * CHOOSE(CONTROL!$C$22, $C$13, 100%, $E$13)</f>
        <v>10.2606</v>
      </c>
      <c r="F568" s="64">
        <f>10.2606 * CHOOSE(CONTROL!$C$22, $C$13, 100%, $E$13)</f>
        <v>10.2606</v>
      </c>
      <c r="G568" s="64">
        <f>10.2607 * CHOOSE(CONTROL!$C$22, $C$13, 100%, $E$13)</f>
        <v>10.2607</v>
      </c>
      <c r="H568" s="64">
        <f>17.5955* CHOOSE(CONTROL!$C$22, $C$13, 100%, $E$13)</f>
        <v>17.595500000000001</v>
      </c>
      <c r="I568" s="64">
        <f>17.5956 * CHOOSE(CONTROL!$C$22, $C$13, 100%, $E$13)</f>
        <v>17.595600000000001</v>
      </c>
      <c r="J568" s="64">
        <f>10.2606 * CHOOSE(CONTROL!$C$22, $C$13, 100%, $E$13)</f>
        <v>10.2606</v>
      </c>
      <c r="K568" s="64">
        <f>10.2607 * CHOOSE(CONTROL!$C$22, $C$13, 100%, $E$13)</f>
        <v>10.2607</v>
      </c>
    </row>
    <row r="569" spans="1:11" ht="15">
      <c r="A569" s="13">
        <v>58807</v>
      </c>
      <c r="B569" s="63">
        <f>8.8962 * CHOOSE(CONTROL!$C$22, $C$13, 100%, $E$13)</f>
        <v>8.8962000000000003</v>
      </c>
      <c r="C569" s="63">
        <f>8.8962 * CHOOSE(CONTROL!$C$22, $C$13, 100%, $E$13)</f>
        <v>8.8962000000000003</v>
      </c>
      <c r="D569" s="63">
        <f>8.8962 * CHOOSE(CONTROL!$C$22, $C$13, 100%, $E$13)</f>
        <v>8.8962000000000003</v>
      </c>
      <c r="E569" s="64">
        <f>10.409 * CHOOSE(CONTROL!$C$22, $C$13, 100%, $E$13)</f>
        <v>10.409000000000001</v>
      </c>
      <c r="F569" s="64">
        <f>10.409 * CHOOSE(CONTROL!$C$22, $C$13, 100%, $E$13)</f>
        <v>10.409000000000001</v>
      </c>
      <c r="G569" s="64">
        <f>10.4091 * CHOOSE(CONTROL!$C$22, $C$13, 100%, $E$13)</f>
        <v>10.4091</v>
      </c>
      <c r="H569" s="64">
        <f>17.6322* CHOOSE(CONTROL!$C$22, $C$13, 100%, $E$13)</f>
        <v>17.632200000000001</v>
      </c>
      <c r="I569" s="64">
        <f>17.6323 * CHOOSE(CONTROL!$C$22, $C$13, 100%, $E$13)</f>
        <v>17.632300000000001</v>
      </c>
      <c r="J569" s="64">
        <f>10.409 * CHOOSE(CONTROL!$C$22, $C$13, 100%, $E$13)</f>
        <v>10.409000000000001</v>
      </c>
      <c r="K569" s="64">
        <f>10.4091 * CHOOSE(CONTROL!$C$22, $C$13, 100%, $E$13)</f>
        <v>10.4091</v>
      </c>
    </row>
    <row r="570" spans="1:11" ht="15">
      <c r="A570" s="13">
        <v>58838</v>
      </c>
      <c r="B570" s="63">
        <f>8.8931 * CHOOSE(CONTROL!$C$22, $C$13, 100%, $E$13)</f>
        <v>8.8931000000000004</v>
      </c>
      <c r="C570" s="63">
        <f>8.8931 * CHOOSE(CONTROL!$C$22, $C$13, 100%, $E$13)</f>
        <v>8.8931000000000004</v>
      </c>
      <c r="D570" s="63">
        <f>8.8931 * CHOOSE(CONTROL!$C$22, $C$13, 100%, $E$13)</f>
        <v>8.8931000000000004</v>
      </c>
      <c r="E570" s="64">
        <f>10.2309 * CHOOSE(CONTROL!$C$22, $C$13, 100%, $E$13)</f>
        <v>10.2309</v>
      </c>
      <c r="F570" s="64">
        <f>10.2309 * CHOOSE(CONTROL!$C$22, $C$13, 100%, $E$13)</f>
        <v>10.2309</v>
      </c>
      <c r="G570" s="64">
        <f>10.231 * CHOOSE(CONTROL!$C$22, $C$13, 100%, $E$13)</f>
        <v>10.231</v>
      </c>
      <c r="H570" s="64">
        <f>17.6689* CHOOSE(CONTROL!$C$22, $C$13, 100%, $E$13)</f>
        <v>17.668900000000001</v>
      </c>
      <c r="I570" s="64">
        <f>17.669 * CHOOSE(CONTROL!$C$22, $C$13, 100%, $E$13)</f>
        <v>17.669</v>
      </c>
      <c r="J570" s="64">
        <f>10.2309 * CHOOSE(CONTROL!$C$22, $C$13, 100%, $E$13)</f>
        <v>10.2309</v>
      </c>
      <c r="K570" s="64">
        <f>10.231 * CHOOSE(CONTROL!$C$22, $C$13, 100%, $E$13)</f>
        <v>10.231</v>
      </c>
    </row>
    <row r="571" spans="1:11" ht="15">
      <c r="A571" s="13">
        <v>58866</v>
      </c>
      <c r="B571" s="63">
        <f>8.8901 * CHOOSE(CONTROL!$C$22, $C$13, 100%, $E$13)</f>
        <v>8.8901000000000003</v>
      </c>
      <c r="C571" s="63">
        <f>8.8901 * CHOOSE(CONTROL!$C$22, $C$13, 100%, $E$13)</f>
        <v>8.8901000000000003</v>
      </c>
      <c r="D571" s="63">
        <f>8.8901 * CHOOSE(CONTROL!$C$22, $C$13, 100%, $E$13)</f>
        <v>8.8901000000000003</v>
      </c>
      <c r="E571" s="64">
        <f>10.3675 * CHOOSE(CONTROL!$C$22, $C$13, 100%, $E$13)</f>
        <v>10.3675</v>
      </c>
      <c r="F571" s="64">
        <f>10.3675 * CHOOSE(CONTROL!$C$22, $C$13, 100%, $E$13)</f>
        <v>10.3675</v>
      </c>
      <c r="G571" s="64">
        <f>10.3676 * CHOOSE(CONTROL!$C$22, $C$13, 100%, $E$13)</f>
        <v>10.367599999999999</v>
      </c>
      <c r="H571" s="64">
        <f>17.7057* CHOOSE(CONTROL!$C$22, $C$13, 100%, $E$13)</f>
        <v>17.7057</v>
      </c>
      <c r="I571" s="64">
        <f>17.7058 * CHOOSE(CONTROL!$C$22, $C$13, 100%, $E$13)</f>
        <v>17.7058</v>
      </c>
      <c r="J571" s="64">
        <f>10.3675 * CHOOSE(CONTROL!$C$22, $C$13, 100%, $E$13)</f>
        <v>10.3675</v>
      </c>
      <c r="K571" s="64">
        <f>10.3676 * CHOOSE(CONTROL!$C$22, $C$13, 100%, $E$13)</f>
        <v>10.367599999999999</v>
      </c>
    </row>
    <row r="572" spans="1:11" ht="15">
      <c r="A572" s="13">
        <v>58897</v>
      </c>
      <c r="B572" s="63">
        <f>8.8919 * CHOOSE(CONTROL!$C$22, $C$13, 100%, $E$13)</f>
        <v>8.8918999999999997</v>
      </c>
      <c r="C572" s="63">
        <f>8.8919 * CHOOSE(CONTROL!$C$22, $C$13, 100%, $E$13)</f>
        <v>8.8918999999999997</v>
      </c>
      <c r="D572" s="63">
        <f>8.8919 * CHOOSE(CONTROL!$C$22, $C$13, 100%, $E$13)</f>
        <v>8.8918999999999997</v>
      </c>
      <c r="E572" s="64">
        <f>10.5123 * CHOOSE(CONTROL!$C$22, $C$13, 100%, $E$13)</f>
        <v>10.5123</v>
      </c>
      <c r="F572" s="64">
        <f>10.5123 * CHOOSE(CONTROL!$C$22, $C$13, 100%, $E$13)</f>
        <v>10.5123</v>
      </c>
      <c r="G572" s="64">
        <f>10.5124 * CHOOSE(CONTROL!$C$22, $C$13, 100%, $E$13)</f>
        <v>10.5124</v>
      </c>
      <c r="H572" s="64">
        <f>17.7426* CHOOSE(CONTROL!$C$22, $C$13, 100%, $E$13)</f>
        <v>17.742599999999999</v>
      </c>
      <c r="I572" s="64">
        <f>17.7427 * CHOOSE(CONTROL!$C$22, $C$13, 100%, $E$13)</f>
        <v>17.742699999999999</v>
      </c>
      <c r="J572" s="64">
        <f>10.5123 * CHOOSE(CONTROL!$C$22, $C$13, 100%, $E$13)</f>
        <v>10.5123</v>
      </c>
      <c r="K572" s="64">
        <f>10.5124 * CHOOSE(CONTROL!$C$22, $C$13, 100%, $E$13)</f>
        <v>10.5124</v>
      </c>
    </row>
    <row r="573" spans="1:11" ht="15">
      <c r="A573" s="13">
        <v>58927</v>
      </c>
      <c r="B573" s="63">
        <f>8.8919 * CHOOSE(CONTROL!$C$22, $C$13, 100%, $E$13)</f>
        <v>8.8918999999999997</v>
      </c>
      <c r="C573" s="63">
        <f>8.8919 * CHOOSE(CONTROL!$C$22, $C$13, 100%, $E$13)</f>
        <v>8.8918999999999997</v>
      </c>
      <c r="D573" s="63">
        <f>8.9003 * CHOOSE(CONTROL!$C$22, $C$13, 100%, $E$13)</f>
        <v>8.9002999999999997</v>
      </c>
      <c r="E573" s="64">
        <f>10.5681 * CHOOSE(CONTROL!$C$22, $C$13, 100%, $E$13)</f>
        <v>10.568099999999999</v>
      </c>
      <c r="F573" s="64">
        <f>10.5681 * CHOOSE(CONTROL!$C$22, $C$13, 100%, $E$13)</f>
        <v>10.568099999999999</v>
      </c>
      <c r="G573" s="64">
        <f>10.5784 * CHOOSE(CONTROL!$C$22, $C$13, 100%, $E$13)</f>
        <v>10.5784</v>
      </c>
      <c r="H573" s="64">
        <f>17.7796* CHOOSE(CONTROL!$C$22, $C$13, 100%, $E$13)</f>
        <v>17.779599999999999</v>
      </c>
      <c r="I573" s="64">
        <f>17.7898 * CHOOSE(CONTROL!$C$22, $C$13, 100%, $E$13)</f>
        <v>17.7898</v>
      </c>
      <c r="J573" s="64">
        <f>10.5681 * CHOOSE(CONTROL!$C$22, $C$13, 100%, $E$13)</f>
        <v>10.568099999999999</v>
      </c>
      <c r="K573" s="64">
        <f>10.5784 * CHOOSE(CONTROL!$C$22, $C$13, 100%, $E$13)</f>
        <v>10.5784</v>
      </c>
    </row>
    <row r="574" spans="1:11" ht="15">
      <c r="A574" s="13">
        <v>58958</v>
      </c>
      <c r="B574" s="63">
        <f>8.898 * CHOOSE(CONTROL!$C$22, $C$13, 100%, $E$13)</f>
        <v>8.8979999999999997</v>
      </c>
      <c r="C574" s="63">
        <f>8.898 * CHOOSE(CONTROL!$C$22, $C$13, 100%, $E$13)</f>
        <v>8.8979999999999997</v>
      </c>
      <c r="D574" s="63">
        <f>8.9064 * CHOOSE(CONTROL!$C$22, $C$13, 100%, $E$13)</f>
        <v>8.9063999999999997</v>
      </c>
      <c r="E574" s="64">
        <f>10.5165 * CHOOSE(CONTROL!$C$22, $C$13, 100%, $E$13)</f>
        <v>10.516500000000001</v>
      </c>
      <c r="F574" s="64">
        <f>10.5165 * CHOOSE(CONTROL!$C$22, $C$13, 100%, $E$13)</f>
        <v>10.516500000000001</v>
      </c>
      <c r="G574" s="64">
        <f>10.5267 * CHOOSE(CONTROL!$C$22, $C$13, 100%, $E$13)</f>
        <v>10.5267</v>
      </c>
      <c r="H574" s="64">
        <f>17.8166* CHOOSE(CONTROL!$C$22, $C$13, 100%, $E$13)</f>
        <v>17.816600000000001</v>
      </c>
      <c r="I574" s="64">
        <f>17.8269 * CHOOSE(CONTROL!$C$22, $C$13, 100%, $E$13)</f>
        <v>17.826899999999998</v>
      </c>
      <c r="J574" s="64">
        <f>10.5165 * CHOOSE(CONTROL!$C$22, $C$13, 100%, $E$13)</f>
        <v>10.516500000000001</v>
      </c>
      <c r="K574" s="64">
        <f>10.5267 * CHOOSE(CONTROL!$C$22, $C$13, 100%, $E$13)</f>
        <v>10.5267</v>
      </c>
    </row>
    <row r="575" spans="1:11" ht="15">
      <c r="A575" s="13">
        <v>58988</v>
      </c>
      <c r="B575" s="63">
        <f>9.0365 * CHOOSE(CONTROL!$C$22, $C$13, 100%, $E$13)</f>
        <v>9.0365000000000002</v>
      </c>
      <c r="C575" s="63">
        <f>9.0365 * CHOOSE(CONTROL!$C$22, $C$13, 100%, $E$13)</f>
        <v>9.0365000000000002</v>
      </c>
      <c r="D575" s="63">
        <f>9.0449 * CHOOSE(CONTROL!$C$22, $C$13, 100%, $E$13)</f>
        <v>9.0449000000000002</v>
      </c>
      <c r="E575" s="64">
        <f>10.6879 * CHOOSE(CONTROL!$C$22, $C$13, 100%, $E$13)</f>
        <v>10.687900000000001</v>
      </c>
      <c r="F575" s="64">
        <f>10.6879 * CHOOSE(CONTROL!$C$22, $C$13, 100%, $E$13)</f>
        <v>10.687900000000001</v>
      </c>
      <c r="G575" s="64">
        <f>10.6981 * CHOOSE(CONTROL!$C$22, $C$13, 100%, $E$13)</f>
        <v>10.6981</v>
      </c>
      <c r="H575" s="64">
        <f>17.8538* CHOOSE(CONTROL!$C$22, $C$13, 100%, $E$13)</f>
        <v>17.8538</v>
      </c>
      <c r="I575" s="64">
        <f>17.864 * CHOOSE(CONTROL!$C$22, $C$13, 100%, $E$13)</f>
        <v>17.864000000000001</v>
      </c>
      <c r="J575" s="64">
        <f>10.6879 * CHOOSE(CONTROL!$C$22, $C$13, 100%, $E$13)</f>
        <v>10.687900000000001</v>
      </c>
      <c r="K575" s="64">
        <f>10.6981 * CHOOSE(CONTROL!$C$22, $C$13, 100%, $E$13)</f>
        <v>10.6981</v>
      </c>
    </row>
    <row r="576" spans="1:11" ht="15">
      <c r="A576" s="13">
        <v>59019</v>
      </c>
      <c r="B576" s="63">
        <f>9.0432 * CHOOSE(CONTROL!$C$22, $C$13, 100%, $E$13)</f>
        <v>9.0432000000000006</v>
      </c>
      <c r="C576" s="63">
        <f>9.0432 * CHOOSE(CONTROL!$C$22, $C$13, 100%, $E$13)</f>
        <v>9.0432000000000006</v>
      </c>
      <c r="D576" s="63">
        <f>9.0516 * CHOOSE(CONTROL!$C$22, $C$13, 100%, $E$13)</f>
        <v>9.0516000000000005</v>
      </c>
      <c r="E576" s="64">
        <f>10.5249 * CHOOSE(CONTROL!$C$22, $C$13, 100%, $E$13)</f>
        <v>10.524900000000001</v>
      </c>
      <c r="F576" s="64">
        <f>10.5249 * CHOOSE(CONTROL!$C$22, $C$13, 100%, $E$13)</f>
        <v>10.524900000000001</v>
      </c>
      <c r="G576" s="64">
        <f>10.5352 * CHOOSE(CONTROL!$C$22, $C$13, 100%, $E$13)</f>
        <v>10.5352</v>
      </c>
      <c r="H576" s="64">
        <f>17.8909* CHOOSE(CONTROL!$C$22, $C$13, 100%, $E$13)</f>
        <v>17.890899999999998</v>
      </c>
      <c r="I576" s="64">
        <f>17.9012 * CHOOSE(CONTROL!$C$22, $C$13, 100%, $E$13)</f>
        <v>17.901199999999999</v>
      </c>
      <c r="J576" s="64">
        <f>10.5249 * CHOOSE(CONTROL!$C$22, $C$13, 100%, $E$13)</f>
        <v>10.524900000000001</v>
      </c>
      <c r="K576" s="64">
        <f>10.5352 * CHOOSE(CONTROL!$C$22, $C$13, 100%, $E$13)</f>
        <v>10.5352</v>
      </c>
    </row>
    <row r="577" spans="1:11" ht="15">
      <c r="A577" s="13">
        <v>59050</v>
      </c>
      <c r="B577" s="63">
        <f>9.0401 * CHOOSE(CONTROL!$C$22, $C$13, 100%, $E$13)</f>
        <v>9.0401000000000007</v>
      </c>
      <c r="C577" s="63">
        <f>9.0401 * CHOOSE(CONTROL!$C$22, $C$13, 100%, $E$13)</f>
        <v>9.0401000000000007</v>
      </c>
      <c r="D577" s="63">
        <f>9.0486 * CHOOSE(CONTROL!$C$22, $C$13, 100%, $E$13)</f>
        <v>9.0486000000000004</v>
      </c>
      <c r="E577" s="64">
        <f>10.5042 * CHOOSE(CONTROL!$C$22, $C$13, 100%, $E$13)</f>
        <v>10.504200000000001</v>
      </c>
      <c r="F577" s="64">
        <f>10.5042 * CHOOSE(CONTROL!$C$22, $C$13, 100%, $E$13)</f>
        <v>10.504200000000001</v>
      </c>
      <c r="G577" s="64">
        <f>10.5144 * CHOOSE(CONTROL!$C$22, $C$13, 100%, $E$13)</f>
        <v>10.5144</v>
      </c>
      <c r="H577" s="64">
        <f>17.9282* CHOOSE(CONTROL!$C$22, $C$13, 100%, $E$13)</f>
        <v>17.9282</v>
      </c>
      <c r="I577" s="64">
        <f>17.9384 * CHOOSE(CONTROL!$C$22, $C$13, 100%, $E$13)</f>
        <v>17.938400000000001</v>
      </c>
      <c r="J577" s="64">
        <f>10.5042 * CHOOSE(CONTROL!$C$22, $C$13, 100%, $E$13)</f>
        <v>10.504200000000001</v>
      </c>
      <c r="K577" s="64">
        <f>10.5144 * CHOOSE(CONTROL!$C$22, $C$13, 100%, $E$13)</f>
        <v>10.5144</v>
      </c>
    </row>
    <row r="578" spans="1:11" ht="15">
      <c r="A578" s="13">
        <v>59080</v>
      </c>
      <c r="B578" s="63">
        <f>9.0516 * CHOOSE(CONTROL!$C$22, $C$13, 100%, $E$13)</f>
        <v>9.0516000000000005</v>
      </c>
      <c r="C578" s="63">
        <f>9.0516 * CHOOSE(CONTROL!$C$22, $C$13, 100%, $E$13)</f>
        <v>9.0516000000000005</v>
      </c>
      <c r="D578" s="63">
        <f>9.0516 * CHOOSE(CONTROL!$C$22, $C$13, 100%, $E$13)</f>
        <v>9.0516000000000005</v>
      </c>
      <c r="E578" s="64">
        <f>10.5653 * CHOOSE(CONTROL!$C$22, $C$13, 100%, $E$13)</f>
        <v>10.565300000000001</v>
      </c>
      <c r="F578" s="64">
        <f>10.5653 * CHOOSE(CONTROL!$C$22, $C$13, 100%, $E$13)</f>
        <v>10.565300000000001</v>
      </c>
      <c r="G578" s="64">
        <f>10.5653 * CHOOSE(CONTROL!$C$22, $C$13, 100%, $E$13)</f>
        <v>10.565300000000001</v>
      </c>
      <c r="H578" s="64">
        <f>17.9656* CHOOSE(CONTROL!$C$22, $C$13, 100%, $E$13)</f>
        <v>17.965599999999998</v>
      </c>
      <c r="I578" s="64">
        <f>17.9657 * CHOOSE(CONTROL!$C$22, $C$13, 100%, $E$13)</f>
        <v>17.965699999999998</v>
      </c>
      <c r="J578" s="64">
        <f>10.5653 * CHOOSE(CONTROL!$C$22, $C$13, 100%, $E$13)</f>
        <v>10.565300000000001</v>
      </c>
      <c r="K578" s="64">
        <f>10.5653 * CHOOSE(CONTROL!$C$22, $C$13, 100%, $E$13)</f>
        <v>10.565300000000001</v>
      </c>
    </row>
    <row r="579" spans="1:11" ht="15">
      <c r="A579" s="13">
        <v>59111</v>
      </c>
      <c r="B579" s="63">
        <f>9.0547 * CHOOSE(CONTROL!$C$22, $C$13, 100%, $E$13)</f>
        <v>9.0547000000000004</v>
      </c>
      <c r="C579" s="63">
        <f>9.0547 * CHOOSE(CONTROL!$C$22, $C$13, 100%, $E$13)</f>
        <v>9.0547000000000004</v>
      </c>
      <c r="D579" s="63">
        <f>9.0547 * CHOOSE(CONTROL!$C$22, $C$13, 100%, $E$13)</f>
        <v>9.0547000000000004</v>
      </c>
      <c r="E579" s="64">
        <f>10.6046 * CHOOSE(CONTROL!$C$22, $C$13, 100%, $E$13)</f>
        <v>10.6046</v>
      </c>
      <c r="F579" s="64">
        <f>10.6046 * CHOOSE(CONTROL!$C$22, $C$13, 100%, $E$13)</f>
        <v>10.6046</v>
      </c>
      <c r="G579" s="64">
        <f>10.6047 * CHOOSE(CONTROL!$C$22, $C$13, 100%, $E$13)</f>
        <v>10.604699999999999</v>
      </c>
      <c r="H579" s="64">
        <f>18.003* CHOOSE(CONTROL!$C$22, $C$13, 100%, $E$13)</f>
        <v>18.003</v>
      </c>
      <c r="I579" s="64">
        <f>18.0031 * CHOOSE(CONTROL!$C$22, $C$13, 100%, $E$13)</f>
        <v>18.0031</v>
      </c>
      <c r="J579" s="64">
        <f>10.6046 * CHOOSE(CONTROL!$C$22, $C$13, 100%, $E$13)</f>
        <v>10.6046</v>
      </c>
      <c r="K579" s="64">
        <f>10.6047 * CHOOSE(CONTROL!$C$22, $C$13, 100%, $E$13)</f>
        <v>10.604699999999999</v>
      </c>
    </row>
    <row r="580" spans="1:11" ht="15">
      <c r="A580" s="13">
        <v>59141</v>
      </c>
      <c r="B580" s="63">
        <f>9.0547 * CHOOSE(CONTROL!$C$22, $C$13, 100%, $E$13)</f>
        <v>9.0547000000000004</v>
      </c>
      <c r="C580" s="63">
        <f>9.0547 * CHOOSE(CONTROL!$C$22, $C$13, 100%, $E$13)</f>
        <v>9.0547000000000004</v>
      </c>
      <c r="D580" s="63">
        <f>9.0547 * CHOOSE(CONTROL!$C$22, $C$13, 100%, $E$13)</f>
        <v>9.0547000000000004</v>
      </c>
      <c r="E580" s="64">
        <f>10.5115 * CHOOSE(CONTROL!$C$22, $C$13, 100%, $E$13)</f>
        <v>10.5115</v>
      </c>
      <c r="F580" s="64">
        <f>10.5115 * CHOOSE(CONTROL!$C$22, $C$13, 100%, $E$13)</f>
        <v>10.5115</v>
      </c>
      <c r="G580" s="64">
        <f>10.5116 * CHOOSE(CONTROL!$C$22, $C$13, 100%, $E$13)</f>
        <v>10.5116</v>
      </c>
      <c r="H580" s="64">
        <f>18.0405* CHOOSE(CONTROL!$C$22, $C$13, 100%, $E$13)</f>
        <v>18.040500000000002</v>
      </c>
      <c r="I580" s="64">
        <f>18.0406 * CHOOSE(CONTROL!$C$22, $C$13, 100%, $E$13)</f>
        <v>18.040600000000001</v>
      </c>
      <c r="J580" s="64">
        <f>10.5115 * CHOOSE(CONTROL!$C$22, $C$13, 100%, $E$13)</f>
        <v>10.5115</v>
      </c>
      <c r="K580" s="64">
        <f>10.5116 * CHOOSE(CONTROL!$C$22, $C$13, 100%, $E$13)</f>
        <v>10.5116</v>
      </c>
    </row>
    <row r="581" spans="1:11" ht="15">
      <c r="A581" s="13">
        <v>59172</v>
      </c>
      <c r="B581" s="63">
        <f>9.1318 * CHOOSE(CONTROL!$C$22, $C$13, 100%, $E$13)</f>
        <v>9.1318000000000001</v>
      </c>
      <c r="C581" s="63">
        <f>9.1318 * CHOOSE(CONTROL!$C$22, $C$13, 100%, $E$13)</f>
        <v>9.1318000000000001</v>
      </c>
      <c r="D581" s="63">
        <f>9.1318 * CHOOSE(CONTROL!$C$22, $C$13, 100%, $E$13)</f>
        <v>9.1318000000000001</v>
      </c>
      <c r="E581" s="64">
        <f>10.6637 * CHOOSE(CONTROL!$C$22, $C$13, 100%, $E$13)</f>
        <v>10.6637</v>
      </c>
      <c r="F581" s="64">
        <f>10.6637 * CHOOSE(CONTROL!$C$22, $C$13, 100%, $E$13)</f>
        <v>10.6637</v>
      </c>
      <c r="G581" s="64">
        <f>10.6638 * CHOOSE(CONTROL!$C$22, $C$13, 100%, $E$13)</f>
        <v>10.6638</v>
      </c>
      <c r="H581" s="64">
        <f>18.0781* CHOOSE(CONTROL!$C$22, $C$13, 100%, $E$13)</f>
        <v>18.078099999999999</v>
      </c>
      <c r="I581" s="64">
        <f>18.0782 * CHOOSE(CONTROL!$C$22, $C$13, 100%, $E$13)</f>
        <v>18.078199999999999</v>
      </c>
      <c r="J581" s="64">
        <f>10.6637 * CHOOSE(CONTROL!$C$22, $C$13, 100%, $E$13)</f>
        <v>10.6637</v>
      </c>
      <c r="K581" s="64">
        <f>10.6638 * CHOOSE(CONTROL!$C$22, $C$13, 100%, $E$13)</f>
        <v>10.6638</v>
      </c>
    </row>
    <row r="582" spans="1:11" ht="15">
      <c r="A582" s="13">
        <v>59203</v>
      </c>
      <c r="B582" s="63">
        <f>9.1287 * CHOOSE(CONTROL!$C$22, $C$13, 100%, $E$13)</f>
        <v>9.1287000000000003</v>
      </c>
      <c r="C582" s="63">
        <f>9.1287 * CHOOSE(CONTROL!$C$22, $C$13, 100%, $E$13)</f>
        <v>9.1287000000000003</v>
      </c>
      <c r="D582" s="63">
        <f>9.1287 * CHOOSE(CONTROL!$C$22, $C$13, 100%, $E$13)</f>
        <v>9.1287000000000003</v>
      </c>
      <c r="E582" s="64">
        <f>10.4807 * CHOOSE(CONTROL!$C$22, $C$13, 100%, $E$13)</f>
        <v>10.480700000000001</v>
      </c>
      <c r="F582" s="64">
        <f>10.4807 * CHOOSE(CONTROL!$C$22, $C$13, 100%, $E$13)</f>
        <v>10.480700000000001</v>
      </c>
      <c r="G582" s="64">
        <f>10.4808 * CHOOSE(CONTROL!$C$22, $C$13, 100%, $E$13)</f>
        <v>10.4808</v>
      </c>
      <c r="H582" s="64">
        <f>18.1158* CHOOSE(CONTROL!$C$22, $C$13, 100%, $E$13)</f>
        <v>18.1158</v>
      </c>
      <c r="I582" s="64">
        <f>18.1158 * CHOOSE(CONTROL!$C$22, $C$13, 100%, $E$13)</f>
        <v>18.1158</v>
      </c>
      <c r="J582" s="64">
        <f>10.4807 * CHOOSE(CONTROL!$C$22, $C$13, 100%, $E$13)</f>
        <v>10.480700000000001</v>
      </c>
      <c r="K582" s="64">
        <f>10.4808 * CHOOSE(CONTROL!$C$22, $C$13, 100%, $E$13)</f>
        <v>10.4808</v>
      </c>
    </row>
    <row r="583" spans="1:11" ht="15">
      <c r="A583" s="13">
        <v>59231</v>
      </c>
      <c r="B583" s="63">
        <f>9.1257 * CHOOSE(CONTROL!$C$22, $C$13, 100%, $E$13)</f>
        <v>9.1257000000000001</v>
      </c>
      <c r="C583" s="63">
        <f>9.1257 * CHOOSE(CONTROL!$C$22, $C$13, 100%, $E$13)</f>
        <v>9.1257000000000001</v>
      </c>
      <c r="D583" s="63">
        <f>9.1257 * CHOOSE(CONTROL!$C$22, $C$13, 100%, $E$13)</f>
        <v>9.1257000000000001</v>
      </c>
      <c r="E583" s="64">
        <f>10.6212 * CHOOSE(CONTROL!$C$22, $C$13, 100%, $E$13)</f>
        <v>10.6212</v>
      </c>
      <c r="F583" s="64">
        <f>10.6212 * CHOOSE(CONTROL!$C$22, $C$13, 100%, $E$13)</f>
        <v>10.6212</v>
      </c>
      <c r="G583" s="64">
        <f>10.6213 * CHOOSE(CONTROL!$C$22, $C$13, 100%, $E$13)</f>
        <v>10.6213</v>
      </c>
      <c r="H583" s="64">
        <f>18.1535* CHOOSE(CONTROL!$C$22, $C$13, 100%, $E$13)</f>
        <v>18.153500000000001</v>
      </c>
      <c r="I583" s="64">
        <f>18.1536 * CHOOSE(CONTROL!$C$22, $C$13, 100%, $E$13)</f>
        <v>18.153600000000001</v>
      </c>
      <c r="J583" s="64">
        <f>10.6212 * CHOOSE(CONTROL!$C$22, $C$13, 100%, $E$13)</f>
        <v>10.6212</v>
      </c>
      <c r="K583" s="64">
        <f>10.6213 * CHOOSE(CONTROL!$C$22, $C$13, 100%, $E$13)</f>
        <v>10.6213</v>
      </c>
    </row>
    <row r="584" spans="1:11" ht="15">
      <c r="A584" s="13">
        <v>59262</v>
      </c>
      <c r="B584" s="63">
        <f>9.1277 * CHOOSE(CONTROL!$C$22, $C$13, 100%, $E$13)</f>
        <v>9.1277000000000008</v>
      </c>
      <c r="C584" s="63">
        <f>9.1277 * CHOOSE(CONTROL!$C$22, $C$13, 100%, $E$13)</f>
        <v>9.1277000000000008</v>
      </c>
      <c r="D584" s="63">
        <f>9.1277 * CHOOSE(CONTROL!$C$22, $C$13, 100%, $E$13)</f>
        <v>9.1277000000000008</v>
      </c>
      <c r="E584" s="64">
        <f>10.7701 * CHOOSE(CONTROL!$C$22, $C$13, 100%, $E$13)</f>
        <v>10.770099999999999</v>
      </c>
      <c r="F584" s="64">
        <f>10.7701 * CHOOSE(CONTROL!$C$22, $C$13, 100%, $E$13)</f>
        <v>10.770099999999999</v>
      </c>
      <c r="G584" s="64">
        <f>10.7702 * CHOOSE(CONTROL!$C$22, $C$13, 100%, $E$13)</f>
        <v>10.770200000000001</v>
      </c>
      <c r="H584" s="64">
        <f>18.1913* CHOOSE(CONTROL!$C$22, $C$13, 100%, $E$13)</f>
        <v>18.191299999999998</v>
      </c>
      <c r="I584" s="64">
        <f>18.1914 * CHOOSE(CONTROL!$C$22, $C$13, 100%, $E$13)</f>
        <v>18.191400000000002</v>
      </c>
      <c r="J584" s="64">
        <f>10.7701 * CHOOSE(CONTROL!$C$22, $C$13, 100%, $E$13)</f>
        <v>10.770099999999999</v>
      </c>
      <c r="K584" s="64">
        <f>10.7702 * CHOOSE(CONTROL!$C$22, $C$13, 100%, $E$13)</f>
        <v>10.770200000000001</v>
      </c>
    </row>
    <row r="585" spans="1:11" ht="15">
      <c r="A585" s="13">
        <v>59292</v>
      </c>
      <c r="B585" s="63">
        <f>9.1277 * CHOOSE(CONTROL!$C$22, $C$13, 100%, $E$13)</f>
        <v>9.1277000000000008</v>
      </c>
      <c r="C585" s="63">
        <f>9.1277 * CHOOSE(CONTROL!$C$22, $C$13, 100%, $E$13)</f>
        <v>9.1277000000000008</v>
      </c>
      <c r="D585" s="63">
        <f>9.1361 * CHOOSE(CONTROL!$C$22, $C$13, 100%, $E$13)</f>
        <v>9.1361000000000008</v>
      </c>
      <c r="E585" s="64">
        <f>10.8276 * CHOOSE(CONTROL!$C$22, $C$13, 100%, $E$13)</f>
        <v>10.8276</v>
      </c>
      <c r="F585" s="64">
        <f>10.8276 * CHOOSE(CONTROL!$C$22, $C$13, 100%, $E$13)</f>
        <v>10.8276</v>
      </c>
      <c r="G585" s="64">
        <f>10.8378 * CHOOSE(CONTROL!$C$22, $C$13, 100%, $E$13)</f>
        <v>10.8378</v>
      </c>
      <c r="H585" s="64">
        <f>18.2292* CHOOSE(CONTROL!$C$22, $C$13, 100%, $E$13)</f>
        <v>18.229199999999999</v>
      </c>
      <c r="I585" s="64">
        <f>18.2394 * CHOOSE(CONTROL!$C$22, $C$13, 100%, $E$13)</f>
        <v>18.2394</v>
      </c>
      <c r="J585" s="64">
        <f>10.8276 * CHOOSE(CONTROL!$C$22, $C$13, 100%, $E$13)</f>
        <v>10.8276</v>
      </c>
      <c r="K585" s="64">
        <f>10.8378 * CHOOSE(CONTROL!$C$22, $C$13, 100%, $E$13)</f>
        <v>10.8378</v>
      </c>
    </row>
    <row r="586" spans="1:11" ht="15">
      <c r="A586" s="13">
        <v>59323</v>
      </c>
      <c r="B586" s="63">
        <f>9.1337 * CHOOSE(CONTROL!$C$22, $C$13, 100%, $E$13)</f>
        <v>9.1336999999999993</v>
      </c>
      <c r="C586" s="63">
        <f>9.1337 * CHOOSE(CONTROL!$C$22, $C$13, 100%, $E$13)</f>
        <v>9.1336999999999993</v>
      </c>
      <c r="D586" s="63">
        <f>9.1422 * CHOOSE(CONTROL!$C$22, $C$13, 100%, $E$13)</f>
        <v>9.1422000000000008</v>
      </c>
      <c r="E586" s="64">
        <f>10.7744 * CHOOSE(CONTROL!$C$22, $C$13, 100%, $E$13)</f>
        <v>10.7744</v>
      </c>
      <c r="F586" s="64">
        <f>10.7744 * CHOOSE(CONTROL!$C$22, $C$13, 100%, $E$13)</f>
        <v>10.7744</v>
      </c>
      <c r="G586" s="64">
        <f>10.7846 * CHOOSE(CONTROL!$C$22, $C$13, 100%, $E$13)</f>
        <v>10.784599999999999</v>
      </c>
      <c r="H586" s="64">
        <f>18.2672* CHOOSE(CONTROL!$C$22, $C$13, 100%, $E$13)</f>
        <v>18.267199999999999</v>
      </c>
      <c r="I586" s="64">
        <f>18.2774 * CHOOSE(CONTROL!$C$22, $C$13, 100%, $E$13)</f>
        <v>18.2774</v>
      </c>
      <c r="J586" s="64">
        <f>10.7744 * CHOOSE(CONTROL!$C$22, $C$13, 100%, $E$13)</f>
        <v>10.7744</v>
      </c>
      <c r="K586" s="64">
        <f>10.7846 * CHOOSE(CONTROL!$C$22, $C$13, 100%, $E$13)</f>
        <v>10.784599999999999</v>
      </c>
    </row>
    <row r="587" spans="1:11" ht="15">
      <c r="A587" s="13">
        <v>59353</v>
      </c>
      <c r="B587" s="63">
        <f>9.2757 * CHOOSE(CONTROL!$C$22, $C$13, 100%, $E$13)</f>
        <v>9.2757000000000005</v>
      </c>
      <c r="C587" s="63">
        <f>9.2757 * CHOOSE(CONTROL!$C$22, $C$13, 100%, $E$13)</f>
        <v>9.2757000000000005</v>
      </c>
      <c r="D587" s="63">
        <f>9.2841 * CHOOSE(CONTROL!$C$22, $C$13, 100%, $E$13)</f>
        <v>9.2841000000000005</v>
      </c>
      <c r="E587" s="64">
        <f>10.9496 * CHOOSE(CONTROL!$C$22, $C$13, 100%, $E$13)</f>
        <v>10.9496</v>
      </c>
      <c r="F587" s="64">
        <f>10.9496 * CHOOSE(CONTROL!$C$22, $C$13, 100%, $E$13)</f>
        <v>10.9496</v>
      </c>
      <c r="G587" s="64">
        <f>10.9599 * CHOOSE(CONTROL!$C$22, $C$13, 100%, $E$13)</f>
        <v>10.959899999999999</v>
      </c>
      <c r="H587" s="64">
        <f>18.3052* CHOOSE(CONTROL!$C$22, $C$13, 100%, $E$13)</f>
        <v>18.305199999999999</v>
      </c>
      <c r="I587" s="64">
        <f>18.3155 * CHOOSE(CONTROL!$C$22, $C$13, 100%, $E$13)</f>
        <v>18.3155</v>
      </c>
      <c r="J587" s="64">
        <f>10.9496 * CHOOSE(CONTROL!$C$22, $C$13, 100%, $E$13)</f>
        <v>10.9496</v>
      </c>
      <c r="K587" s="64">
        <f>10.9599 * CHOOSE(CONTROL!$C$22, $C$13, 100%, $E$13)</f>
        <v>10.959899999999999</v>
      </c>
    </row>
    <row r="588" spans="1:11" ht="15">
      <c r="A588" s="13">
        <v>59384</v>
      </c>
      <c r="B588" s="63">
        <f>9.2823 * CHOOSE(CONTROL!$C$22, $C$13, 100%, $E$13)</f>
        <v>9.2822999999999993</v>
      </c>
      <c r="C588" s="63">
        <f>9.2823 * CHOOSE(CONTROL!$C$22, $C$13, 100%, $E$13)</f>
        <v>9.2822999999999993</v>
      </c>
      <c r="D588" s="63">
        <f>9.2908 * CHOOSE(CONTROL!$C$22, $C$13, 100%, $E$13)</f>
        <v>9.2908000000000008</v>
      </c>
      <c r="E588" s="64">
        <f>10.782 * CHOOSE(CONTROL!$C$22, $C$13, 100%, $E$13)</f>
        <v>10.782</v>
      </c>
      <c r="F588" s="64">
        <f>10.782 * CHOOSE(CONTROL!$C$22, $C$13, 100%, $E$13)</f>
        <v>10.782</v>
      </c>
      <c r="G588" s="64">
        <f>10.7922 * CHOOSE(CONTROL!$C$22, $C$13, 100%, $E$13)</f>
        <v>10.792199999999999</v>
      </c>
      <c r="H588" s="64">
        <f>18.3434* CHOOSE(CONTROL!$C$22, $C$13, 100%, $E$13)</f>
        <v>18.343399999999999</v>
      </c>
      <c r="I588" s="64">
        <f>18.3536 * CHOOSE(CONTROL!$C$22, $C$13, 100%, $E$13)</f>
        <v>18.3536</v>
      </c>
      <c r="J588" s="64">
        <f>10.782 * CHOOSE(CONTROL!$C$22, $C$13, 100%, $E$13)</f>
        <v>10.782</v>
      </c>
      <c r="K588" s="64">
        <f>10.7922 * CHOOSE(CONTROL!$C$22, $C$13, 100%, $E$13)</f>
        <v>10.792199999999999</v>
      </c>
    </row>
    <row r="589" spans="1:11" ht="15">
      <c r="A589" s="13">
        <v>59415</v>
      </c>
      <c r="B589" s="63">
        <f>9.2793 * CHOOSE(CONTROL!$C$22, $C$13, 100%, $E$13)</f>
        <v>9.2792999999999992</v>
      </c>
      <c r="C589" s="63">
        <f>9.2793 * CHOOSE(CONTROL!$C$22, $C$13, 100%, $E$13)</f>
        <v>9.2792999999999992</v>
      </c>
      <c r="D589" s="63">
        <f>9.2877 * CHOOSE(CONTROL!$C$22, $C$13, 100%, $E$13)</f>
        <v>9.2876999999999992</v>
      </c>
      <c r="E589" s="64">
        <f>10.7607 * CHOOSE(CONTROL!$C$22, $C$13, 100%, $E$13)</f>
        <v>10.7607</v>
      </c>
      <c r="F589" s="64">
        <f>10.7607 * CHOOSE(CONTROL!$C$22, $C$13, 100%, $E$13)</f>
        <v>10.7607</v>
      </c>
      <c r="G589" s="64">
        <f>10.771 * CHOOSE(CONTROL!$C$22, $C$13, 100%, $E$13)</f>
        <v>10.771000000000001</v>
      </c>
      <c r="H589" s="64">
        <f>18.3816* CHOOSE(CONTROL!$C$22, $C$13, 100%, $E$13)</f>
        <v>18.381599999999999</v>
      </c>
      <c r="I589" s="64">
        <f>18.3918 * CHOOSE(CONTROL!$C$22, $C$13, 100%, $E$13)</f>
        <v>18.3918</v>
      </c>
      <c r="J589" s="64">
        <f>10.7607 * CHOOSE(CONTROL!$C$22, $C$13, 100%, $E$13)</f>
        <v>10.7607</v>
      </c>
      <c r="K589" s="64">
        <f>10.771 * CHOOSE(CONTROL!$C$22, $C$13, 100%, $E$13)</f>
        <v>10.771000000000001</v>
      </c>
    </row>
    <row r="590" spans="1:11" ht="15">
      <c r="A590" s="13">
        <v>59445</v>
      </c>
      <c r="B590" s="63">
        <f>9.2916 * CHOOSE(CONTROL!$C$22, $C$13, 100%, $E$13)</f>
        <v>9.2916000000000007</v>
      </c>
      <c r="C590" s="63">
        <f>9.2916 * CHOOSE(CONTROL!$C$22, $C$13, 100%, $E$13)</f>
        <v>9.2916000000000007</v>
      </c>
      <c r="D590" s="63">
        <f>9.2916 * CHOOSE(CONTROL!$C$22, $C$13, 100%, $E$13)</f>
        <v>9.2916000000000007</v>
      </c>
      <c r="E590" s="64">
        <f>10.8239 * CHOOSE(CONTROL!$C$22, $C$13, 100%, $E$13)</f>
        <v>10.8239</v>
      </c>
      <c r="F590" s="64">
        <f>10.8239 * CHOOSE(CONTROL!$C$22, $C$13, 100%, $E$13)</f>
        <v>10.8239</v>
      </c>
      <c r="G590" s="64">
        <f>10.824 * CHOOSE(CONTROL!$C$22, $C$13, 100%, $E$13)</f>
        <v>10.824</v>
      </c>
      <c r="H590" s="64">
        <f>18.4199* CHOOSE(CONTROL!$C$22, $C$13, 100%, $E$13)</f>
        <v>18.419899999999998</v>
      </c>
      <c r="I590" s="64">
        <f>18.42 * CHOOSE(CONTROL!$C$22, $C$13, 100%, $E$13)</f>
        <v>18.420000000000002</v>
      </c>
      <c r="J590" s="64">
        <f>10.8239 * CHOOSE(CONTROL!$C$22, $C$13, 100%, $E$13)</f>
        <v>10.8239</v>
      </c>
      <c r="K590" s="64">
        <f>10.824 * CHOOSE(CONTROL!$C$22, $C$13, 100%, $E$13)</f>
        <v>10.824</v>
      </c>
    </row>
    <row r="591" spans="1:11" ht="15">
      <c r="A591" s="13">
        <v>59476</v>
      </c>
      <c r="B591" s="63">
        <f>9.2946 * CHOOSE(CONTROL!$C$22, $C$13, 100%, $E$13)</f>
        <v>9.2946000000000009</v>
      </c>
      <c r="C591" s="63">
        <f>9.2946 * CHOOSE(CONTROL!$C$22, $C$13, 100%, $E$13)</f>
        <v>9.2946000000000009</v>
      </c>
      <c r="D591" s="63">
        <f>9.2946 * CHOOSE(CONTROL!$C$22, $C$13, 100%, $E$13)</f>
        <v>9.2946000000000009</v>
      </c>
      <c r="E591" s="64">
        <f>10.8643 * CHOOSE(CONTROL!$C$22, $C$13, 100%, $E$13)</f>
        <v>10.8643</v>
      </c>
      <c r="F591" s="64">
        <f>10.8643 * CHOOSE(CONTROL!$C$22, $C$13, 100%, $E$13)</f>
        <v>10.8643</v>
      </c>
      <c r="G591" s="64">
        <f>10.8644 * CHOOSE(CONTROL!$C$22, $C$13, 100%, $E$13)</f>
        <v>10.8644</v>
      </c>
      <c r="H591" s="64">
        <f>18.4583* CHOOSE(CONTROL!$C$22, $C$13, 100%, $E$13)</f>
        <v>18.458300000000001</v>
      </c>
      <c r="I591" s="64">
        <f>18.4583 * CHOOSE(CONTROL!$C$22, $C$13, 100%, $E$13)</f>
        <v>18.458300000000001</v>
      </c>
      <c r="J591" s="64">
        <f>10.8643 * CHOOSE(CONTROL!$C$22, $C$13, 100%, $E$13)</f>
        <v>10.8643</v>
      </c>
      <c r="K591" s="64">
        <f>10.8644 * CHOOSE(CONTROL!$C$22, $C$13, 100%, $E$13)</f>
        <v>10.8644</v>
      </c>
    </row>
    <row r="592" spans="1:11" ht="15">
      <c r="A592" s="13">
        <v>59506</v>
      </c>
      <c r="B592" s="63">
        <f>9.2946 * CHOOSE(CONTROL!$C$22, $C$13, 100%, $E$13)</f>
        <v>9.2946000000000009</v>
      </c>
      <c r="C592" s="63">
        <f>9.2946 * CHOOSE(CONTROL!$C$22, $C$13, 100%, $E$13)</f>
        <v>9.2946000000000009</v>
      </c>
      <c r="D592" s="63">
        <f>9.2946 * CHOOSE(CONTROL!$C$22, $C$13, 100%, $E$13)</f>
        <v>9.2946000000000009</v>
      </c>
      <c r="E592" s="64">
        <f>10.7686 * CHOOSE(CONTROL!$C$22, $C$13, 100%, $E$13)</f>
        <v>10.768599999999999</v>
      </c>
      <c r="F592" s="64">
        <f>10.7686 * CHOOSE(CONTROL!$C$22, $C$13, 100%, $E$13)</f>
        <v>10.768599999999999</v>
      </c>
      <c r="G592" s="64">
        <f>10.7687 * CHOOSE(CONTROL!$C$22, $C$13, 100%, $E$13)</f>
        <v>10.768700000000001</v>
      </c>
      <c r="H592" s="64">
        <f>18.4967* CHOOSE(CONTROL!$C$22, $C$13, 100%, $E$13)</f>
        <v>18.496700000000001</v>
      </c>
      <c r="I592" s="64">
        <f>18.4968 * CHOOSE(CONTROL!$C$22, $C$13, 100%, $E$13)</f>
        <v>18.4968</v>
      </c>
      <c r="J592" s="64">
        <f>10.7686 * CHOOSE(CONTROL!$C$22, $C$13, 100%, $E$13)</f>
        <v>10.768599999999999</v>
      </c>
      <c r="K592" s="64">
        <f>10.7687 * CHOOSE(CONTROL!$C$22, $C$13, 100%, $E$13)</f>
        <v>10.768700000000001</v>
      </c>
    </row>
    <row r="593" spans="1:11" ht="15">
      <c r="A593" s="13">
        <v>59537</v>
      </c>
      <c r="B593" s="63">
        <f>9.3673 * CHOOSE(CONTROL!$C$22, $C$13, 100%, $E$13)</f>
        <v>9.3673000000000002</v>
      </c>
      <c r="C593" s="63">
        <f>9.3673 * CHOOSE(CONTROL!$C$22, $C$13, 100%, $E$13)</f>
        <v>9.3673000000000002</v>
      </c>
      <c r="D593" s="63">
        <f>9.3673 * CHOOSE(CONTROL!$C$22, $C$13, 100%, $E$13)</f>
        <v>9.3673000000000002</v>
      </c>
      <c r="E593" s="64">
        <f>10.9185 * CHOOSE(CONTROL!$C$22, $C$13, 100%, $E$13)</f>
        <v>10.9185</v>
      </c>
      <c r="F593" s="64">
        <f>10.9185 * CHOOSE(CONTROL!$C$22, $C$13, 100%, $E$13)</f>
        <v>10.9185</v>
      </c>
      <c r="G593" s="64">
        <f>10.9186 * CHOOSE(CONTROL!$C$22, $C$13, 100%, $E$13)</f>
        <v>10.9186</v>
      </c>
      <c r="H593" s="64">
        <f>18.524* CHOOSE(CONTROL!$C$22, $C$13, 100%, $E$13)</f>
        <v>18.524000000000001</v>
      </c>
      <c r="I593" s="64">
        <f>18.5241 * CHOOSE(CONTROL!$C$22, $C$13, 100%, $E$13)</f>
        <v>18.524100000000001</v>
      </c>
      <c r="J593" s="64">
        <f>10.9185 * CHOOSE(CONTROL!$C$22, $C$13, 100%, $E$13)</f>
        <v>10.9185</v>
      </c>
      <c r="K593" s="64">
        <f>10.9186 * CHOOSE(CONTROL!$C$22, $C$13, 100%, $E$13)</f>
        <v>10.9186</v>
      </c>
    </row>
    <row r="594" spans="1:11" ht="15">
      <c r="A594" s="13">
        <v>59568</v>
      </c>
      <c r="B594" s="63">
        <f>9.3643 * CHOOSE(CONTROL!$C$22, $C$13, 100%, $E$13)</f>
        <v>9.3643000000000001</v>
      </c>
      <c r="C594" s="63">
        <f>9.3643 * CHOOSE(CONTROL!$C$22, $C$13, 100%, $E$13)</f>
        <v>9.3643000000000001</v>
      </c>
      <c r="D594" s="63">
        <f>9.3643 * CHOOSE(CONTROL!$C$22, $C$13, 100%, $E$13)</f>
        <v>9.3643000000000001</v>
      </c>
      <c r="E594" s="64">
        <f>10.7305 * CHOOSE(CONTROL!$C$22, $C$13, 100%, $E$13)</f>
        <v>10.730499999999999</v>
      </c>
      <c r="F594" s="64">
        <f>10.7305 * CHOOSE(CONTROL!$C$22, $C$13, 100%, $E$13)</f>
        <v>10.730499999999999</v>
      </c>
      <c r="G594" s="64">
        <f>10.7306 * CHOOSE(CONTROL!$C$22, $C$13, 100%, $E$13)</f>
        <v>10.730600000000001</v>
      </c>
      <c r="H594" s="64">
        <f>18.5626* CHOOSE(CONTROL!$C$22, $C$13, 100%, $E$13)</f>
        <v>18.5626</v>
      </c>
      <c r="I594" s="64">
        <f>18.5627 * CHOOSE(CONTROL!$C$22, $C$13, 100%, $E$13)</f>
        <v>18.5627</v>
      </c>
      <c r="J594" s="64">
        <f>10.7305 * CHOOSE(CONTROL!$C$22, $C$13, 100%, $E$13)</f>
        <v>10.730499999999999</v>
      </c>
      <c r="K594" s="64">
        <f>10.7306 * CHOOSE(CONTROL!$C$22, $C$13, 100%, $E$13)</f>
        <v>10.730600000000001</v>
      </c>
    </row>
    <row r="595" spans="1:11" ht="15">
      <c r="A595" s="13">
        <v>59596</v>
      </c>
      <c r="B595" s="63">
        <f>9.3612 * CHOOSE(CONTROL!$C$22, $C$13, 100%, $E$13)</f>
        <v>9.3612000000000002</v>
      </c>
      <c r="C595" s="63">
        <f>9.3612 * CHOOSE(CONTROL!$C$22, $C$13, 100%, $E$13)</f>
        <v>9.3612000000000002</v>
      </c>
      <c r="D595" s="63">
        <f>9.3612 * CHOOSE(CONTROL!$C$22, $C$13, 100%, $E$13)</f>
        <v>9.3612000000000002</v>
      </c>
      <c r="E595" s="64">
        <f>10.8749 * CHOOSE(CONTROL!$C$22, $C$13, 100%, $E$13)</f>
        <v>10.8749</v>
      </c>
      <c r="F595" s="64">
        <f>10.8749 * CHOOSE(CONTROL!$C$22, $C$13, 100%, $E$13)</f>
        <v>10.8749</v>
      </c>
      <c r="G595" s="64">
        <f>10.875 * CHOOSE(CONTROL!$C$22, $C$13, 100%, $E$13)</f>
        <v>10.875</v>
      </c>
      <c r="H595" s="64">
        <f>18.6012* CHOOSE(CONTROL!$C$22, $C$13, 100%, $E$13)</f>
        <v>18.601199999999999</v>
      </c>
      <c r="I595" s="64">
        <f>18.6013 * CHOOSE(CONTROL!$C$22, $C$13, 100%, $E$13)</f>
        <v>18.601299999999998</v>
      </c>
      <c r="J595" s="64">
        <f>10.8749 * CHOOSE(CONTROL!$C$22, $C$13, 100%, $E$13)</f>
        <v>10.8749</v>
      </c>
      <c r="K595" s="64">
        <f>10.875 * CHOOSE(CONTROL!$C$22, $C$13, 100%, $E$13)</f>
        <v>10.875</v>
      </c>
    </row>
    <row r="596" spans="1:11" ht="15">
      <c r="A596" s="13">
        <v>59627</v>
      </c>
      <c r="B596" s="63">
        <f>9.3634 * CHOOSE(CONTROL!$C$22, $C$13, 100%, $E$13)</f>
        <v>9.3634000000000004</v>
      </c>
      <c r="C596" s="63">
        <f>9.3634 * CHOOSE(CONTROL!$C$22, $C$13, 100%, $E$13)</f>
        <v>9.3634000000000004</v>
      </c>
      <c r="D596" s="63">
        <f>9.3634 * CHOOSE(CONTROL!$C$22, $C$13, 100%, $E$13)</f>
        <v>9.3634000000000004</v>
      </c>
      <c r="E596" s="64">
        <f>11.028 * CHOOSE(CONTROL!$C$22, $C$13, 100%, $E$13)</f>
        <v>11.028</v>
      </c>
      <c r="F596" s="64">
        <f>11.028 * CHOOSE(CONTROL!$C$22, $C$13, 100%, $E$13)</f>
        <v>11.028</v>
      </c>
      <c r="G596" s="64">
        <f>11.0281 * CHOOSE(CONTROL!$C$22, $C$13, 100%, $E$13)</f>
        <v>11.0281</v>
      </c>
      <c r="H596" s="64">
        <f>18.64* CHOOSE(CONTROL!$C$22, $C$13, 100%, $E$13)</f>
        <v>18.64</v>
      </c>
      <c r="I596" s="64">
        <f>18.6401 * CHOOSE(CONTROL!$C$22, $C$13, 100%, $E$13)</f>
        <v>18.6401</v>
      </c>
      <c r="J596" s="64">
        <f>11.028 * CHOOSE(CONTROL!$C$22, $C$13, 100%, $E$13)</f>
        <v>11.028</v>
      </c>
      <c r="K596" s="64">
        <f>11.0281 * CHOOSE(CONTROL!$C$22, $C$13, 100%, $E$13)</f>
        <v>11.0281</v>
      </c>
    </row>
    <row r="597" spans="1:11" ht="15">
      <c r="A597" s="13">
        <v>59657</v>
      </c>
      <c r="B597" s="63">
        <f>9.3634 * CHOOSE(CONTROL!$C$22, $C$13, 100%, $E$13)</f>
        <v>9.3634000000000004</v>
      </c>
      <c r="C597" s="63">
        <f>9.3634 * CHOOSE(CONTROL!$C$22, $C$13, 100%, $E$13)</f>
        <v>9.3634000000000004</v>
      </c>
      <c r="D597" s="63">
        <f>9.3719 * CHOOSE(CONTROL!$C$22, $C$13, 100%, $E$13)</f>
        <v>9.3719000000000001</v>
      </c>
      <c r="E597" s="64">
        <f>11.087 * CHOOSE(CONTROL!$C$22, $C$13, 100%, $E$13)</f>
        <v>11.087</v>
      </c>
      <c r="F597" s="64">
        <f>11.087 * CHOOSE(CONTROL!$C$22, $C$13, 100%, $E$13)</f>
        <v>11.087</v>
      </c>
      <c r="G597" s="64">
        <f>11.0972 * CHOOSE(CONTROL!$C$22, $C$13, 100%, $E$13)</f>
        <v>11.097200000000001</v>
      </c>
      <c r="H597" s="64">
        <f>18.6788* CHOOSE(CONTROL!$C$22, $C$13, 100%, $E$13)</f>
        <v>18.678799999999999</v>
      </c>
      <c r="I597" s="64">
        <f>18.6891 * CHOOSE(CONTROL!$C$22, $C$13, 100%, $E$13)</f>
        <v>18.6891</v>
      </c>
      <c r="J597" s="64">
        <f>11.087 * CHOOSE(CONTROL!$C$22, $C$13, 100%, $E$13)</f>
        <v>11.087</v>
      </c>
      <c r="K597" s="64">
        <f>11.0972 * CHOOSE(CONTROL!$C$22, $C$13, 100%, $E$13)</f>
        <v>11.097200000000001</v>
      </c>
    </row>
    <row r="598" spans="1:11" ht="15">
      <c r="A598" s="13">
        <v>59688</v>
      </c>
      <c r="B598" s="63">
        <f>9.3695 * CHOOSE(CONTROL!$C$22, $C$13, 100%, $E$13)</f>
        <v>9.3695000000000004</v>
      </c>
      <c r="C598" s="63">
        <f>9.3695 * CHOOSE(CONTROL!$C$22, $C$13, 100%, $E$13)</f>
        <v>9.3695000000000004</v>
      </c>
      <c r="D598" s="63">
        <f>9.3779 * CHOOSE(CONTROL!$C$22, $C$13, 100%, $E$13)</f>
        <v>9.3779000000000003</v>
      </c>
      <c r="E598" s="64">
        <f>11.0322 * CHOOSE(CONTROL!$C$22, $C$13, 100%, $E$13)</f>
        <v>11.0322</v>
      </c>
      <c r="F598" s="64">
        <f>11.0322 * CHOOSE(CONTROL!$C$22, $C$13, 100%, $E$13)</f>
        <v>11.0322</v>
      </c>
      <c r="G598" s="64">
        <f>11.0425 * CHOOSE(CONTROL!$C$22, $C$13, 100%, $E$13)</f>
        <v>11.0425</v>
      </c>
      <c r="H598" s="64">
        <f>18.7177* CHOOSE(CONTROL!$C$22, $C$13, 100%, $E$13)</f>
        <v>18.717700000000001</v>
      </c>
      <c r="I598" s="64">
        <f>18.728 * CHOOSE(CONTROL!$C$22, $C$13, 100%, $E$13)</f>
        <v>18.728000000000002</v>
      </c>
      <c r="J598" s="64">
        <f>11.0322 * CHOOSE(CONTROL!$C$22, $C$13, 100%, $E$13)</f>
        <v>11.0322</v>
      </c>
      <c r="K598" s="64">
        <f>11.0425 * CHOOSE(CONTROL!$C$22, $C$13, 100%, $E$13)</f>
        <v>11.0425</v>
      </c>
    </row>
    <row r="599" spans="1:11" ht="15">
      <c r="A599" s="13">
        <v>59718</v>
      </c>
      <c r="B599" s="63">
        <f>9.5148 * CHOOSE(CONTROL!$C$22, $C$13, 100%, $E$13)</f>
        <v>9.5147999999999993</v>
      </c>
      <c r="C599" s="63">
        <f>9.5148 * CHOOSE(CONTROL!$C$22, $C$13, 100%, $E$13)</f>
        <v>9.5147999999999993</v>
      </c>
      <c r="D599" s="63">
        <f>9.5233 * CHOOSE(CONTROL!$C$22, $C$13, 100%, $E$13)</f>
        <v>9.5233000000000008</v>
      </c>
      <c r="E599" s="64">
        <f>11.2114 * CHOOSE(CONTROL!$C$22, $C$13, 100%, $E$13)</f>
        <v>11.211399999999999</v>
      </c>
      <c r="F599" s="64">
        <f>11.2114 * CHOOSE(CONTROL!$C$22, $C$13, 100%, $E$13)</f>
        <v>11.211399999999999</v>
      </c>
      <c r="G599" s="64">
        <f>11.2216 * CHOOSE(CONTROL!$C$22, $C$13, 100%, $E$13)</f>
        <v>11.2216</v>
      </c>
      <c r="H599" s="64">
        <f>18.7567* CHOOSE(CONTROL!$C$22, $C$13, 100%, $E$13)</f>
        <v>18.756699999999999</v>
      </c>
      <c r="I599" s="64">
        <f>18.767 * CHOOSE(CONTROL!$C$22, $C$13, 100%, $E$13)</f>
        <v>18.766999999999999</v>
      </c>
      <c r="J599" s="64">
        <f>11.2114 * CHOOSE(CONTROL!$C$22, $C$13, 100%, $E$13)</f>
        <v>11.211399999999999</v>
      </c>
      <c r="K599" s="64">
        <f>11.2216 * CHOOSE(CONTROL!$C$22, $C$13, 100%, $E$13)</f>
        <v>11.2216</v>
      </c>
    </row>
    <row r="600" spans="1:11" ht="15">
      <c r="A600" s="13">
        <v>59749</v>
      </c>
      <c r="B600" s="63">
        <f>9.5215 * CHOOSE(CONTROL!$C$22, $C$13, 100%, $E$13)</f>
        <v>9.5214999999999996</v>
      </c>
      <c r="C600" s="63">
        <f>9.5215 * CHOOSE(CONTROL!$C$22, $C$13, 100%, $E$13)</f>
        <v>9.5214999999999996</v>
      </c>
      <c r="D600" s="63">
        <f>9.53 * CHOOSE(CONTROL!$C$22, $C$13, 100%, $E$13)</f>
        <v>9.5299999999999994</v>
      </c>
      <c r="E600" s="64">
        <f>11.0391 * CHOOSE(CONTROL!$C$22, $C$13, 100%, $E$13)</f>
        <v>11.039099999999999</v>
      </c>
      <c r="F600" s="64">
        <f>11.0391 * CHOOSE(CONTROL!$C$22, $C$13, 100%, $E$13)</f>
        <v>11.039099999999999</v>
      </c>
      <c r="G600" s="64">
        <f>11.0493 * CHOOSE(CONTROL!$C$22, $C$13, 100%, $E$13)</f>
        <v>11.049300000000001</v>
      </c>
      <c r="H600" s="64">
        <f>18.7958* CHOOSE(CONTROL!$C$22, $C$13, 100%, $E$13)</f>
        <v>18.7958</v>
      </c>
      <c r="I600" s="64">
        <f>18.806 * CHOOSE(CONTROL!$C$22, $C$13, 100%, $E$13)</f>
        <v>18.806000000000001</v>
      </c>
      <c r="J600" s="64">
        <f>11.0391 * CHOOSE(CONTROL!$C$22, $C$13, 100%, $E$13)</f>
        <v>11.039099999999999</v>
      </c>
      <c r="K600" s="64">
        <f>11.0493 * CHOOSE(CONTROL!$C$22, $C$13, 100%, $E$13)</f>
        <v>11.049300000000001</v>
      </c>
    </row>
    <row r="601" spans="1:11" ht="15">
      <c r="A601" s="13">
        <v>59780</v>
      </c>
      <c r="B601" s="63">
        <f>9.5185 * CHOOSE(CONTROL!$C$22, $C$13, 100%, $E$13)</f>
        <v>9.5184999999999995</v>
      </c>
      <c r="C601" s="63">
        <f>9.5185 * CHOOSE(CONTROL!$C$22, $C$13, 100%, $E$13)</f>
        <v>9.5184999999999995</v>
      </c>
      <c r="D601" s="63">
        <f>9.5269 * CHOOSE(CONTROL!$C$22, $C$13, 100%, $E$13)</f>
        <v>9.5268999999999995</v>
      </c>
      <c r="E601" s="64">
        <f>11.0173 * CHOOSE(CONTROL!$C$22, $C$13, 100%, $E$13)</f>
        <v>11.017300000000001</v>
      </c>
      <c r="F601" s="64">
        <f>11.0173 * CHOOSE(CONTROL!$C$22, $C$13, 100%, $E$13)</f>
        <v>11.017300000000001</v>
      </c>
      <c r="G601" s="64">
        <f>11.0275 * CHOOSE(CONTROL!$C$22, $C$13, 100%, $E$13)</f>
        <v>11.0275</v>
      </c>
      <c r="H601" s="64">
        <f>18.835* CHOOSE(CONTROL!$C$22, $C$13, 100%, $E$13)</f>
        <v>18.835000000000001</v>
      </c>
      <c r="I601" s="64">
        <f>18.8452 * CHOOSE(CONTROL!$C$22, $C$13, 100%, $E$13)</f>
        <v>18.845199999999998</v>
      </c>
      <c r="J601" s="64">
        <f>11.0173 * CHOOSE(CONTROL!$C$22, $C$13, 100%, $E$13)</f>
        <v>11.017300000000001</v>
      </c>
      <c r="K601" s="64">
        <f>11.0275 * CHOOSE(CONTROL!$C$22, $C$13, 100%, $E$13)</f>
        <v>11.0275</v>
      </c>
    </row>
    <row r="602" spans="1:11" ht="15">
      <c r="A602" s="13">
        <v>59810</v>
      </c>
      <c r="B602" s="63">
        <f>9.5315 * CHOOSE(CONTROL!$C$22, $C$13, 100%, $E$13)</f>
        <v>9.5314999999999994</v>
      </c>
      <c r="C602" s="63">
        <f>9.5315 * CHOOSE(CONTROL!$C$22, $C$13, 100%, $E$13)</f>
        <v>9.5314999999999994</v>
      </c>
      <c r="D602" s="63">
        <f>9.5315 * CHOOSE(CONTROL!$C$22, $C$13, 100%, $E$13)</f>
        <v>9.5314999999999994</v>
      </c>
      <c r="E602" s="64">
        <f>11.0825 * CHOOSE(CONTROL!$C$22, $C$13, 100%, $E$13)</f>
        <v>11.0825</v>
      </c>
      <c r="F602" s="64">
        <f>11.0825 * CHOOSE(CONTROL!$C$22, $C$13, 100%, $E$13)</f>
        <v>11.0825</v>
      </c>
      <c r="G602" s="64">
        <f>11.0826 * CHOOSE(CONTROL!$C$22, $C$13, 100%, $E$13)</f>
        <v>11.082599999999999</v>
      </c>
      <c r="H602" s="64">
        <f>18.8742* CHOOSE(CONTROL!$C$22, $C$13, 100%, $E$13)</f>
        <v>18.874199999999998</v>
      </c>
      <c r="I602" s="64">
        <f>18.8743 * CHOOSE(CONTROL!$C$22, $C$13, 100%, $E$13)</f>
        <v>18.874300000000002</v>
      </c>
      <c r="J602" s="64">
        <f>11.0825 * CHOOSE(CONTROL!$C$22, $C$13, 100%, $E$13)</f>
        <v>11.0825</v>
      </c>
      <c r="K602" s="64">
        <f>11.0826 * CHOOSE(CONTROL!$C$22, $C$13, 100%, $E$13)</f>
        <v>11.082599999999999</v>
      </c>
    </row>
    <row r="603" spans="1:11" ht="15">
      <c r="A603" s="13">
        <v>59841</v>
      </c>
      <c r="B603" s="63">
        <f>9.5345 * CHOOSE(CONTROL!$C$22, $C$13, 100%, $E$13)</f>
        <v>9.5344999999999995</v>
      </c>
      <c r="C603" s="63">
        <f>9.5345 * CHOOSE(CONTROL!$C$22, $C$13, 100%, $E$13)</f>
        <v>9.5344999999999995</v>
      </c>
      <c r="D603" s="63">
        <f>9.5346 * CHOOSE(CONTROL!$C$22, $C$13, 100%, $E$13)</f>
        <v>9.5345999999999993</v>
      </c>
      <c r="E603" s="64">
        <f>11.124 * CHOOSE(CONTROL!$C$22, $C$13, 100%, $E$13)</f>
        <v>11.124000000000001</v>
      </c>
      <c r="F603" s="64">
        <f>11.124 * CHOOSE(CONTROL!$C$22, $C$13, 100%, $E$13)</f>
        <v>11.124000000000001</v>
      </c>
      <c r="G603" s="64">
        <f>11.1241 * CHOOSE(CONTROL!$C$22, $C$13, 100%, $E$13)</f>
        <v>11.1241</v>
      </c>
      <c r="H603" s="64">
        <f>18.9135* CHOOSE(CONTROL!$C$22, $C$13, 100%, $E$13)</f>
        <v>18.913499999999999</v>
      </c>
      <c r="I603" s="64">
        <f>18.9136 * CHOOSE(CONTROL!$C$22, $C$13, 100%, $E$13)</f>
        <v>18.913599999999999</v>
      </c>
      <c r="J603" s="64">
        <f>11.124 * CHOOSE(CONTROL!$C$22, $C$13, 100%, $E$13)</f>
        <v>11.124000000000001</v>
      </c>
      <c r="K603" s="64">
        <f>11.1241 * CHOOSE(CONTROL!$C$22, $C$13, 100%, $E$13)</f>
        <v>11.1241</v>
      </c>
    </row>
    <row r="604" spans="1:11" ht="15">
      <c r="A604" s="13">
        <v>59871</v>
      </c>
      <c r="B604" s="63">
        <f>9.5345 * CHOOSE(CONTROL!$C$22, $C$13, 100%, $E$13)</f>
        <v>9.5344999999999995</v>
      </c>
      <c r="C604" s="63">
        <f>9.5345 * CHOOSE(CONTROL!$C$22, $C$13, 100%, $E$13)</f>
        <v>9.5344999999999995</v>
      </c>
      <c r="D604" s="63">
        <f>9.5346 * CHOOSE(CONTROL!$C$22, $C$13, 100%, $E$13)</f>
        <v>9.5345999999999993</v>
      </c>
      <c r="E604" s="64">
        <f>11.0257 * CHOOSE(CONTROL!$C$22, $C$13, 100%, $E$13)</f>
        <v>11.025700000000001</v>
      </c>
      <c r="F604" s="64">
        <f>11.0257 * CHOOSE(CONTROL!$C$22, $C$13, 100%, $E$13)</f>
        <v>11.025700000000001</v>
      </c>
      <c r="G604" s="64">
        <f>11.0257 * CHOOSE(CONTROL!$C$22, $C$13, 100%, $E$13)</f>
        <v>11.025700000000001</v>
      </c>
      <c r="H604" s="64">
        <f>18.9529* CHOOSE(CONTROL!$C$22, $C$13, 100%, $E$13)</f>
        <v>18.9529</v>
      </c>
      <c r="I604" s="64">
        <f>18.953 * CHOOSE(CONTROL!$C$22, $C$13, 100%, $E$13)</f>
        <v>18.952999999999999</v>
      </c>
      <c r="J604" s="64">
        <f>11.0257 * CHOOSE(CONTROL!$C$22, $C$13, 100%, $E$13)</f>
        <v>11.025700000000001</v>
      </c>
      <c r="K604" s="64">
        <f>11.0257 * CHOOSE(CONTROL!$C$22, $C$13, 100%, $E$13)</f>
        <v>11.025700000000001</v>
      </c>
    </row>
    <row r="605" spans="1:11" ht="15">
      <c r="A605" s="13">
        <v>59902</v>
      </c>
      <c r="B605" s="63">
        <f>9.6029 * CHOOSE(CONTROL!$C$22, $C$13, 100%, $E$13)</f>
        <v>9.6029</v>
      </c>
      <c r="C605" s="63">
        <f>9.6029 * CHOOSE(CONTROL!$C$22, $C$13, 100%, $E$13)</f>
        <v>9.6029</v>
      </c>
      <c r="D605" s="63">
        <f>9.6029 * CHOOSE(CONTROL!$C$22, $C$13, 100%, $E$13)</f>
        <v>9.6029</v>
      </c>
      <c r="E605" s="64">
        <f>11.1732 * CHOOSE(CONTROL!$C$22, $C$13, 100%, $E$13)</f>
        <v>11.1732</v>
      </c>
      <c r="F605" s="64">
        <f>11.1732 * CHOOSE(CONTROL!$C$22, $C$13, 100%, $E$13)</f>
        <v>11.1732</v>
      </c>
      <c r="G605" s="64">
        <f>11.1733 * CHOOSE(CONTROL!$C$22, $C$13, 100%, $E$13)</f>
        <v>11.173299999999999</v>
      </c>
      <c r="H605" s="64">
        <f>18.9699* CHOOSE(CONTROL!$C$22, $C$13, 100%, $E$13)</f>
        <v>18.969899999999999</v>
      </c>
      <c r="I605" s="64">
        <f>18.97 * CHOOSE(CONTROL!$C$22, $C$13, 100%, $E$13)</f>
        <v>18.97</v>
      </c>
      <c r="J605" s="64">
        <f>11.1732 * CHOOSE(CONTROL!$C$22, $C$13, 100%, $E$13)</f>
        <v>11.1732</v>
      </c>
      <c r="K605" s="64">
        <f>11.1733 * CHOOSE(CONTROL!$C$22, $C$13, 100%, $E$13)</f>
        <v>11.173299999999999</v>
      </c>
    </row>
    <row r="606" spans="1:11" ht="15">
      <c r="A606" s="13">
        <v>59933</v>
      </c>
      <c r="B606" s="63">
        <f>9.5999 * CHOOSE(CONTROL!$C$22, $C$13, 100%, $E$13)</f>
        <v>9.5998999999999999</v>
      </c>
      <c r="C606" s="63">
        <f>9.5999 * CHOOSE(CONTROL!$C$22, $C$13, 100%, $E$13)</f>
        <v>9.5998999999999999</v>
      </c>
      <c r="D606" s="63">
        <f>9.5999 * CHOOSE(CONTROL!$C$22, $C$13, 100%, $E$13)</f>
        <v>9.5998999999999999</v>
      </c>
      <c r="E606" s="64">
        <f>10.9803 * CHOOSE(CONTROL!$C$22, $C$13, 100%, $E$13)</f>
        <v>10.9803</v>
      </c>
      <c r="F606" s="64">
        <f>10.9803 * CHOOSE(CONTROL!$C$22, $C$13, 100%, $E$13)</f>
        <v>10.9803</v>
      </c>
      <c r="G606" s="64">
        <f>10.9804 * CHOOSE(CONTROL!$C$22, $C$13, 100%, $E$13)</f>
        <v>10.980399999999999</v>
      </c>
      <c r="H606" s="64">
        <f>19.0094* CHOOSE(CONTROL!$C$22, $C$13, 100%, $E$13)</f>
        <v>19.009399999999999</v>
      </c>
      <c r="I606" s="64">
        <f>19.0095 * CHOOSE(CONTROL!$C$22, $C$13, 100%, $E$13)</f>
        <v>19.009499999999999</v>
      </c>
      <c r="J606" s="64">
        <f>10.9803 * CHOOSE(CONTROL!$C$22, $C$13, 100%, $E$13)</f>
        <v>10.9803</v>
      </c>
      <c r="K606" s="64">
        <f>10.9804 * CHOOSE(CONTROL!$C$22, $C$13, 100%, $E$13)</f>
        <v>10.980399999999999</v>
      </c>
    </row>
    <row r="607" spans="1:11" ht="15">
      <c r="A607" s="13">
        <v>59962</v>
      </c>
      <c r="B607" s="63">
        <f>9.5968 * CHOOSE(CONTROL!$C$22, $C$13, 100%, $E$13)</f>
        <v>9.5968</v>
      </c>
      <c r="C607" s="63">
        <f>9.5968 * CHOOSE(CONTROL!$C$22, $C$13, 100%, $E$13)</f>
        <v>9.5968</v>
      </c>
      <c r="D607" s="63">
        <f>9.5968 * CHOOSE(CONTROL!$C$22, $C$13, 100%, $E$13)</f>
        <v>9.5968</v>
      </c>
      <c r="E607" s="64">
        <f>11.1286 * CHOOSE(CONTROL!$C$22, $C$13, 100%, $E$13)</f>
        <v>11.1286</v>
      </c>
      <c r="F607" s="64">
        <f>11.1286 * CHOOSE(CONTROL!$C$22, $C$13, 100%, $E$13)</f>
        <v>11.1286</v>
      </c>
      <c r="G607" s="64">
        <f>11.1287 * CHOOSE(CONTROL!$C$22, $C$13, 100%, $E$13)</f>
        <v>11.1287</v>
      </c>
      <c r="H607" s="64">
        <f>19.049* CHOOSE(CONTROL!$C$22, $C$13, 100%, $E$13)</f>
        <v>19.048999999999999</v>
      </c>
      <c r="I607" s="64">
        <f>19.0491 * CHOOSE(CONTROL!$C$22, $C$13, 100%, $E$13)</f>
        <v>19.049099999999999</v>
      </c>
      <c r="J607" s="64">
        <f>11.1286 * CHOOSE(CONTROL!$C$22, $C$13, 100%, $E$13)</f>
        <v>11.1286</v>
      </c>
      <c r="K607" s="64">
        <f>11.1287 * CHOOSE(CONTROL!$C$22, $C$13, 100%, $E$13)</f>
        <v>11.1287</v>
      </c>
    </row>
    <row r="608" spans="1:11" ht="15">
      <c r="A608" s="13">
        <v>59993</v>
      </c>
      <c r="B608" s="63">
        <f>9.5992 * CHOOSE(CONTROL!$C$22, $C$13, 100%, $E$13)</f>
        <v>9.5991999999999997</v>
      </c>
      <c r="C608" s="63">
        <f>9.5992 * CHOOSE(CONTROL!$C$22, $C$13, 100%, $E$13)</f>
        <v>9.5991999999999997</v>
      </c>
      <c r="D608" s="63">
        <f>9.5992 * CHOOSE(CONTROL!$C$22, $C$13, 100%, $E$13)</f>
        <v>9.5991999999999997</v>
      </c>
      <c r="E608" s="64">
        <f>11.2859 * CHOOSE(CONTROL!$C$22, $C$13, 100%, $E$13)</f>
        <v>11.2859</v>
      </c>
      <c r="F608" s="64">
        <f>11.2859 * CHOOSE(CONTROL!$C$22, $C$13, 100%, $E$13)</f>
        <v>11.2859</v>
      </c>
      <c r="G608" s="64">
        <f>11.2859 * CHOOSE(CONTROL!$C$22, $C$13, 100%, $E$13)</f>
        <v>11.2859</v>
      </c>
      <c r="H608" s="64">
        <f>19.0887* CHOOSE(CONTROL!$C$22, $C$13, 100%, $E$13)</f>
        <v>19.088699999999999</v>
      </c>
      <c r="I608" s="64">
        <f>19.0888 * CHOOSE(CONTROL!$C$22, $C$13, 100%, $E$13)</f>
        <v>19.088799999999999</v>
      </c>
      <c r="J608" s="64">
        <f>11.2859 * CHOOSE(CONTROL!$C$22, $C$13, 100%, $E$13)</f>
        <v>11.2859</v>
      </c>
      <c r="K608" s="64">
        <f>11.2859 * CHOOSE(CONTROL!$C$22, $C$13, 100%, $E$13)</f>
        <v>11.2859</v>
      </c>
    </row>
    <row r="609" spans="1:11" ht="15">
      <c r="A609" s="13">
        <v>60023</v>
      </c>
      <c r="B609" s="63">
        <f>9.5992 * CHOOSE(CONTROL!$C$22, $C$13, 100%, $E$13)</f>
        <v>9.5991999999999997</v>
      </c>
      <c r="C609" s="63">
        <f>9.5992 * CHOOSE(CONTROL!$C$22, $C$13, 100%, $E$13)</f>
        <v>9.5991999999999997</v>
      </c>
      <c r="D609" s="63">
        <f>9.6076 * CHOOSE(CONTROL!$C$22, $C$13, 100%, $E$13)</f>
        <v>9.6075999999999997</v>
      </c>
      <c r="E609" s="64">
        <f>11.3464 * CHOOSE(CONTROL!$C$22, $C$13, 100%, $E$13)</f>
        <v>11.346399999999999</v>
      </c>
      <c r="F609" s="64">
        <f>11.3464 * CHOOSE(CONTROL!$C$22, $C$13, 100%, $E$13)</f>
        <v>11.346399999999999</v>
      </c>
      <c r="G609" s="64">
        <f>11.3566 * CHOOSE(CONTROL!$C$22, $C$13, 100%, $E$13)</f>
        <v>11.3566</v>
      </c>
      <c r="H609" s="64">
        <f>19.1284* CHOOSE(CONTROL!$C$22, $C$13, 100%, $E$13)</f>
        <v>19.128399999999999</v>
      </c>
      <c r="I609" s="64">
        <f>19.1387 * CHOOSE(CONTROL!$C$22, $C$13, 100%, $E$13)</f>
        <v>19.1387</v>
      </c>
      <c r="J609" s="64">
        <f>11.3464 * CHOOSE(CONTROL!$C$22, $C$13, 100%, $E$13)</f>
        <v>11.346399999999999</v>
      </c>
      <c r="K609" s="64">
        <f>11.3566 * CHOOSE(CONTROL!$C$22, $C$13, 100%, $E$13)</f>
        <v>11.3566</v>
      </c>
    </row>
    <row r="610" spans="1:11" ht="15">
      <c r="A610" s="13">
        <v>60054</v>
      </c>
      <c r="B610" s="63">
        <f>9.6053 * CHOOSE(CONTROL!$C$22, $C$13, 100%, $E$13)</f>
        <v>9.6052999999999997</v>
      </c>
      <c r="C610" s="63">
        <f>9.6053 * CHOOSE(CONTROL!$C$22, $C$13, 100%, $E$13)</f>
        <v>9.6052999999999997</v>
      </c>
      <c r="D610" s="63">
        <f>9.6137 * CHOOSE(CONTROL!$C$22, $C$13, 100%, $E$13)</f>
        <v>9.6136999999999997</v>
      </c>
      <c r="E610" s="64">
        <f>11.2901 * CHOOSE(CONTROL!$C$22, $C$13, 100%, $E$13)</f>
        <v>11.290100000000001</v>
      </c>
      <c r="F610" s="64">
        <f>11.2901 * CHOOSE(CONTROL!$C$22, $C$13, 100%, $E$13)</f>
        <v>11.290100000000001</v>
      </c>
      <c r="G610" s="64">
        <f>11.3003 * CHOOSE(CONTROL!$C$22, $C$13, 100%, $E$13)</f>
        <v>11.3003</v>
      </c>
      <c r="H610" s="64">
        <f>19.1683* CHOOSE(CONTROL!$C$22, $C$13, 100%, $E$13)</f>
        <v>19.168299999999999</v>
      </c>
      <c r="I610" s="64">
        <f>19.1785 * CHOOSE(CONTROL!$C$22, $C$13, 100%, $E$13)</f>
        <v>19.1785</v>
      </c>
      <c r="J610" s="64">
        <f>11.2901 * CHOOSE(CONTROL!$C$22, $C$13, 100%, $E$13)</f>
        <v>11.290100000000001</v>
      </c>
      <c r="K610" s="64">
        <f>11.3003 * CHOOSE(CONTROL!$C$22, $C$13, 100%, $E$13)</f>
        <v>11.3003</v>
      </c>
    </row>
    <row r="611" spans="1:11" ht="15">
      <c r="A611" s="13">
        <v>60084</v>
      </c>
      <c r="B611" s="63">
        <f>9.754 * CHOOSE(CONTROL!$C$22, $C$13, 100%, $E$13)</f>
        <v>9.7539999999999996</v>
      </c>
      <c r="C611" s="63">
        <f>9.754 * CHOOSE(CONTROL!$C$22, $C$13, 100%, $E$13)</f>
        <v>9.7539999999999996</v>
      </c>
      <c r="D611" s="63">
        <f>9.7624 * CHOOSE(CONTROL!$C$22, $C$13, 100%, $E$13)</f>
        <v>9.7623999999999995</v>
      </c>
      <c r="E611" s="64">
        <f>11.4732 * CHOOSE(CONTROL!$C$22, $C$13, 100%, $E$13)</f>
        <v>11.4732</v>
      </c>
      <c r="F611" s="64">
        <f>11.4732 * CHOOSE(CONTROL!$C$22, $C$13, 100%, $E$13)</f>
        <v>11.4732</v>
      </c>
      <c r="G611" s="64">
        <f>11.4834 * CHOOSE(CONTROL!$C$22, $C$13, 100%, $E$13)</f>
        <v>11.4834</v>
      </c>
      <c r="H611" s="64">
        <f>19.2082* CHOOSE(CONTROL!$C$22, $C$13, 100%, $E$13)</f>
        <v>19.208200000000001</v>
      </c>
      <c r="I611" s="64">
        <f>19.2185 * CHOOSE(CONTROL!$C$22, $C$13, 100%, $E$13)</f>
        <v>19.218499999999999</v>
      </c>
      <c r="J611" s="64">
        <f>11.4732 * CHOOSE(CONTROL!$C$22, $C$13, 100%, $E$13)</f>
        <v>11.4732</v>
      </c>
      <c r="K611" s="64">
        <f>11.4834 * CHOOSE(CONTROL!$C$22, $C$13, 100%, $E$13)</f>
        <v>11.4834</v>
      </c>
    </row>
    <row r="612" spans="1:11" ht="15">
      <c r="A612" s="13">
        <v>60115</v>
      </c>
      <c r="B612" s="63">
        <f>9.7607 * CHOOSE(CONTROL!$C$22, $C$13, 100%, $E$13)</f>
        <v>9.7606999999999999</v>
      </c>
      <c r="C612" s="63">
        <f>9.7607 * CHOOSE(CONTROL!$C$22, $C$13, 100%, $E$13)</f>
        <v>9.7606999999999999</v>
      </c>
      <c r="D612" s="63">
        <f>9.7691 * CHOOSE(CONTROL!$C$22, $C$13, 100%, $E$13)</f>
        <v>9.7690999999999999</v>
      </c>
      <c r="E612" s="64">
        <f>11.2961 * CHOOSE(CONTROL!$C$22, $C$13, 100%, $E$13)</f>
        <v>11.296099999999999</v>
      </c>
      <c r="F612" s="64">
        <f>11.2961 * CHOOSE(CONTROL!$C$22, $C$13, 100%, $E$13)</f>
        <v>11.296099999999999</v>
      </c>
      <c r="G612" s="64">
        <f>11.3064 * CHOOSE(CONTROL!$C$22, $C$13, 100%, $E$13)</f>
        <v>11.3064</v>
      </c>
      <c r="H612" s="64">
        <f>19.2483* CHOOSE(CONTROL!$C$22, $C$13, 100%, $E$13)</f>
        <v>19.2483</v>
      </c>
      <c r="I612" s="64">
        <f>19.2585 * CHOOSE(CONTROL!$C$22, $C$13, 100%, $E$13)</f>
        <v>19.258500000000002</v>
      </c>
      <c r="J612" s="64">
        <f>11.2961 * CHOOSE(CONTROL!$C$22, $C$13, 100%, $E$13)</f>
        <v>11.296099999999999</v>
      </c>
      <c r="K612" s="64">
        <f>11.3064 * CHOOSE(CONTROL!$C$22, $C$13, 100%, $E$13)</f>
        <v>11.3064</v>
      </c>
    </row>
    <row r="613" spans="1:11" ht="15">
      <c r="A613" s="13">
        <v>60146</v>
      </c>
      <c r="B613" s="63">
        <f>9.7577 * CHOOSE(CONTROL!$C$22, $C$13, 100%, $E$13)</f>
        <v>9.7576999999999998</v>
      </c>
      <c r="C613" s="63">
        <f>9.7577 * CHOOSE(CONTROL!$C$22, $C$13, 100%, $E$13)</f>
        <v>9.7576999999999998</v>
      </c>
      <c r="D613" s="63">
        <f>9.7661 * CHOOSE(CONTROL!$C$22, $C$13, 100%, $E$13)</f>
        <v>9.7660999999999998</v>
      </c>
      <c r="E613" s="64">
        <f>11.2738 * CHOOSE(CONTROL!$C$22, $C$13, 100%, $E$13)</f>
        <v>11.2738</v>
      </c>
      <c r="F613" s="64">
        <f>11.2738 * CHOOSE(CONTROL!$C$22, $C$13, 100%, $E$13)</f>
        <v>11.2738</v>
      </c>
      <c r="G613" s="64">
        <f>11.2841 * CHOOSE(CONTROL!$C$22, $C$13, 100%, $E$13)</f>
        <v>11.2841</v>
      </c>
      <c r="H613" s="64">
        <f>19.2884* CHOOSE(CONTROL!$C$22, $C$13, 100%, $E$13)</f>
        <v>19.288399999999999</v>
      </c>
      <c r="I613" s="64">
        <f>19.2986 * CHOOSE(CONTROL!$C$22, $C$13, 100%, $E$13)</f>
        <v>19.2986</v>
      </c>
      <c r="J613" s="64">
        <f>11.2738 * CHOOSE(CONTROL!$C$22, $C$13, 100%, $E$13)</f>
        <v>11.2738</v>
      </c>
      <c r="K613" s="64">
        <f>11.2841 * CHOOSE(CONTROL!$C$22, $C$13, 100%, $E$13)</f>
        <v>11.2841</v>
      </c>
    </row>
    <row r="614" spans="1:11" ht="15">
      <c r="A614" s="13">
        <v>60176</v>
      </c>
      <c r="B614" s="63">
        <f>9.7714 * CHOOSE(CONTROL!$C$22, $C$13, 100%, $E$13)</f>
        <v>9.7713999999999999</v>
      </c>
      <c r="C614" s="63">
        <f>9.7714 * CHOOSE(CONTROL!$C$22, $C$13, 100%, $E$13)</f>
        <v>9.7713999999999999</v>
      </c>
      <c r="D614" s="63">
        <f>9.7715 * CHOOSE(CONTROL!$C$22, $C$13, 100%, $E$13)</f>
        <v>9.7714999999999996</v>
      </c>
      <c r="E614" s="64">
        <f>11.3412 * CHOOSE(CONTROL!$C$22, $C$13, 100%, $E$13)</f>
        <v>11.341200000000001</v>
      </c>
      <c r="F614" s="64">
        <f>11.3412 * CHOOSE(CONTROL!$C$22, $C$13, 100%, $E$13)</f>
        <v>11.341200000000001</v>
      </c>
      <c r="G614" s="64">
        <f>11.3413 * CHOOSE(CONTROL!$C$22, $C$13, 100%, $E$13)</f>
        <v>11.3413</v>
      </c>
      <c r="H614" s="64">
        <f>19.3285* CHOOSE(CONTROL!$C$22, $C$13, 100%, $E$13)</f>
        <v>19.328499999999998</v>
      </c>
      <c r="I614" s="64">
        <f>19.3286 * CHOOSE(CONTROL!$C$22, $C$13, 100%, $E$13)</f>
        <v>19.328600000000002</v>
      </c>
      <c r="J614" s="64">
        <f>11.3412 * CHOOSE(CONTROL!$C$22, $C$13, 100%, $E$13)</f>
        <v>11.341200000000001</v>
      </c>
      <c r="K614" s="64">
        <f>11.3413 * CHOOSE(CONTROL!$C$22, $C$13, 100%, $E$13)</f>
        <v>11.3413</v>
      </c>
    </row>
    <row r="615" spans="1:11" ht="15">
      <c r="A615" s="13">
        <v>60207</v>
      </c>
      <c r="B615" s="63">
        <f>9.7745 * CHOOSE(CONTROL!$C$22, $C$13, 100%, $E$13)</f>
        <v>9.7744999999999997</v>
      </c>
      <c r="C615" s="63">
        <f>9.7745 * CHOOSE(CONTROL!$C$22, $C$13, 100%, $E$13)</f>
        <v>9.7744999999999997</v>
      </c>
      <c r="D615" s="63">
        <f>9.7745 * CHOOSE(CONTROL!$C$22, $C$13, 100%, $E$13)</f>
        <v>9.7744999999999997</v>
      </c>
      <c r="E615" s="64">
        <f>11.3837 * CHOOSE(CONTROL!$C$22, $C$13, 100%, $E$13)</f>
        <v>11.383699999999999</v>
      </c>
      <c r="F615" s="64">
        <f>11.3837 * CHOOSE(CONTROL!$C$22, $C$13, 100%, $E$13)</f>
        <v>11.383699999999999</v>
      </c>
      <c r="G615" s="64">
        <f>11.3838 * CHOOSE(CONTROL!$C$22, $C$13, 100%, $E$13)</f>
        <v>11.383800000000001</v>
      </c>
      <c r="H615" s="64">
        <f>19.3688* CHOOSE(CONTROL!$C$22, $C$13, 100%, $E$13)</f>
        <v>19.3688</v>
      </c>
      <c r="I615" s="64">
        <f>19.3689 * CHOOSE(CONTROL!$C$22, $C$13, 100%, $E$13)</f>
        <v>19.3689</v>
      </c>
      <c r="J615" s="64">
        <f>11.3837 * CHOOSE(CONTROL!$C$22, $C$13, 100%, $E$13)</f>
        <v>11.383699999999999</v>
      </c>
      <c r="K615" s="64">
        <f>11.3838 * CHOOSE(CONTROL!$C$22, $C$13, 100%, $E$13)</f>
        <v>11.383800000000001</v>
      </c>
    </row>
    <row r="616" spans="1:11" ht="15">
      <c r="A616" s="13">
        <v>60237</v>
      </c>
      <c r="B616" s="63">
        <f>9.7745 * CHOOSE(CONTROL!$C$22, $C$13, 100%, $E$13)</f>
        <v>9.7744999999999997</v>
      </c>
      <c r="C616" s="63">
        <f>9.7745 * CHOOSE(CONTROL!$C$22, $C$13, 100%, $E$13)</f>
        <v>9.7744999999999997</v>
      </c>
      <c r="D616" s="63">
        <f>9.7745 * CHOOSE(CONTROL!$C$22, $C$13, 100%, $E$13)</f>
        <v>9.7744999999999997</v>
      </c>
      <c r="E616" s="64">
        <f>11.2827 * CHOOSE(CONTROL!$C$22, $C$13, 100%, $E$13)</f>
        <v>11.2827</v>
      </c>
      <c r="F616" s="64">
        <f>11.2827 * CHOOSE(CONTROL!$C$22, $C$13, 100%, $E$13)</f>
        <v>11.2827</v>
      </c>
      <c r="G616" s="64">
        <f>11.2828 * CHOOSE(CONTROL!$C$22, $C$13, 100%, $E$13)</f>
        <v>11.2828</v>
      </c>
      <c r="H616" s="64">
        <f>19.4092* CHOOSE(CONTROL!$C$22, $C$13, 100%, $E$13)</f>
        <v>19.409199999999998</v>
      </c>
      <c r="I616" s="64">
        <f>19.4092 * CHOOSE(CONTROL!$C$22, $C$13, 100%, $E$13)</f>
        <v>19.409199999999998</v>
      </c>
      <c r="J616" s="64">
        <f>11.2827 * CHOOSE(CONTROL!$C$22, $C$13, 100%, $E$13)</f>
        <v>11.2827</v>
      </c>
      <c r="K616" s="64">
        <f>11.2828 * CHOOSE(CONTROL!$C$22, $C$13, 100%, $E$13)</f>
        <v>11.2828</v>
      </c>
    </row>
    <row r="617" spans="1:11" ht="15">
      <c r="A617" s="13">
        <v>60268</v>
      </c>
      <c r="B617" s="63">
        <f>9.8385 * CHOOSE(CONTROL!$C$22, $C$13, 100%, $E$13)</f>
        <v>9.8384999999999998</v>
      </c>
      <c r="C617" s="63">
        <f>9.8385 * CHOOSE(CONTROL!$C$22, $C$13, 100%, $E$13)</f>
        <v>9.8384999999999998</v>
      </c>
      <c r="D617" s="63">
        <f>9.8385 * CHOOSE(CONTROL!$C$22, $C$13, 100%, $E$13)</f>
        <v>9.8384999999999998</v>
      </c>
      <c r="E617" s="64">
        <f>11.4279 * CHOOSE(CONTROL!$C$22, $C$13, 100%, $E$13)</f>
        <v>11.427899999999999</v>
      </c>
      <c r="F617" s="64">
        <f>11.4279 * CHOOSE(CONTROL!$C$22, $C$13, 100%, $E$13)</f>
        <v>11.427899999999999</v>
      </c>
      <c r="G617" s="64">
        <f>11.428 * CHOOSE(CONTROL!$C$22, $C$13, 100%, $E$13)</f>
        <v>11.428000000000001</v>
      </c>
      <c r="H617" s="64">
        <f>19.4158* CHOOSE(CONTROL!$C$22, $C$13, 100%, $E$13)</f>
        <v>19.415800000000001</v>
      </c>
      <c r="I617" s="64">
        <f>19.4158 * CHOOSE(CONTROL!$C$22, $C$13, 100%, $E$13)</f>
        <v>19.415800000000001</v>
      </c>
      <c r="J617" s="64">
        <f>11.4279 * CHOOSE(CONTROL!$C$22, $C$13, 100%, $E$13)</f>
        <v>11.427899999999999</v>
      </c>
      <c r="K617" s="64">
        <f>11.428 * CHOOSE(CONTROL!$C$22, $C$13, 100%, $E$13)</f>
        <v>11.428000000000001</v>
      </c>
    </row>
    <row r="618" spans="1:11" ht="15">
      <c r="A618" s="13">
        <v>60299</v>
      </c>
      <c r="B618" s="63">
        <f>9.8354 * CHOOSE(CONTROL!$C$22, $C$13, 100%, $E$13)</f>
        <v>9.8353999999999999</v>
      </c>
      <c r="C618" s="63">
        <f>9.8354 * CHOOSE(CONTROL!$C$22, $C$13, 100%, $E$13)</f>
        <v>9.8353999999999999</v>
      </c>
      <c r="D618" s="63">
        <f>9.8354 * CHOOSE(CONTROL!$C$22, $C$13, 100%, $E$13)</f>
        <v>9.8353999999999999</v>
      </c>
      <c r="E618" s="64">
        <f>11.2301 * CHOOSE(CONTROL!$C$22, $C$13, 100%, $E$13)</f>
        <v>11.2301</v>
      </c>
      <c r="F618" s="64">
        <f>11.2301 * CHOOSE(CONTROL!$C$22, $C$13, 100%, $E$13)</f>
        <v>11.2301</v>
      </c>
      <c r="G618" s="64">
        <f>11.2302 * CHOOSE(CONTROL!$C$22, $C$13, 100%, $E$13)</f>
        <v>11.2302</v>
      </c>
      <c r="H618" s="64">
        <f>19.4562* CHOOSE(CONTROL!$C$22, $C$13, 100%, $E$13)</f>
        <v>19.456199999999999</v>
      </c>
      <c r="I618" s="64">
        <f>19.4563 * CHOOSE(CONTROL!$C$22, $C$13, 100%, $E$13)</f>
        <v>19.456299999999999</v>
      </c>
      <c r="J618" s="64">
        <f>11.2301 * CHOOSE(CONTROL!$C$22, $C$13, 100%, $E$13)</f>
        <v>11.2301</v>
      </c>
      <c r="K618" s="64">
        <f>11.2302 * CHOOSE(CONTROL!$C$22, $C$13, 100%, $E$13)</f>
        <v>11.2302</v>
      </c>
    </row>
    <row r="619" spans="1:11" ht="15">
      <c r="A619" s="13">
        <v>60327</v>
      </c>
      <c r="B619" s="63">
        <f>9.8324 * CHOOSE(CONTROL!$C$22, $C$13, 100%, $E$13)</f>
        <v>9.8323999999999998</v>
      </c>
      <c r="C619" s="63">
        <f>9.8324 * CHOOSE(CONTROL!$C$22, $C$13, 100%, $E$13)</f>
        <v>9.8323999999999998</v>
      </c>
      <c r="D619" s="63">
        <f>9.8324 * CHOOSE(CONTROL!$C$22, $C$13, 100%, $E$13)</f>
        <v>9.8323999999999998</v>
      </c>
      <c r="E619" s="64">
        <f>11.3823 * CHOOSE(CONTROL!$C$22, $C$13, 100%, $E$13)</f>
        <v>11.382300000000001</v>
      </c>
      <c r="F619" s="64">
        <f>11.3823 * CHOOSE(CONTROL!$C$22, $C$13, 100%, $E$13)</f>
        <v>11.382300000000001</v>
      </c>
      <c r="G619" s="64">
        <f>11.3823 * CHOOSE(CONTROL!$C$22, $C$13, 100%, $E$13)</f>
        <v>11.382300000000001</v>
      </c>
      <c r="H619" s="64">
        <f>19.4967* CHOOSE(CONTROL!$C$22, $C$13, 100%, $E$13)</f>
        <v>19.496700000000001</v>
      </c>
      <c r="I619" s="64">
        <f>19.4968 * CHOOSE(CONTROL!$C$22, $C$13, 100%, $E$13)</f>
        <v>19.4968</v>
      </c>
      <c r="J619" s="64">
        <f>11.3823 * CHOOSE(CONTROL!$C$22, $C$13, 100%, $E$13)</f>
        <v>11.382300000000001</v>
      </c>
      <c r="K619" s="64">
        <f>11.3823 * CHOOSE(CONTROL!$C$22, $C$13, 100%, $E$13)</f>
        <v>11.382300000000001</v>
      </c>
    </row>
    <row r="620" spans="1:11" ht="15">
      <c r="A620" s="13">
        <v>60358</v>
      </c>
      <c r="B620" s="63">
        <f>9.835 * CHOOSE(CONTROL!$C$22, $C$13, 100%, $E$13)</f>
        <v>9.8350000000000009</v>
      </c>
      <c r="C620" s="63">
        <f>9.835 * CHOOSE(CONTROL!$C$22, $C$13, 100%, $E$13)</f>
        <v>9.8350000000000009</v>
      </c>
      <c r="D620" s="63">
        <f>9.835 * CHOOSE(CONTROL!$C$22, $C$13, 100%, $E$13)</f>
        <v>9.8350000000000009</v>
      </c>
      <c r="E620" s="64">
        <f>11.5437 * CHOOSE(CONTROL!$C$22, $C$13, 100%, $E$13)</f>
        <v>11.543699999999999</v>
      </c>
      <c r="F620" s="64">
        <f>11.5437 * CHOOSE(CONTROL!$C$22, $C$13, 100%, $E$13)</f>
        <v>11.543699999999999</v>
      </c>
      <c r="G620" s="64">
        <f>11.5438 * CHOOSE(CONTROL!$C$22, $C$13, 100%, $E$13)</f>
        <v>11.543799999999999</v>
      </c>
      <c r="H620" s="64">
        <f>19.5374* CHOOSE(CONTROL!$C$22, $C$13, 100%, $E$13)</f>
        <v>19.537400000000002</v>
      </c>
      <c r="I620" s="64">
        <f>19.5374 * CHOOSE(CONTROL!$C$22, $C$13, 100%, $E$13)</f>
        <v>19.537400000000002</v>
      </c>
      <c r="J620" s="64">
        <f>11.5437 * CHOOSE(CONTROL!$C$22, $C$13, 100%, $E$13)</f>
        <v>11.543699999999999</v>
      </c>
      <c r="K620" s="64">
        <f>11.5438 * CHOOSE(CONTROL!$C$22, $C$13, 100%, $E$13)</f>
        <v>11.543799999999999</v>
      </c>
    </row>
    <row r="621" spans="1:11" ht="15">
      <c r="A621" s="13">
        <v>60388</v>
      </c>
      <c r="B621" s="63">
        <f>9.835 * CHOOSE(CONTROL!$C$22, $C$13, 100%, $E$13)</f>
        <v>9.8350000000000009</v>
      </c>
      <c r="C621" s="63">
        <f>9.835 * CHOOSE(CONTROL!$C$22, $C$13, 100%, $E$13)</f>
        <v>9.8350000000000009</v>
      </c>
      <c r="D621" s="63">
        <f>9.8434 * CHOOSE(CONTROL!$C$22, $C$13, 100%, $E$13)</f>
        <v>9.8434000000000008</v>
      </c>
      <c r="E621" s="64">
        <f>11.6059 * CHOOSE(CONTROL!$C$22, $C$13, 100%, $E$13)</f>
        <v>11.6059</v>
      </c>
      <c r="F621" s="64">
        <f>11.6059 * CHOOSE(CONTROL!$C$22, $C$13, 100%, $E$13)</f>
        <v>11.6059</v>
      </c>
      <c r="G621" s="64">
        <f>11.6161 * CHOOSE(CONTROL!$C$22, $C$13, 100%, $E$13)</f>
        <v>11.616099999999999</v>
      </c>
      <c r="H621" s="64">
        <f>19.5781* CHOOSE(CONTROL!$C$22, $C$13, 100%, $E$13)</f>
        <v>19.578099999999999</v>
      </c>
      <c r="I621" s="64">
        <f>19.5883 * CHOOSE(CONTROL!$C$22, $C$13, 100%, $E$13)</f>
        <v>19.5883</v>
      </c>
      <c r="J621" s="64">
        <f>11.6059 * CHOOSE(CONTROL!$C$22, $C$13, 100%, $E$13)</f>
        <v>11.6059</v>
      </c>
      <c r="K621" s="64">
        <f>11.6161 * CHOOSE(CONTROL!$C$22, $C$13, 100%, $E$13)</f>
        <v>11.616099999999999</v>
      </c>
    </row>
    <row r="622" spans="1:11" ht="15">
      <c r="A622" s="13">
        <v>60419</v>
      </c>
      <c r="B622" s="63">
        <f>9.841 * CHOOSE(CONTROL!$C$22, $C$13, 100%, $E$13)</f>
        <v>9.8409999999999993</v>
      </c>
      <c r="C622" s="63">
        <f>9.841 * CHOOSE(CONTROL!$C$22, $C$13, 100%, $E$13)</f>
        <v>9.8409999999999993</v>
      </c>
      <c r="D622" s="63">
        <f>9.8495 * CHOOSE(CONTROL!$C$22, $C$13, 100%, $E$13)</f>
        <v>9.8495000000000008</v>
      </c>
      <c r="E622" s="64">
        <f>11.548 * CHOOSE(CONTROL!$C$22, $C$13, 100%, $E$13)</f>
        <v>11.548</v>
      </c>
      <c r="F622" s="64">
        <f>11.548 * CHOOSE(CONTROL!$C$22, $C$13, 100%, $E$13)</f>
        <v>11.548</v>
      </c>
      <c r="G622" s="64">
        <f>11.5582 * CHOOSE(CONTROL!$C$22, $C$13, 100%, $E$13)</f>
        <v>11.558199999999999</v>
      </c>
      <c r="H622" s="64">
        <f>19.6189* CHOOSE(CONTROL!$C$22, $C$13, 100%, $E$13)</f>
        <v>19.6189</v>
      </c>
      <c r="I622" s="64">
        <f>19.6291 * CHOOSE(CONTROL!$C$22, $C$13, 100%, $E$13)</f>
        <v>19.629100000000001</v>
      </c>
      <c r="J622" s="64">
        <f>11.548 * CHOOSE(CONTROL!$C$22, $C$13, 100%, $E$13)</f>
        <v>11.548</v>
      </c>
      <c r="K622" s="64">
        <f>11.5582 * CHOOSE(CONTROL!$C$22, $C$13, 100%, $E$13)</f>
        <v>11.558199999999999</v>
      </c>
    </row>
    <row r="623" spans="1:11" ht="15">
      <c r="A623" s="13">
        <v>60449</v>
      </c>
      <c r="B623" s="63">
        <f>9.9932 * CHOOSE(CONTROL!$C$22, $C$13, 100%, $E$13)</f>
        <v>9.9931999999999999</v>
      </c>
      <c r="C623" s="63">
        <f>9.9932 * CHOOSE(CONTROL!$C$22, $C$13, 100%, $E$13)</f>
        <v>9.9931999999999999</v>
      </c>
      <c r="D623" s="63">
        <f>10.0016 * CHOOSE(CONTROL!$C$22, $C$13, 100%, $E$13)</f>
        <v>10.0016</v>
      </c>
      <c r="E623" s="64">
        <f>11.735 * CHOOSE(CONTROL!$C$22, $C$13, 100%, $E$13)</f>
        <v>11.734999999999999</v>
      </c>
      <c r="F623" s="64">
        <f>11.735 * CHOOSE(CONTROL!$C$22, $C$13, 100%, $E$13)</f>
        <v>11.734999999999999</v>
      </c>
      <c r="G623" s="64">
        <f>11.7452 * CHOOSE(CONTROL!$C$22, $C$13, 100%, $E$13)</f>
        <v>11.745200000000001</v>
      </c>
      <c r="H623" s="64">
        <f>19.6597* CHOOSE(CONTROL!$C$22, $C$13, 100%, $E$13)</f>
        <v>19.659700000000001</v>
      </c>
      <c r="I623" s="64">
        <f>19.6699 * CHOOSE(CONTROL!$C$22, $C$13, 100%, $E$13)</f>
        <v>19.669899999999998</v>
      </c>
      <c r="J623" s="64">
        <f>11.735 * CHOOSE(CONTROL!$C$22, $C$13, 100%, $E$13)</f>
        <v>11.734999999999999</v>
      </c>
      <c r="K623" s="64">
        <f>11.7452 * CHOOSE(CONTROL!$C$22, $C$13, 100%, $E$13)</f>
        <v>11.745200000000001</v>
      </c>
    </row>
    <row r="624" spans="1:11" ht="15">
      <c r="A624" s="13">
        <v>60480</v>
      </c>
      <c r="B624" s="63">
        <f>9.9999 * CHOOSE(CONTROL!$C$22, $C$13, 100%, $E$13)</f>
        <v>9.9999000000000002</v>
      </c>
      <c r="C624" s="63">
        <f>9.9999 * CHOOSE(CONTROL!$C$22, $C$13, 100%, $E$13)</f>
        <v>9.9999000000000002</v>
      </c>
      <c r="D624" s="63">
        <f>10.0083 * CHOOSE(CONTROL!$C$22, $C$13, 100%, $E$13)</f>
        <v>10.0083</v>
      </c>
      <c r="E624" s="64">
        <f>11.5532 * CHOOSE(CONTROL!$C$22, $C$13, 100%, $E$13)</f>
        <v>11.5532</v>
      </c>
      <c r="F624" s="64">
        <f>11.5532 * CHOOSE(CONTROL!$C$22, $C$13, 100%, $E$13)</f>
        <v>11.5532</v>
      </c>
      <c r="G624" s="64">
        <f>11.5634 * CHOOSE(CONTROL!$C$22, $C$13, 100%, $E$13)</f>
        <v>11.5634</v>
      </c>
      <c r="H624" s="64">
        <f>19.7007* CHOOSE(CONTROL!$C$22, $C$13, 100%, $E$13)</f>
        <v>19.700700000000001</v>
      </c>
      <c r="I624" s="64">
        <f>19.7109 * CHOOSE(CONTROL!$C$22, $C$13, 100%, $E$13)</f>
        <v>19.710899999999999</v>
      </c>
      <c r="J624" s="64">
        <f>11.5532 * CHOOSE(CONTROL!$C$22, $C$13, 100%, $E$13)</f>
        <v>11.5532</v>
      </c>
      <c r="K624" s="64">
        <f>11.5634 * CHOOSE(CONTROL!$C$22, $C$13, 100%, $E$13)</f>
        <v>11.5634</v>
      </c>
    </row>
    <row r="625" spans="1:11" ht="15">
      <c r="A625" s="13">
        <v>60511</v>
      </c>
      <c r="B625" s="63">
        <f>9.9968 * CHOOSE(CONTROL!$C$22, $C$13, 100%, $E$13)</f>
        <v>9.9968000000000004</v>
      </c>
      <c r="C625" s="63">
        <f>9.9968 * CHOOSE(CONTROL!$C$22, $C$13, 100%, $E$13)</f>
        <v>9.9968000000000004</v>
      </c>
      <c r="D625" s="63">
        <f>10.0053 * CHOOSE(CONTROL!$C$22, $C$13, 100%, $E$13)</f>
        <v>10.0053</v>
      </c>
      <c r="E625" s="64">
        <f>11.5304 * CHOOSE(CONTROL!$C$22, $C$13, 100%, $E$13)</f>
        <v>11.5304</v>
      </c>
      <c r="F625" s="64">
        <f>11.5304 * CHOOSE(CONTROL!$C$22, $C$13, 100%, $E$13)</f>
        <v>11.5304</v>
      </c>
      <c r="G625" s="64">
        <f>11.5406 * CHOOSE(CONTROL!$C$22, $C$13, 100%, $E$13)</f>
        <v>11.5406</v>
      </c>
      <c r="H625" s="64">
        <f>19.7417* CHOOSE(CONTROL!$C$22, $C$13, 100%, $E$13)</f>
        <v>19.741700000000002</v>
      </c>
      <c r="I625" s="64">
        <f>19.7519 * CHOOSE(CONTROL!$C$22, $C$13, 100%, $E$13)</f>
        <v>19.751899999999999</v>
      </c>
      <c r="J625" s="64">
        <f>11.5304 * CHOOSE(CONTROL!$C$22, $C$13, 100%, $E$13)</f>
        <v>11.5304</v>
      </c>
      <c r="K625" s="64">
        <f>11.5406 * CHOOSE(CONTROL!$C$22, $C$13, 100%, $E$13)</f>
        <v>11.5406</v>
      </c>
    </row>
    <row r="626" spans="1:11" ht="15">
      <c r="A626" s="13">
        <v>60541</v>
      </c>
      <c r="B626" s="63">
        <f>10.0114 * CHOOSE(CONTROL!$C$22, $C$13, 100%, $E$13)</f>
        <v>10.0114</v>
      </c>
      <c r="C626" s="63">
        <f>10.0114 * CHOOSE(CONTROL!$C$22, $C$13, 100%, $E$13)</f>
        <v>10.0114</v>
      </c>
      <c r="D626" s="63">
        <f>10.0114 * CHOOSE(CONTROL!$C$22, $C$13, 100%, $E$13)</f>
        <v>10.0114</v>
      </c>
      <c r="E626" s="64">
        <f>11.5998 * CHOOSE(CONTROL!$C$22, $C$13, 100%, $E$13)</f>
        <v>11.5998</v>
      </c>
      <c r="F626" s="64">
        <f>11.5998 * CHOOSE(CONTROL!$C$22, $C$13, 100%, $E$13)</f>
        <v>11.5998</v>
      </c>
      <c r="G626" s="64">
        <f>11.5999 * CHOOSE(CONTROL!$C$22, $C$13, 100%, $E$13)</f>
        <v>11.5999</v>
      </c>
      <c r="H626" s="64">
        <f>19.7829* CHOOSE(CONTROL!$C$22, $C$13, 100%, $E$13)</f>
        <v>19.782900000000001</v>
      </c>
      <c r="I626" s="64">
        <f>19.7829 * CHOOSE(CONTROL!$C$22, $C$13, 100%, $E$13)</f>
        <v>19.782900000000001</v>
      </c>
      <c r="J626" s="64">
        <f>11.5998 * CHOOSE(CONTROL!$C$22, $C$13, 100%, $E$13)</f>
        <v>11.5998</v>
      </c>
      <c r="K626" s="64">
        <f>11.5999 * CHOOSE(CONTROL!$C$22, $C$13, 100%, $E$13)</f>
        <v>11.5999</v>
      </c>
    </row>
    <row r="627" spans="1:11" ht="15">
      <c r="A627" s="13">
        <v>60572</v>
      </c>
      <c r="B627" s="63">
        <f>10.0144 * CHOOSE(CONTROL!$C$22, $C$13, 100%, $E$13)</f>
        <v>10.0144</v>
      </c>
      <c r="C627" s="63">
        <f>10.0144 * CHOOSE(CONTROL!$C$22, $C$13, 100%, $E$13)</f>
        <v>10.0144</v>
      </c>
      <c r="D627" s="63">
        <f>10.0144 * CHOOSE(CONTROL!$C$22, $C$13, 100%, $E$13)</f>
        <v>10.0144</v>
      </c>
      <c r="E627" s="64">
        <f>11.6434 * CHOOSE(CONTROL!$C$22, $C$13, 100%, $E$13)</f>
        <v>11.6434</v>
      </c>
      <c r="F627" s="64">
        <f>11.6434 * CHOOSE(CONTROL!$C$22, $C$13, 100%, $E$13)</f>
        <v>11.6434</v>
      </c>
      <c r="G627" s="64">
        <f>11.6434 * CHOOSE(CONTROL!$C$22, $C$13, 100%, $E$13)</f>
        <v>11.6434</v>
      </c>
      <c r="H627" s="64">
        <f>19.8241* CHOOSE(CONTROL!$C$22, $C$13, 100%, $E$13)</f>
        <v>19.824100000000001</v>
      </c>
      <c r="I627" s="64">
        <f>19.8242 * CHOOSE(CONTROL!$C$22, $C$13, 100%, $E$13)</f>
        <v>19.824200000000001</v>
      </c>
      <c r="J627" s="64">
        <f>11.6434 * CHOOSE(CONTROL!$C$22, $C$13, 100%, $E$13)</f>
        <v>11.6434</v>
      </c>
      <c r="K627" s="64">
        <f>11.6434 * CHOOSE(CONTROL!$C$22, $C$13, 100%, $E$13)</f>
        <v>11.6434</v>
      </c>
    </row>
    <row r="628" spans="1:11" ht="15">
      <c r="A628" s="13">
        <v>60602</v>
      </c>
      <c r="B628" s="63">
        <f>10.0144 * CHOOSE(CONTROL!$C$22, $C$13, 100%, $E$13)</f>
        <v>10.0144</v>
      </c>
      <c r="C628" s="63">
        <f>10.0144 * CHOOSE(CONTROL!$C$22, $C$13, 100%, $E$13)</f>
        <v>10.0144</v>
      </c>
      <c r="D628" s="63">
        <f>10.0144 * CHOOSE(CONTROL!$C$22, $C$13, 100%, $E$13)</f>
        <v>10.0144</v>
      </c>
      <c r="E628" s="64">
        <f>11.5398 * CHOOSE(CONTROL!$C$22, $C$13, 100%, $E$13)</f>
        <v>11.5398</v>
      </c>
      <c r="F628" s="64">
        <f>11.5398 * CHOOSE(CONTROL!$C$22, $C$13, 100%, $E$13)</f>
        <v>11.5398</v>
      </c>
      <c r="G628" s="64">
        <f>11.5399 * CHOOSE(CONTROL!$C$22, $C$13, 100%, $E$13)</f>
        <v>11.539899999999999</v>
      </c>
      <c r="H628" s="64">
        <f>19.8654* CHOOSE(CONTROL!$C$22, $C$13, 100%, $E$13)</f>
        <v>19.865400000000001</v>
      </c>
      <c r="I628" s="64">
        <f>19.8655 * CHOOSE(CONTROL!$C$22, $C$13, 100%, $E$13)</f>
        <v>19.865500000000001</v>
      </c>
      <c r="J628" s="64">
        <f>11.5398 * CHOOSE(CONTROL!$C$22, $C$13, 100%, $E$13)</f>
        <v>11.5398</v>
      </c>
      <c r="K628" s="64">
        <f>11.5399 * CHOOSE(CONTROL!$C$22, $C$13, 100%, $E$13)</f>
        <v>11.539899999999999</v>
      </c>
    </row>
    <row r="629" spans="1:11" ht="15">
      <c r="A629" s="13">
        <v>60633</v>
      </c>
      <c r="B629" s="63">
        <f>10.074 * CHOOSE(CONTROL!$C$22, $C$13, 100%, $E$13)</f>
        <v>10.074</v>
      </c>
      <c r="C629" s="63">
        <f>10.074 * CHOOSE(CONTROL!$C$22, $C$13, 100%, $E$13)</f>
        <v>10.074</v>
      </c>
      <c r="D629" s="63">
        <f>10.074 * CHOOSE(CONTROL!$C$22, $C$13, 100%, $E$13)</f>
        <v>10.074</v>
      </c>
      <c r="E629" s="64">
        <f>11.6826 * CHOOSE(CONTROL!$C$22, $C$13, 100%, $E$13)</f>
        <v>11.682600000000001</v>
      </c>
      <c r="F629" s="64">
        <f>11.6826 * CHOOSE(CONTROL!$C$22, $C$13, 100%, $E$13)</f>
        <v>11.682600000000001</v>
      </c>
      <c r="G629" s="64">
        <f>11.6827 * CHOOSE(CONTROL!$C$22, $C$13, 100%, $E$13)</f>
        <v>11.682700000000001</v>
      </c>
      <c r="H629" s="64">
        <f>19.8617* CHOOSE(CONTROL!$C$22, $C$13, 100%, $E$13)</f>
        <v>19.861699999999999</v>
      </c>
      <c r="I629" s="64">
        <f>19.8617 * CHOOSE(CONTROL!$C$22, $C$13, 100%, $E$13)</f>
        <v>19.861699999999999</v>
      </c>
      <c r="J629" s="64">
        <f>11.6826 * CHOOSE(CONTROL!$C$22, $C$13, 100%, $E$13)</f>
        <v>11.682600000000001</v>
      </c>
      <c r="K629" s="64">
        <f>11.6827 * CHOOSE(CONTROL!$C$22, $C$13, 100%, $E$13)</f>
        <v>11.682700000000001</v>
      </c>
    </row>
    <row r="630" spans="1:11" ht="15">
      <c r="A630" s="13">
        <v>60664</v>
      </c>
      <c r="B630" s="63">
        <f>10.071 * CHOOSE(CONTROL!$C$22, $C$13, 100%, $E$13)</f>
        <v>10.071</v>
      </c>
      <c r="C630" s="63">
        <f>10.071 * CHOOSE(CONTROL!$C$22, $C$13, 100%, $E$13)</f>
        <v>10.071</v>
      </c>
      <c r="D630" s="63">
        <f>10.071 * CHOOSE(CONTROL!$C$22, $C$13, 100%, $E$13)</f>
        <v>10.071</v>
      </c>
      <c r="E630" s="64">
        <f>11.4799 * CHOOSE(CONTROL!$C$22, $C$13, 100%, $E$13)</f>
        <v>11.479900000000001</v>
      </c>
      <c r="F630" s="64">
        <f>11.4799 * CHOOSE(CONTROL!$C$22, $C$13, 100%, $E$13)</f>
        <v>11.479900000000001</v>
      </c>
      <c r="G630" s="64">
        <f>11.48 * CHOOSE(CONTROL!$C$22, $C$13, 100%, $E$13)</f>
        <v>11.48</v>
      </c>
      <c r="H630" s="64">
        <f>19.903* CHOOSE(CONTROL!$C$22, $C$13, 100%, $E$13)</f>
        <v>19.902999999999999</v>
      </c>
      <c r="I630" s="64">
        <f>19.9031 * CHOOSE(CONTROL!$C$22, $C$13, 100%, $E$13)</f>
        <v>19.903099999999998</v>
      </c>
      <c r="J630" s="64">
        <f>11.4799 * CHOOSE(CONTROL!$C$22, $C$13, 100%, $E$13)</f>
        <v>11.479900000000001</v>
      </c>
      <c r="K630" s="64">
        <f>11.48 * CHOOSE(CONTROL!$C$22, $C$13, 100%, $E$13)</f>
        <v>11.48</v>
      </c>
    </row>
    <row r="631" spans="1:11" ht="15">
      <c r="A631" s="13">
        <v>60692</v>
      </c>
      <c r="B631" s="63">
        <f>10.068 * CHOOSE(CONTROL!$C$22, $C$13, 100%, $E$13)</f>
        <v>10.068</v>
      </c>
      <c r="C631" s="63">
        <f>10.068 * CHOOSE(CONTROL!$C$22, $C$13, 100%, $E$13)</f>
        <v>10.068</v>
      </c>
      <c r="D631" s="63">
        <f>10.068 * CHOOSE(CONTROL!$C$22, $C$13, 100%, $E$13)</f>
        <v>10.068</v>
      </c>
      <c r="E631" s="64">
        <f>11.6359 * CHOOSE(CONTROL!$C$22, $C$13, 100%, $E$13)</f>
        <v>11.635899999999999</v>
      </c>
      <c r="F631" s="64">
        <f>11.6359 * CHOOSE(CONTROL!$C$22, $C$13, 100%, $E$13)</f>
        <v>11.635899999999999</v>
      </c>
      <c r="G631" s="64">
        <f>11.636 * CHOOSE(CONTROL!$C$22, $C$13, 100%, $E$13)</f>
        <v>11.635999999999999</v>
      </c>
      <c r="H631" s="64">
        <f>19.9445* CHOOSE(CONTROL!$C$22, $C$13, 100%, $E$13)</f>
        <v>19.944500000000001</v>
      </c>
      <c r="I631" s="64">
        <f>19.9446 * CHOOSE(CONTROL!$C$22, $C$13, 100%, $E$13)</f>
        <v>19.944600000000001</v>
      </c>
      <c r="J631" s="64">
        <f>11.6359 * CHOOSE(CONTROL!$C$22, $C$13, 100%, $E$13)</f>
        <v>11.635899999999999</v>
      </c>
      <c r="K631" s="64">
        <f>11.636 * CHOOSE(CONTROL!$C$22, $C$13, 100%, $E$13)</f>
        <v>11.635999999999999</v>
      </c>
    </row>
    <row r="632" spans="1:11" ht="15">
      <c r="A632" s="13">
        <v>60723</v>
      </c>
      <c r="B632" s="63">
        <f>10.0707 * CHOOSE(CONTROL!$C$22, $C$13, 100%, $E$13)</f>
        <v>10.0707</v>
      </c>
      <c r="C632" s="63">
        <f>10.0707 * CHOOSE(CONTROL!$C$22, $C$13, 100%, $E$13)</f>
        <v>10.0707</v>
      </c>
      <c r="D632" s="63">
        <f>10.0707 * CHOOSE(CONTROL!$C$22, $C$13, 100%, $E$13)</f>
        <v>10.0707</v>
      </c>
      <c r="E632" s="64">
        <f>11.8016 * CHOOSE(CONTROL!$C$22, $C$13, 100%, $E$13)</f>
        <v>11.801600000000001</v>
      </c>
      <c r="F632" s="64">
        <f>11.8016 * CHOOSE(CONTROL!$C$22, $C$13, 100%, $E$13)</f>
        <v>11.801600000000001</v>
      </c>
      <c r="G632" s="64">
        <f>11.8017 * CHOOSE(CONTROL!$C$22, $C$13, 100%, $E$13)</f>
        <v>11.8017</v>
      </c>
      <c r="H632" s="64">
        <f>19.986* CHOOSE(CONTROL!$C$22, $C$13, 100%, $E$13)</f>
        <v>19.986000000000001</v>
      </c>
      <c r="I632" s="64">
        <f>19.9861 * CHOOSE(CONTROL!$C$22, $C$13, 100%, $E$13)</f>
        <v>19.9861</v>
      </c>
      <c r="J632" s="64">
        <f>11.8016 * CHOOSE(CONTROL!$C$22, $C$13, 100%, $E$13)</f>
        <v>11.801600000000001</v>
      </c>
      <c r="K632" s="64">
        <f>11.8017 * CHOOSE(CONTROL!$C$22, $C$13, 100%, $E$13)</f>
        <v>11.8017</v>
      </c>
    </row>
    <row r="633" spans="1:11" ht="15">
      <c r="A633" s="13">
        <v>60753</v>
      </c>
      <c r="B633" s="63">
        <f>10.0707 * CHOOSE(CONTROL!$C$22, $C$13, 100%, $E$13)</f>
        <v>10.0707</v>
      </c>
      <c r="C633" s="63">
        <f>10.0707 * CHOOSE(CONTROL!$C$22, $C$13, 100%, $E$13)</f>
        <v>10.0707</v>
      </c>
      <c r="D633" s="63">
        <f>10.0792 * CHOOSE(CONTROL!$C$22, $C$13, 100%, $E$13)</f>
        <v>10.0792</v>
      </c>
      <c r="E633" s="64">
        <f>11.8653 * CHOOSE(CONTROL!$C$22, $C$13, 100%, $E$13)</f>
        <v>11.8653</v>
      </c>
      <c r="F633" s="64">
        <f>11.8653 * CHOOSE(CONTROL!$C$22, $C$13, 100%, $E$13)</f>
        <v>11.8653</v>
      </c>
      <c r="G633" s="64">
        <f>11.8755 * CHOOSE(CONTROL!$C$22, $C$13, 100%, $E$13)</f>
        <v>11.875500000000001</v>
      </c>
      <c r="H633" s="64">
        <f>20.0277* CHOOSE(CONTROL!$C$22, $C$13, 100%, $E$13)</f>
        <v>20.027699999999999</v>
      </c>
      <c r="I633" s="64">
        <f>20.0379 * CHOOSE(CONTROL!$C$22, $C$13, 100%, $E$13)</f>
        <v>20.0379</v>
      </c>
      <c r="J633" s="64">
        <f>11.8653 * CHOOSE(CONTROL!$C$22, $C$13, 100%, $E$13)</f>
        <v>11.8653</v>
      </c>
      <c r="K633" s="64">
        <f>11.8755 * CHOOSE(CONTROL!$C$22, $C$13, 100%, $E$13)</f>
        <v>11.875500000000001</v>
      </c>
    </row>
    <row r="634" spans="1:11" ht="15">
      <c r="A634" s="13">
        <v>60784</v>
      </c>
      <c r="B634" s="63">
        <f>10.0768 * CHOOSE(CONTROL!$C$22, $C$13, 100%, $E$13)</f>
        <v>10.0768</v>
      </c>
      <c r="C634" s="63">
        <f>10.0768 * CHOOSE(CONTROL!$C$22, $C$13, 100%, $E$13)</f>
        <v>10.0768</v>
      </c>
      <c r="D634" s="63">
        <f>10.0852 * CHOOSE(CONTROL!$C$22, $C$13, 100%, $E$13)</f>
        <v>10.0852</v>
      </c>
      <c r="E634" s="64">
        <f>11.8058 * CHOOSE(CONTROL!$C$22, $C$13, 100%, $E$13)</f>
        <v>11.8058</v>
      </c>
      <c r="F634" s="64">
        <f>11.8058 * CHOOSE(CONTROL!$C$22, $C$13, 100%, $E$13)</f>
        <v>11.8058</v>
      </c>
      <c r="G634" s="64">
        <f>11.816 * CHOOSE(CONTROL!$C$22, $C$13, 100%, $E$13)</f>
        <v>11.816000000000001</v>
      </c>
      <c r="H634" s="64">
        <f>20.0694* CHOOSE(CONTROL!$C$22, $C$13, 100%, $E$13)</f>
        <v>20.069400000000002</v>
      </c>
      <c r="I634" s="64">
        <f>20.0796 * CHOOSE(CONTROL!$C$22, $C$13, 100%, $E$13)</f>
        <v>20.079599999999999</v>
      </c>
      <c r="J634" s="64">
        <f>11.8058 * CHOOSE(CONTROL!$C$22, $C$13, 100%, $E$13)</f>
        <v>11.8058</v>
      </c>
      <c r="K634" s="64">
        <f>11.816 * CHOOSE(CONTROL!$C$22, $C$13, 100%, $E$13)</f>
        <v>11.816000000000001</v>
      </c>
    </row>
    <row r="635" spans="1:11" ht="15">
      <c r="A635" s="13">
        <v>60814</v>
      </c>
      <c r="B635" s="63">
        <f>10.2324 * CHOOSE(CONTROL!$C$22, $C$13, 100%, $E$13)</f>
        <v>10.2324</v>
      </c>
      <c r="C635" s="63">
        <f>10.2324 * CHOOSE(CONTROL!$C$22, $C$13, 100%, $E$13)</f>
        <v>10.2324</v>
      </c>
      <c r="D635" s="63">
        <f>10.2408 * CHOOSE(CONTROL!$C$22, $C$13, 100%, $E$13)</f>
        <v>10.2408</v>
      </c>
      <c r="E635" s="64">
        <f>11.9967 * CHOOSE(CONTROL!$C$22, $C$13, 100%, $E$13)</f>
        <v>11.996700000000001</v>
      </c>
      <c r="F635" s="64">
        <f>11.9967 * CHOOSE(CONTROL!$C$22, $C$13, 100%, $E$13)</f>
        <v>11.996700000000001</v>
      </c>
      <c r="G635" s="64">
        <f>12.007 * CHOOSE(CONTROL!$C$22, $C$13, 100%, $E$13)</f>
        <v>12.007</v>
      </c>
      <c r="H635" s="64">
        <f>20.1112* CHOOSE(CONTROL!$C$22, $C$13, 100%, $E$13)</f>
        <v>20.1112</v>
      </c>
      <c r="I635" s="64">
        <f>20.1214 * CHOOSE(CONTROL!$C$22, $C$13, 100%, $E$13)</f>
        <v>20.121400000000001</v>
      </c>
      <c r="J635" s="64">
        <f>11.9967 * CHOOSE(CONTROL!$C$22, $C$13, 100%, $E$13)</f>
        <v>11.996700000000001</v>
      </c>
      <c r="K635" s="64">
        <f>12.007 * CHOOSE(CONTROL!$C$22, $C$13, 100%, $E$13)</f>
        <v>12.007</v>
      </c>
    </row>
    <row r="636" spans="1:11" ht="15">
      <c r="A636" s="13">
        <v>60845</v>
      </c>
      <c r="B636" s="63">
        <f>10.2391 * CHOOSE(CONTROL!$C$22, $C$13, 100%, $E$13)</f>
        <v>10.239100000000001</v>
      </c>
      <c r="C636" s="63">
        <f>10.2391 * CHOOSE(CONTROL!$C$22, $C$13, 100%, $E$13)</f>
        <v>10.239100000000001</v>
      </c>
      <c r="D636" s="63">
        <f>10.2475 * CHOOSE(CONTROL!$C$22, $C$13, 100%, $E$13)</f>
        <v>10.2475</v>
      </c>
      <c r="E636" s="64">
        <f>11.8103 * CHOOSE(CONTROL!$C$22, $C$13, 100%, $E$13)</f>
        <v>11.8103</v>
      </c>
      <c r="F636" s="64">
        <f>11.8103 * CHOOSE(CONTROL!$C$22, $C$13, 100%, $E$13)</f>
        <v>11.8103</v>
      </c>
      <c r="G636" s="64">
        <f>11.8205 * CHOOSE(CONTROL!$C$22, $C$13, 100%, $E$13)</f>
        <v>11.820499999999999</v>
      </c>
      <c r="H636" s="64">
        <f>20.1531* CHOOSE(CONTROL!$C$22, $C$13, 100%, $E$13)</f>
        <v>20.153099999999998</v>
      </c>
      <c r="I636" s="64">
        <f>20.1633 * CHOOSE(CONTROL!$C$22, $C$13, 100%, $E$13)</f>
        <v>20.1633</v>
      </c>
      <c r="J636" s="64">
        <f>11.8103 * CHOOSE(CONTROL!$C$22, $C$13, 100%, $E$13)</f>
        <v>11.8103</v>
      </c>
      <c r="K636" s="64">
        <f>11.8205 * CHOOSE(CONTROL!$C$22, $C$13, 100%, $E$13)</f>
        <v>11.820499999999999</v>
      </c>
    </row>
    <row r="637" spans="1:11" ht="15">
      <c r="A637" s="13">
        <v>60876</v>
      </c>
      <c r="B637" s="63">
        <f>10.236 * CHOOSE(CONTROL!$C$22, $C$13, 100%, $E$13)</f>
        <v>10.236000000000001</v>
      </c>
      <c r="C637" s="63">
        <f>10.236 * CHOOSE(CONTROL!$C$22, $C$13, 100%, $E$13)</f>
        <v>10.236000000000001</v>
      </c>
      <c r="D637" s="63">
        <f>10.2445 * CHOOSE(CONTROL!$C$22, $C$13, 100%, $E$13)</f>
        <v>10.2445</v>
      </c>
      <c r="E637" s="64">
        <f>11.7869 * CHOOSE(CONTROL!$C$22, $C$13, 100%, $E$13)</f>
        <v>11.786899999999999</v>
      </c>
      <c r="F637" s="64">
        <f>11.7869 * CHOOSE(CONTROL!$C$22, $C$13, 100%, $E$13)</f>
        <v>11.786899999999999</v>
      </c>
      <c r="G637" s="64">
        <f>11.7972 * CHOOSE(CONTROL!$C$22, $C$13, 100%, $E$13)</f>
        <v>11.7972</v>
      </c>
      <c r="H637" s="64">
        <f>20.1951* CHOOSE(CONTROL!$C$22, $C$13, 100%, $E$13)</f>
        <v>20.1951</v>
      </c>
      <c r="I637" s="64">
        <f>20.2053 * CHOOSE(CONTROL!$C$22, $C$13, 100%, $E$13)</f>
        <v>20.205300000000001</v>
      </c>
      <c r="J637" s="64">
        <f>11.7869 * CHOOSE(CONTROL!$C$22, $C$13, 100%, $E$13)</f>
        <v>11.786899999999999</v>
      </c>
      <c r="K637" s="64">
        <f>11.7972 * CHOOSE(CONTROL!$C$22, $C$13, 100%, $E$13)</f>
        <v>11.7972</v>
      </c>
    </row>
    <row r="638" spans="1:11" ht="15">
      <c r="A638" s="13">
        <v>60906</v>
      </c>
      <c r="B638" s="63">
        <f>10.2513 * CHOOSE(CONTROL!$C$22, $C$13, 100%, $E$13)</f>
        <v>10.251300000000001</v>
      </c>
      <c r="C638" s="63">
        <f>10.2513 * CHOOSE(CONTROL!$C$22, $C$13, 100%, $E$13)</f>
        <v>10.251300000000001</v>
      </c>
      <c r="D638" s="63">
        <f>10.2513 * CHOOSE(CONTROL!$C$22, $C$13, 100%, $E$13)</f>
        <v>10.251300000000001</v>
      </c>
      <c r="E638" s="64">
        <f>11.8585 * CHOOSE(CONTROL!$C$22, $C$13, 100%, $E$13)</f>
        <v>11.858499999999999</v>
      </c>
      <c r="F638" s="64">
        <f>11.8585 * CHOOSE(CONTROL!$C$22, $C$13, 100%, $E$13)</f>
        <v>11.858499999999999</v>
      </c>
      <c r="G638" s="64">
        <f>11.8585 * CHOOSE(CONTROL!$C$22, $C$13, 100%, $E$13)</f>
        <v>11.858499999999999</v>
      </c>
      <c r="H638" s="64">
        <f>20.2372* CHOOSE(CONTROL!$C$22, $C$13, 100%, $E$13)</f>
        <v>20.237200000000001</v>
      </c>
      <c r="I638" s="64">
        <f>20.2373 * CHOOSE(CONTROL!$C$22, $C$13, 100%, $E$13)</f>
        <v>20.237300000000001</v>
      </c>
      <c r="J638" s="64">
        <f>11.8585 * CHOOSE(CONTROL!$C$22, $C$13, 100%, $E$13)</f>
        <v>11.858499999999999</v>
      </c>
      <c r="K638" s="64">
        <f>11.8585 * CHOOSE(CONTROL!$C$22, $C$13, 100%, $E$13)</f>
        <v>11.858499999999999</v>
      </c>
    </row>
    <row r="639" spans="1:11" ht="15">
      <c r="A639" s="13">
        <v>60937</v>
      </c>
      <c r="B639" s="63">
        <f>10.2544 * CHOOSE(CONTROL!$C$22, $C$13, 100%, $E$13)</f>
        <v>10.2544</v>
      </c>
      <c r="C639" s="63">
        <f>10.2544 * CHOOSE(CONTROL!$C$22, $C$13, 100%, $E$13)</f>
        <v>10.2544</v>
      </c>
      <c r="D639" s="63">
        <f>10.2544 * CHOOSE(CONTROL!$C$22, $C$13, 100%, $E$13)</f>
        <v>10.2544</v>
      </c>
      <c r="E639" s="64">
        <f>11.903 * CHOOSE(CONTROL!$C$22, $C$13, 100%, $E$13)</f>
        <v>11.903</v>
      </c>
      <c r="F639" s="64">
        <f>11.903 * CHOOSE(CONTROL!$C$22, $C$13, 100%, $E$13)</f>
        <v>11.903</v>
      </c>
      <c r="G639" s="64">
        <f>11.9031 * CHOOSE(CONTROL!$C$22, $C$13, 100%, $E$13)</f>
        <v>11.9031</v>
      </c>
      <c r="H639" s="64">
        <f>20.2793* CHOOSE(CONTROL!$C$22, $C$13, 100%, $E$13)</f>
        <v>20.279299999999999</v>
      </c>
      <c r="I639" s="64">
        <f>20.2794 * CHOOSE(CONTROL!$C$22, $C$13, 100%, $E$13)</f>
        <v>20.279399999999999</v>
      </c>
      <c r="J639" s="64">
        <f>11.903 * CHOOSE(CONTROL!$C$22, $C$13, 100%, $E$13)</f>
        <v>11.903</v>
      </c>
      <c r="K639" s="64">
        <f>11.9031 * CHOOSE(CONTROL!$C$22, $C$13, 100%, $E$13)</f>
        <v>11.9031</v>
      </c>
    </row>
    <row r="640" spans="1:11" ht="15">
      <c r="A640" s="13">
        <v>60967</v>
      </c>
      <c r="B640" s="63">
        <f>10.2544 * CHOOSE(CONTROL!$C$22, $C$13, 100%, $E$13)</f>
        <v>10.2544</v>
      </c>
      <c r="C640" s="63">
        <f>10.2544 * CHOOSE(CONTROL!$C$22, $C$13, 100%, $E$13)</f>
        <v>10.2544</v>
      </c>
      <c r="D640" s="63">
        <f>10.2544 * CHOOSE(CONTROL!$C$22, $C$13, 100%, $E$13)</f>
        <v>10.2544</v>
      </c>
      <c r="E640" s="64">
        <f>11.7969 * CHOOSE(CONTROL!$C$22, $C$13, 100%, $E$13)</f>
        <v>11.796900000000001</v>
      </c>
      <c r="F640" s="64">
        <f>11.7969 * CHOOSE(CONTROL!$C$22, $C$13, 100%, $E$13)</f>
        <v>11.796900000000001</v>
      </c>
      <c r="G640" s="64">
        <f>11.797 * CHOOSE(CONTROL!$C$22, $C$13, 100%, $E$13)</f>
        <v>11.797000000000001</v>
      </c>
      <c r="H640" s="64">
        <f>20.3216* CHOOSE(CONTROL!$C$22, $C$13, 100%, $E$13)</f>
        <v>20.3216</v>
      </c>
      <c r="I640" s="64">
        <f>20.3217 * CHOOSE(CONTROL!$C$22, $C$13, 100%, $E$13)</f>
        <v>20.3217</v>
      </c>
      <c r="J640" s="64">
        <f>11.7969 * CHOOSE(CONTROL!$C$22, $C$13, 100%, $E$13)</f>
        <v>11.796900000000001</v>
      </c>
      <c r="K640" s="64">
        <f>11.797 * CHOOSE(CONTROL!$C$22, $C$13, 100%, $E$13)</f>
        <v>11.797000000000001</v>
      </c>
    </row>
    <row r="641" spans="1:11" ht="15">
      <c r="A641" s="13">
        <v>60998</v>
      </c>
      <c r="B641" s="63">
        <f>10.3096 * CHOOSE(CONTROL!$C$22, $C$13, 100%, $E$13)</f>
        <v>10.3096</v>
      </c>
      <c r="C641" s="63">
        <f>10.3096 * CHOOSE(CONTROL!$C$22, $C$13, 100%, $E$13)</f>
        <v>10.3096</v>
      </c>
      <c r="D641" s="63">
        <f>10.3096 * CHOOSE(CONTROL!$C$22, $C$13, 100%, $E$13)</f>
        <v>10.3096</v>
      </c>
      <c r="E641" s="64">
        <f>11.9374 * CHOOSE(CONTROL!$C$22, $C$13, 100%, $E$13)</f>
        <v>11.9374</v>
      </c>
      <c r="F641" s="64">
        <f>11.9374 * CHOOSE(CONTROL!$C$22, $C$13, 100%, $E$13)</f>
        <v>11.9374</v>
      </c>
      <c r="G641" s="64">
        <f>11.9374 * CHOOSE(CONTROL!$C$22, $C$13, 100%, $E$13)</f>
        <v>11.9374</v>
      </c>
      <c r="H641" s="64">
        <f>20.3075* CHOOSE(CONTROL!$C$22, $C$13, 100%, $E$13)</f>
        <v>20.307500000000001</v>
      </c>
      <c r="I641" s="64">
        <f>20.3076 * CHOOSE(CONTROL!$C$22, $C$13, 100%, $E$13)</f>
        <v>20.307600000000001</v>
      </c>
      <c r="J641" s="64">
        <f>11.9374 * CHOOSE(CONTROL!$C$22, $C$13, 100%, $E$13)</f>
        <v>11.9374</v>
      </c>
      <c r="K641" s="64">
        <f>11.9374 * CHOOSE(CONTROL!$C$22, $C$13, 100%, $E$13)</f>
        <v>11.9374</v>
      </c>
    </row>
    <row r="642" spans="1:11" ht="15">
      <c r="A642" s="13">
        <v>61029</v>
      </c>
      <c r="B642" s="63">
        <f>10.3066 * CHOOSE(CONTROL!$C$22, $C$13, 100%, $E$13)</f>
        <v>10.3066</v>
      </c>
      <c r="C642" s="63">
        <f>10.3066 * CHOOSE(CONTROL!$C$22, $C$13, 100%, $E$13)</f>
        <v>10.3066</v>
      </c>
      <c r="D642" s="63">
        <f>10.3066 * CHOOSE(CONTROL!$C$22, $C$13, 100%, $E$13)</f>
        <v>10.3066</v>
      </c>
      <c r="E642" s="64">
        <f>11.7297 * CHOOSE(CONTROL!$C$22, $C$13, 100%, $E$13)</f>
        <v>11.729699999999999</v>
      </c>
      <c r="F642" s="64">
        <f>11.7297 * CHOOSE(CONTROL!$C$22, $C$13, 100%, $E$13)</f>
        <v>11.729699999999999</v>
      </c>
      <c r="G642" s="64">
        <f>11.7297 * CHOOSE(CONTROL!$C$22, $C$13, 100%, $E$13)</f>
        <v>11.729699999999999</v>
      </c>
      <c r="H642" s="64">
        <f>20.3499* CHOOSE(CONTROL!$C$22, $C$13, 100%, $E$13)</f>
        <v>20.349900000000002</v>
      </c>
      <c r="I642" s="64">
        <f>20.3499 * CHOOSE(CONTROL!$C$22, $C$13, 100%, $E$13)</f>
        <v>20.349900000000002</v>
      </c>
      <c r="J642" s="64">
        <f>11.7297 * CHOOSE(CONTROL!$C$22, $C$13, 100%, $E$13)</f>
        <v>11.729699999999999</v>
      </c>
      <c r="K642" s="64">
        <f>11.7297 * CHOOSE(CONTROL!$C$22, $C$13, 100%, $E$13)</f>
        <v>11.729699999999999</v>
      </c>
    </row>
    <row r="643" spans="1:11" ht="15">
      <c r="A643" s="13">
        <v>61057</v>
      </c>
      <c r="B643" s="63">
        <f>10.3035 * CHOOSE(CONTROL!$C$22, $C$13, 100%, $E$13)</f>
        <v>10.3035</v>
      </c>
      <c r="C643" s="63">
        <f>10.3035 * CHOOSE(CONTROL!$C$22, $C$13, 100%, $E$13)</f>
        <v>10.3035</v>
      </c>
      <c r="D643" s="63">
        <f>10.3035 * CHOOSE(CONTROL!$C$22, $C$13, 100%, $E$13)</f>
        <v>10.3035</v>
      </c>
      <c r="E643" s="64">
        <f>11.8896 * CHOOSE(CONTROL!$C$22, $C$13, 100%, $E$13)</f>
        <v>11.8896</v>
      </c>
      <c r="F643" s="64">
        <f>11.8896 * CHOOSE(CONTROL!$C$22, $C$13, 100%, $E$13)</f>
        <v>11.8896</v>
      </c>
      <c r="G643" s="64">
        <f>11.8897 * CHOOSE(CONTROL!$C$22, $C$13, 100%, $E$13)</f>
        <v>11.889699999999999</v>
      </c>
      <c r="H643" s="64">
        <f>20.3922* CHOOSE(CONTROL!$C$22, $C$13, 100%, $E$13)</f>
        <v>20.392199999999999</v>
      </c>
      <c r="I643" s="64">
        <f>20.3923 * CHOOSE(CONTROL!$C$22, $C$13, 100%, $E$13)</f>
        <v>20.392299999999999</v>
      </c>
      <c r="J643" s="64">
        <f>11.8896 * CHOOSE(CONTROL!$C$22, $C$13, 100%, $E$13)</f>
        <v>11.8896</v>
      </c>
      <c r="K643" s="64">
        <f>11.8897 * CHOOSE(CONTROL!$C$22, $C$13, 100%, $E$13)</f>
        <v>11.889699999999999</v>
      </c>
    </row>
    <row r="644" spans="1:11" ht="15">
      <c r="A644" s="13">
        <v>61088</v>
      </c>
      <c r="B644" s="63">
        <f>10.3065 * CHOOSE(CONTROL!$C$22, $C$13, 100%, $E$13)</f>
        <v>10.3065</v>
      </c>
      <c r="C644" s="63">
        <f>10.3065 * CHOOSE(CONTROL!$C$22, $C$13, 100%, $E$13)</f>
        <v>10.3065</v>
      </c>
      <c r="D644" s="63">
        <f>10.3065 * CHOOSE(CONTROL!$C$22, $C$13, 100%, $E$13)</f>
        <v>10.3065</v>
      </c>
      <c r="E644" s="64">
        <f>12.0594 * CHOOSE(CONTROL!$C$22, $C$13, 100%, $E$13)</f>
        <v>12.0594</v>
      </c>
      <c r="F644" s="64">
        <f>12.0594 * CHOOSE(CONTROL!$C$22, $C$13, 100%, $E$13)</f>
        <v>12.0594</v>
      </c>
      <c r="G644" s="64">
        <f>12.0595 * CHOOSE(CONTROL!$C$22, $C$13, 100%, $E$13)</f>
        <v>12.0595</v>
      </c>
      <c r="H644" s="64">
        <f>20.4347* CHOOSE(CONTROL!$C$22, $C$13, 100%, $E$13)</f>
        <v>20.434699999999999</v>
      </c>
      <c r="I644" s="64">
        <f>20.4348 * CHOOSE(CONTROL!$C$22, $C$13, 100%, $E$13)</f>
        <v>20.434799999999999</v>
      </c>
      <c r="J644" s="64">
        <f>12.0594 * CHOOSE(CONTROL!$C$22, $C$13, 100%, $E$13)</f>
        <v>12.0594</v>
      </c>
      <c r="K644" s="64">
        <f>12.0595 * CHOOSE(CONTROL!$C$22, $C$13, 100%, $E$13)</f>
        <v>12.0595</v>
      </c>
    </row>
    <row r="645" spans="1:11" ht="15">
      <c r="A645" s="13">
        <v>61118</v>
      </c>
      <c r="B645" s="63">
        <f>10.3065 * CHOOSE(CONTROL!$C$22, $C$13, 100%, $E$13)</f>
        <v>10.3065</v>
      </c>
      <c r="C645" s="63">
        <f>10.3065 * CHOOSE(CONTROL!$C$22, $C$13, 100%, $E$13)</f>
        <v>10.3065</v>
      </c>
      <c r="D645" s="63">
        <f>10.3149 * CHOOSE(CONTROL!$C$22, $C$13, 100%, $E$13)</f>
        <v>10.3149</v>
      </c>
      <c r="E645" s="64">
        <f>12.1247 * CHOOSE(CONTROL!$C$22, $C$13, 100%, $E$13)</f>
        <v>12.124700000000001</v>
      </c>
      <c r="F645" s="64">
        <f>12.1247 * CHOOSE(CONTROL!$C$22, $C$13, 100%, $E$13)</f>
        <v>12.124700000000001</v>
      </c>
      <c r="G645" s="64">
        <f>12.1349 * CHOOSE(CONTROL!$C$22, $C$13, 100%, $E$13)</f>
        <v>12.1349</v>
      </c>
      <c r="H645" s="64">
        <f>20.4773* CHOOSE(CONTROL!$C$22, $C$13, 100%, $E$13)</f>
        <v>20.4773</v>
      </c>
      <c r="I645" s="64">
        <f>20.4875 * CHOOSE(CONTROL!$C$22, $C$13, 100%, $E$13)</f>
        <v>20.487500000000001</v>
      </c>
      <c r="J645" s="64">
        <f>12.1247 * CHOOSE(CONTROL!$C$22, $C$13, 100%, $E$13)</f>
        <v>12.124700000000001</v>
      </c>
      <c r="K645" s="64">
        <f>12.1349 * CHOOSE(CONTROL!$C$22, $C$13, 100%, $E$13)</f>
        <v>12.1349</v>
      </c>
    </row>
    <row r="646" spans="1:11" ht="15">
      <c r="A646" s="13">
        <v>61149</v>
      </c>
      <c r="B646" s="63">
        <f>10.3126 * CHOOSE(CONTROL!$C$22, $C$13, 100%, $E$13)</f>
        <v>10.3126</v>
      </c>
      <c r="C646" s="63">
        <f>10.3126 * CHOOSE(CONTROL!$C$22, $C$13, 100%, $E$13)</f>
        <v>10.3126</v>
      </c>
      <c r="D646" s="63">
        <f>10.321 * CHOOSE(CONTROL!$C$22, $C$13, 100%, $E$13)</f>
        <v>10.321</v>
      </c>
      <c r="E646" s="64">
        <f>12.0637 * CHOOSE(CONTROL!$C$22, $C$13, 100%, $E$13)</f>
        <v>12.063700000000001</v>
      </c>
      <c r="F646" s="64">
        <f>12.0637 * CHOOSE(CONTROL!$C$22, $C$13, 100%, $E$13)</f>
        <v>12.063700000000001</v>
      </c>
      <c r="G646" s="64">
        <f>12.0739 * CHOOSE(CONTROL!$C$22, $C$13, 100%, $E$13)</f>
        <v>12.0739</v>
      </c>
      <c r="H646" s="64">
        <f>20.52* CHOOSE(CONTROL!$C$22, $C$13, 100%, $E$13)</f>
        <v>20.52</v>
      </c>
      <c r="I646" s="64">
        <f>20.5302 * CHOOSE(CONTROL!$C$22, $C$13, 100%, $E$13)</f>
        <v>20.530200000000001</v>
      </c>
      <c r="J646" s="64">
        <f>12.0637 * CHOOSE(CONTROL!$C$22, $C$13, 100%, $E$13)</f>
        <v>12.063700000000001</v>
      </c>
      <c r="K646" s="64">
        <f>12.0739 * CHOOSE(CONTROL!$C$22, $C$13, 100%, $E$13)</f>
        <v>12.0739</v>
      </c>
    </row>
    <row r="647" spans="1:11" ht="15">
      <c r="A647" s="13">
        <v>61179</v>
      </c>
      <c r="B647" s="63">
        <f>10.4716 * CHOOSE(CONTROL!$C$22, $C$13, 100%, $E$13)</f>
        <v>10.4716</v>
      </c>
      <c r="C647" s="63">
        <f>10.4716 * CHOOSE(CONTROL!$C$22, $C$13, 100%, $E$13)</f>
        <v>10.4716</v>
      </c>
      <c r="D647" s="63">
        <f>10.48 * CHOOSE(CONTROL!$C$22, $C$13, 100%, $E$13)</f>
        <v>10.48</v>
      </c>
      <c r="E647" s="64">
        <f>12.2585 * CHOOSE(CONTROL!$C$22, $C$13, 100%, $E$13)</f>
        <v>12.2585</v>
      </c>
      <c r="F647" s="64">
        <f>12.2585 * CHOOSE(CONTROL!$C$22, $C$13, 100%, $E$13)</f>
        <v>12.2585</v>
      </c>
      <c r="G647" s="64">
        <f>12.2687 * CHOOSE(CONTROL!$C$22, $C$13, 100%, $E$13)</f>
        <v>12.268700000000001</v>
      </c>
      <c r="H647" s="64">
        <f>20.5627* CHOOSE(CONTROL!$C$22, $C$13, 100%, $E$13)</f>
        <v>20.5627</v>
      </c>
      <c r="I647" s="64">
        <f>20.5729 * CHOOSE(CONTROL!$C$22, $C$13, 100%, $E$13)</f>
        <v>20.572900000000001</v>
      </c>
      <c r="J647" s="64">
        <f>12.2585 * CHOOSE(CONTROL!$C$22, $C$13, 100%, $E$13)</f>
        <v>12.2585</v>
      </c>
      <c r="K647" s="64">
        <f>12.2687 * CHOOSE(CONTROL!$C$22, $C$13, 100%, $E$13)</f>
        <v>12.268700000000001</v>
      </c>
    </row>
    <row r="648" spans="1:11" ht="15">
      <c r="A648" s="13">
        <v>61210</v>
      </c>
      <c r="B648" s="63">
        <f>10.4782 * CHOOSE(CONTROL!$C$22, $C$13, 100%, $E$13)</f>
        <v>10.478199999999999</v>
      </c>
      <c r="C648" s="63">
        <f>10.4782 * CHOOSE(CONTROL!$C$22, $C$13, 100%, $E$13)</f>
        <v>10.478199999999999</v>
      </c>
      <c r="D648" s="63">
        <f>10.4867 * CHOOSE(CONTROL!$C$22, $C$13, 100%, $E$13)</f>
        <v>10.486700000000001</v>
      </c>
      <c r="E648" s="64">
        <f>12.0674 * CHOOSE(CONTROL!$C$22, $C$13, 100%, $E$13)</f>
        <v>12.067399999999999</v>
      </c>
      <c r="F648" s="64">
        <f>12.0674 * CHOOSE(CONTROL!$C$22, $C$13, 100%, $E$13)</f>
        <v>12.067399999999999</v>
      </c>
      <c r="G648" s="64">
        <f>12.0776 * CHOOSE(CONTROL!$C$22, $C$13, 100%, $E$13)</f>
        <v>12.0776</v>
      </c>
      <c r="H648" s="64">
        <f>20.6056* CHOOSE(CONTROL!$C$22, $C$13, 100%, $E$13)</f>
        <v>20.605599999999999</v>
      </c>
      <c r="I648" s="64">
        <f>20.6158 * CHOOSE(CONTROL!$C$22, $C$13, 100%, $E$13)</f>
        <v>20.6158</v>
      </c>
      <c r="J648" s="64">
        <f>12.0674 * CHOOSE(CONTROL!$C$22, $C$13, 100%, $E$13)</f>
        <v>12.067399999999999</v>
      </c>
      <c r="K648" s="64">
        <f>12.0776 * CHOOSE(CONTROL!$C$22, $C$13, 100%, $E$13)</f>
        <v>12.0776</v>
      </c>
    </row>
    <row r="649" spans="1:11" ht="15">
      <c r="A649" s="13">
        <v>61241</v>
      </c>
      <c r="B649" s="63">
        <f>10.4752 * CHOOSE(CONTROL!$C$22, $C$13, 100%, $E$13)</f>
        <v>10.475199999999999</v>
      </c>
      <c r="C649" s="63">
        <f>10.4752 * CHOOSE(CONTROL!$C$22, $C$13, 100%, $E$13)</f>
        <v>10.475199999999999</v>
      </c>
      <c r="D649" s="63">
        <f>10.4836 * CHOOSE(CONTROL!$C$22, $C$13, 100%, $E$13)</f>
        <v>10.483599999999999</v>
      </c>
      <c r="E649" s="64">
        <f>12.0435 * CHOOSE(CONTROL!$C$22, $C$13, 100%, $E$13)</f>
        <v>12.0435</v>
      </c>
      <c r="F649" s="64">
        <f>12.0435 * CHOOSE(CONTROL!$C$22, $C$13, 100%, $E$13)</f>
        <v>12.0435</v>
      </c>
      <c r="G649" s="64">
        <f>12.0537 * CHOOSE(CONTROL!$C$22, $C$13, 100%, $E$13)</f>
        <v>12.053699999999999</v>
      </c>
      <c r="H649" s="64">
        <f>20.6485* CHOOSE(CONTROL!$C$22, $C$13, 100%, $E$13)</f>
        <v>20.648499999999999</v>
      </c>
      <c r="I649" s="64">
        <f>20.6587 * CHOOSE(CONTROL!$C$22, $C$13, 100%, $E$13)</f>
        <v>20.6587</v>
      </c>
      <c r="J649" s="64">
        <f>12.0435 * CHOOSE(CONTROL!$C$22, $C$13, 100%, $E$13)</f>
        <v>12.0435</v>
      </c>
      <c r="K649" s="64">
        <f>12.0537 * CHOOSE(CONTROL!$C$22, $C$13, 100%, $E$13)</f>
        <v>12.053699999999999</v>
      </c>
    </row>
    <row r="650" spans="1:11" ht="15">
      <c r="A650" s="13">
        <v>61271</v>
      </c>
      <c r="B650" s="63">
        <f>10.4913 * CHOOSE(CONTROL!$C$22, $C$13, 100%, $E$13)</f>
        <v>10.491300000000001</v>
      </c>
      <c r="C650" s="63">
        <f>10.4913 * CHOOSE(CONTROL!$C$22, $C$13, 100%, $E$13)</f>
        <v>10.491300000000001</v>
      </c>
      <c r="D650" s="63">
        <f>10.4913 * CHOOSE(CONTROL!$C$22, $C$13, 100%, $E$13)</f>
        <v>10.491300000000001</v>
      </c>
      <c r="E650" s="64">
        <f>12.1171 * CHOOSE(CONTROL!$C$22, $C$13, 100%, $E$13)</f>
        <v>12.117100000000001</v>
      </c>
      <c r="F650" s="64">
        <f>12.1171 * CHOOSE(CONTROL!$C$22, $C$13, 100%, $E$13)</f>
        <v>12.117100000000001</v>
      </c>
      <c r="G650" s="64">
        <f>12.1172 * CHOOSE(CONTROL!$C$22, $C$13, 100%, $E$13)</f>
        <v>12.1172</v>
      </c>
      <c r="H650" s="64">
        <f>20.6915* CHOOSE(CONTROL!$C$22, $C$13, 100%, $E$13)</f>
        <v>20.691500000000001</v>
      </c>
      <c r="I650" s="64">
        <f>20.6916 * CHOOSE(CONTROL!$C$22, $C$13, 100%, $E$13)</f>
        <v>20.691600000000001</v>
      </c>
      <c r="J650" s="64">
        <f>12.1171 * CHOOSE(CONTROL!$C$22, $C$13, 100%, $E$13)</f>
        <v>12.117100000000001</v>
      </c>
      <c r="K650" s="64">
        <f>12.1172 * CHOOSE(CONTROL!$C$22, $C$13, 100%, $E$13)</f>
        <v>12.1172</v>
      </c>
    </row>
    <row r="651" spans="1:11" ht="15">
      <c r="A651" s="13">
        <v>61302</v>
      </c>
      <c r="B651" s="63">
        <f>10.4943 * CHOOSE(CONTROL!$C$22, $C$13, 100%, $E$13)</f>
        <v>10.494300000000001</v>
      </c>
      <c r="C651" s="63">
        <f>10.4943 * CHOOSE(CONTROL!$C$22, $C$13, 100%, $E$13)</f>
        <v>10.494300000000001</v>
      </c>
      <c r="D651" s="63">
        <f>10.4943 * CHOOSE(CONTROL!$C$22, $C$13, 100%, $E$13)</f>
        <v>10.494300000000001</v>
      </c>
      <c r="E651" s="64">
        <f>12.1627 * CHOOSE(CONTROL!$C$22, $C$13, 100%, $E$13)</f>
        <v>12.162699999999999</v>
      </c>
      <c r="F651" s="64">
        <f>12.1627 * CHOOSE(CONTROL!$C$22, $C$13, 100%, $E$13)</f>
        <v>12.162699999999999</v>
      </c>
      <c r="G651" s="64">
        <f>12.1628 * CHOOSE(CONTROL!$C$22, $C$13, 100%, $E$13)</f>
        <v>12.162800000000001</v>
      </c>
      <c r="H651" s="64">
        <f>20.7346* CHOOSE(CONTROL!$C$22, $C$13, 100%, $E$13)</f>
        <v>20.7346</v>
      </c>
      <c r="I651" s="64">
        <f>20.7347 * CHOOSE(CONTROL!$C$22, $C$13, 100%, $E$13)</f>
        <v>20.7347</v>
      </c>
      <c r="J651" s="64">
        <f>12.1627 * CHOOSE(CONTROL!$C$22, $C$13, 100%, $E$13)</f>
        <v>12.162699999999999</v>
      </c>
      <c r="K651" s="64">
        <f>12.1628 * CHOOSE(CONTROL!$C$22, $C$13, 100%, $E$13)</f>
        <v>12.162800000000001</v>
      </c>
    </row>
    <row r="652" spans="1:11" ht="15">
      <c r="A652" s="13">
        <v>61332</v>
      </c>
      <c r="B652" s="63">
        <f>10.4943 * CHOOSE(CONTROL!$C$22, $C$13, 100%, $E$13)</f>
        <v>10.494300000000001</v>
      </c>
      <c r="C652" s="63">
        <f>10.4943 * CHOOSE(CONTROL!$C$22, $C$13, 100%, $E$13)</f>
        <v>10.494300000000001</v>
      </c>
      <c r="D652" s="63">
        <f>10.4943 * CHOOSE(CONTROL!$C$22, $C$13, 100%, $E$13)</f>
        <v>10.494300000000001</v>
      </c>
      <c r="E652" s="64">
        <f>12.0539 * CHOOSE(CONTROL!$C$22, $C$13, 100%, $E$13)</f>
        <v>12.053900000000001</v>
      </c>
      <c r="F652" s="64">
        <f>12.0539 * CHOOSE(CONTROL!$C$22, $C$13, 100%, $E$13)</f>
        <v>12.053900000000001</v>
      </c>
      <c r="G652" s="64">
        <f>12.054 * CHOOSE(CONTROL!$C$22, $C$13, 100%, $E$13)</f>
        <v>12.054</v>
      </c>
      <c r="H652" s="64">
        <f>20.7778* CHOOSE(CONTROL!$C$22, $C$13, 100%, $E$13)</f>
        <v>20.777799999999999</v>
      </c>
      <c r="I652" s="64">
        <f>20.7779 * CHOOSE(CONTROL!$C$22, $C$13, 100%, $E$13)</f>
        <v>20.777899999999999</v>
      </c>
      <c r="J652" s="64">
        <f>12.0539 * CHOOSE(CONTROL!$C$22, $C$13, 100%, $E$13)</f>
        <v>12.053900000000001</v>
      </c>
      <c r="K652" s="64">
        <f>12.054 * CHOOSE(CONTROL!$C$22, $C$13, 100%, $E$13)</f>
        <v>12.054</v>
      </c>
    </row>
    <row r="653" spans="1:11" ht="15">
      <c r="A653" s="13">
        <v>61363</v>
      </c>
      <c r="B653" s="63">
        <f>10.5452 * CHOOSE(CONTROL!$C$22, $C$13, 100%, $E$13)</f>
        <v>10.545199999999999</v>
      </c>
      <c r="C653" s="63">
        <f>10.5452 * CHOOSE(CONTROL!$C$22, $C$13, 100%, $E$13)</f>
        <v>10.545199999999999</v>
      </c>
      <c r="D653" s="63">
        <f>10.5452 * CHOOSE(CONTROL!$C$22, $C$13, 100%, $E$13)</f>
        <v>10.545199999999999</v>
      </c>
      <c r="E653" s="64">
        <f>12.1921 * CHOOSE(CONTROL!$C$22, $C$13, 100%, $E$13)</f>
        <v>12.1921</v>
      </c>
      <c r="F653" s="64">
        <f>12.1921 * CHOOSE(CONTROL!$C$22, $C$13, 100%, $E$13)</f>
        <v>12.1921</v>
      </c>
      <c r="G653" s="64">
        <f>12.1922 * CHOOSE(CONTROL!$C$22, $C$13, 100%, $E$13)</f>
        <v>12.1922</v>
      </c>
      <c r="H653" s="64">
        <f>20.7534* CHOOSE(CONTROL!$C$22, $C$13, 100%, $E$13)</f>
        <v>20.753399999999999</v>
      </c>
      <c r="I653" s="64">
        <f>20.7535 * CHOOSE(CONTROL!$C$22, $C$13, 100%, $E$13)</f>
        <v>20.753499999999999</v>
      </c>
      <c r="J653" s="64">
        <f>12.1921 * CHOOSE(CONTROL!$C$22, $C$13, 100%, $E$13)</f>
        <v>12.1921</v>
      </c>
      <c r="K653" s="64">
        <f>12.1922 * CHOOSE(CONTROL!$C$22, $C$13, 100%, $E$13)</f>
        <v>12.1922</v>
      </c>
    </row>
    <row r="654" spans="1:11" ht="15">
      <c r="A654" s="13">
        <v>61394</v>
      </c>
      <c r="B654" s="63">
        <f>10.5421 * CHOOSE(CONTROL!$C$22, $C$13, 100%, $E$13)</f>
        <v>10.5421</v>
      </c>
      <c r="C654" s="63">
        <f>10.5421 * CHOOSE(CONTROL!$C$22, $C$13, 100%, $E$13)</f>
        <v>10.5421</v>
      </c>
      <c r="D654" s="63">
        <f>10.5421 * CHOOSE(CONTROL!$C$22, $C$13, 100%, $E$13)</f>
        <v>10.5421</v>
      </c>
      <c r="E654" s="64">
        <f>11.9794 * CHOOSE(CONTROL!$C$22, $C$13, 100%, $E$13)</f>
        <v>11.9794</v>
      </c>
      <c r="F654" s="64">
        <f>11.9794 * CHOOSE(CONTROL!$C$22, $C$13, 100%, $E$13)</f>
        <v>11.9794</v>
      </c>
      <c r="G654" s="64">
        <f>11.9795 * CHOOSE(CONTROL!$C$22, $C$13, 100%, $E$13)</f>
        <v>11.9795</v>
      </c>
      <c r="H654" s="64">
        <f>20.7967* CHOOSE(CONTROL!$C$22, $C$13, 100%, $E$13)</f>
        <v>20.796700000000001</v>
      </c>
      <c r="I654" s="64">
        <f>20.7968 * CHOOSE(CONTROL!$C$22, $C$13, 100%, $E$13)</f>
        <v>20.796800000000001</v>
      </c>
      <c r="J654" s="64">
        <f>11.9794 * CHOOSE(CONTROL!$C$22, $C$13, 100%, $E$13)</f>
        <v>11.9794</v>
      </c>
      <c r="K654" s="64">
        <f>11.9795 * CHOOSE(CONTROL!$C$22, $C$13, 100%, $E$13)</f>
        <v>11.9795</v>
      </c>
    </row>
    <row r="655" spans="1:11" ht="15">
      <c r="A655" s="13">
        <v>61423</v>
      </c>
      <c r="B655" s="63">
        <f>10.5391 * CHOOSE(CONTROL!$C$22, $C$13, 100%, $E$13)</f>
        <v>10.539099999999999</v>
      </c>
      <c r="C655" s="63">
        <f>10.5391 * CHOOSE(CONTROL!$C$22, $C$13, 100%, $E$13)</f>
        <v>10.539099999999999</v>
      </c>
      <c r="D655" s="63">
        <f>10.5391 * CHOOSE(CONTROL!$C$22, $C$13, 100%, $E$13)</f>
        <v>10.539099999999999</v>
      </c>
      <c r="E655" s="64">
        <f>12.1433 * CHOOSE(CONTROL!$C$22, $C$13, 100%, $E$13)</f>
        <v>12.1433</v>
      </c>
      <c r="F655" s="64">
        <f>12.1433 * CHOOSE(CONTROL!$C$22, $C$13, 100%, $E$13)</f>
        <v>12.1433</v>
      </c>
      <c r="G655" s="64">
        <f>12.1434 * CHOOSE(CONTROL!$C$22, $C$13, 100%, $E$13)</f>
        <v>12.1434</v>
      </c>
      <c r="H655" s="64">
        <f>20.84* CHOOSE(CONTROL!$C$22, $C$13, 100%, $E$13)</f>
        <v>20.84</v>
      </c>
      <c r="I655" s="64">
        <f>20.8401 * CHOOSE(CONTROL!$C$22, $C$13, 100%, $E$13)</f>
        <v>20.8401</v>
      </c>
      <c r="J655" s="64">
        <f>12.1433 * CHOOSE(CONTROL!$C$22, $C$13, 100%, $E$13)</f>
        <v>12.1433</v>
      </c>
      <c r="K655" s="64">
        <f>12.1434 * CHOOSE(CONTROL!$C$22, $C$13, 100%, $E$13)</f>
        <v>12.1434</v>
      </c>
    </row>
    <row r="656" spans="1:11" ht="15">
      <c r="A656" s="13">
        <v>61454</v>
      </c>
      <c r="B656" s="63">
        <f>10.5423 * CHOOSE(CONTROL!$C$22, $C$13, 100%, $E$13)</f>
        <v>10.542299999999999</v>
      </c>
      <c r="C656" s="63">
        <f>10.5423 * CHOOSE(CONTROL!$C$22, $C$13, 100%, $E$13)</f>
        <v>10.542299999999999</v>
      </c>
      <c r="D656" s="63">
        <f>10.5423 * CHOOSE(CONTROL!$C$22, $C$13, 100%, $E$13)</f>
        <v>10.542299999999999</v>
      </c>
      <c r="E656" s="64">
        <f>12.3173 * CHOOSE(CONTROL!$C$22, $C$13, 100%, $E$13)</f>
        <v>12.317299999999999</v>
      </c>
      <c r="F656" s="64">
        <f>12.3173 * CHOOSE(CONTROL!$C$22, $C$13, 100%, $E$13)</f>
        <v>12.317299999999999</v>
      </c>
      <c r="G656" s="64">
        <f>12.3174 * CHOOSE(CONTROL!$C$22, $C$13, 100%, $E$13)</f>
        <v>12.317399999999999</v>
      </c>
      <c r="H656" s="64">
        <f>20.8834* CHOOSE(CONTROL!$C$22, $C$13, 100%, $E$13)</f>
        <v>20.883400000000002</v>
      </c>
      <c r="I656" s="64">
        <f>20.8835 * CHOOSE(CONTROL!$C$22, $C$13, 100%, $E$13)</f>
        <v>20.883500000000002</v>
      </c>
      <c r="J656" s="64">
        <f>12.3173 * CHOOSE(CONTROL!$C$22, $C$13, 100%, $E$13)</f>
        <v>12.317299999999999</v>
      </c>
      <c r="K656" s="64">
        <f>12.3174 * CHOOSE(CONTROL!$C$22, $C$13, 100%, $E$13)</f>
        <v>12.317399999999999</v>
      </c>
    </row>
    <row r="657" spans="1:11" ht="15">
      <c r="A657" s="13">
        <v>61484</v>
      </c>
      <c r="B657" s="63">
        <f>10.5423 * CHOOSE(CONTROL!$C$22, $C$13, 100%, $E$13)</f>
        <v>10.542299999999999</v>
      </c>
      <c r="C657" s="63">
        <f>10.5423 * CHOOSE(CONTROL!$C$22, $C$13, 100%, $E$13)</f>
        <v>10.542299999999999</v>
      </c>
      <c r="D657" s="63">
        <f>10.5507 * CHOOSE(CONTROL!$C$22, $C$13, 100%, $E$13)</f>
        <v>10.550700000000001</v>
      </c>
      <c r="E657" s="64">
        <f>12.3841 * CHOOSE(CONTROL!$C$22, $C$13, 100%, $E$13)</f>
        <v>12.3841</v>
      </c>
      <c r="F657" s="64">
        <f>12.3841 * CHOOSE(CONTROL!$C$22, $C$13, 100%, $E$13)</f>
        <v>12.3841</v>
      </c>
      <c r="G657" s="64">
        <f>12.3944 * CHOOSE(CONTROL!$C$22, $C$13, 100%, $E$13)</f>
        <v>12.394399999999999</v>
      </c>
      <c r="H657" s="64">
        <f>20.9269* CHOOSE(CONTROL!$C$22, $C$13, 100%, $E$13)</f>
        <v>20.9269</v>
      </c>
      <c r="I657" s="64">
        <f>20.9371 * CHOOSE(CONTROL!$C$22, $C$13, 100%, $E$13)</f>
        <v>20.937100000000001</v>
      </c>
      <c r="J657" s="64">
        <f>12.3841 * CHOOSE(CONTROL!$C$22, $C$13, 100%, $E$13)</f>
        <v>12.3841</v>
      </c>
      <c r="K657" s="64">
        <f>12.3944 * CHOOSE(CONTROL!$C$22, $C$13, 100%, $E$13)</f>
        <v>12.394399999999999</v>
      </c>
    </row>
    <row r="658" spans="1:11" ht="15">
      <c r="A658" s="13">
        <v>61515</v>
      </c>
      <c r="B658" s="63">
        <f>10.5483 * CHOOSE(CONTROL!$C$22, $C$13, 100%, $E$13)</f>
        <v>10.548299999999999</v>
      </c>
      <c r="C658" s="63">
        <f>10.5483 * CHOOSE(CONTROL!$C$22, $C$13, 100%, $E$13)</f>
        <v>10.548299999999999</v>
      </c>
      <c r="D658" s="63">
        <f>10.5568 * CHOOSE(CONTROL!$C$22, $C$13, 100%, $E$13)</f>
        <v>10.556800000000001</v>
      </c>
      <c r="E658" s="64">
        <f>12.3215 * CHOOSE(CONTROL!$C$22, $C$13, 100%, $E$13)</f>
        <v>12.3215</v>
      </c>
      <c r="F658" s="64">
        <f>12.3215 * CHOOSE(CONTROL!$C$22, $C$13, 100%, $E$13)</f>
        <v>12.3215</v>
      </c>
      <c r="G658" s="64">
        <f>12.3318 * CHOOSE(CONTROL!$C$22, $C$13, 100%, $E$13)</f>
        <v>12.331799999999999</v>
      </c>
      <c r="H658" s="64">
        <f>20.9705* CHOOSE(CONTROL!$C$22, $C$13, 100%, $E$13)</f>
        <v>20.970500000000001</v>
      </c>
      <c r="I658" s="64">
        <f>20.9807 * CHOOSE(CONTROL!$C$22, $C$13, 100%, $E$13)</f>
        <v>20.980699999999999</v>
      </c>
      <c r="J658" s="64">
        <f>12.3215 * CHOOSE(CONTROL!$C$22, $C$13, 100%, $E$13)</f>
        <v>12.3215</v>
      </c>
      <c r="K658" s="64">
        <f>12.3318 * CHOOSE(CONTROL!$C$22, $C$13, 100%, $E$13)</f>
        <v>12.331799999999999</v>
      </c>
    </row>
    <row r="659" spans="1:11" ht="15">
      <c r="A659" s="13">
        <v>61545</v>
      </c>
      <c r="B659" s="63">
        <f>10.7107 * CHOOSE(CONTROL!$C$22, $C$13, 100%, $E$13)</f>
        <v>10.710699999999999</v>
      </c>
      <c r="C659" s="63">
        <f>10.7107 * CHOOSE(CONTROL!$C$22, $C$13, 100%, $E$13)</f>
        <v>10.710699999999999</v>
      </c>
      <c r="D659" s="63">
        <f>10.7192 * CHOOSE(CONTROL!$C$22, $C$13, 100%, $E$13)</f>
        <v>10.719200000000001</v>
      </c>
      <c r="E659" s="64">
        <f>12.5203 * CHOOSE(CONTROL!$C$22, $C$13, 100%, $E$13)</f>
        <v>12.520300000000001</v>
      </c>
      <c r="F659" s="64">
        <f>12.5203 * CHOOSE(CONTROL!$C$22, $C$13, 100%, $E$13)</f>
        <v>12.520300000000001</v>
      </c>
      <c r="G659" s="64">
        <f>12.5305 * CHOOSE(CONTROL!$C$22, $C$13, 100%, $E$13)</f>
        <v>12.5305</v>
      </c>
      <c r="H659" s="64">
        <f>21.0142* CHOOSE(CONTROL!$C$22, $C$13, 100%, $E$13)</f>
        <v>21.014199999999999</v>
      </c>
      <c r="I659" s="64">
        <f>21.0244 * CHOOSE(CONTROL!$C$22, $C$13, 100%, $E$13)</f>
        <v>21.0244</v>
      </c>
      <c r="J659" s="64">
        <f>12.5203 * CHOOSE(CONTROL!$C$22, $C$13, 100%, $E$13)</f>
        <v>12.520300000000001</v>
      </c>
      <c r="K659" s="64">
        <f>12.5305 * CHOOSE(CONTROL!$C$22, $C$13, 100%, $E$13)</f>
        <v>12.5305</v>
      </c>
    </row>
    <row r="660" spans="1:11" ht="15">
      <c r="A660" s="13">
        <v>61576</v>
      </c>
      <c r="B660" s="63">
        <f>10.7174 * CHOOSE(CONTROL!$C$22, $C$13, 100%, $E$13)</f>
        <v>10.7174</v>
      </c>
      <c r="C660" s="63">
        <f>10.7174 * CHOOSE(CONTROL!$C$22, $C$13, 100%, $E$13)</f>
        <v>10.7174</v>
      </c>
      <c r="D660" s="63">
        <f>10.7259 * CHOOSE(CONTROL!$C$22, $C$13, 100%, $E$13)</f>
        <v>10.725899999999999</v>
      </c>
      <c r="E660" s="64">
        <f>12.3244 * CHOOSE(CONTROL!$C$22, $C$13, 100%, $E$13)</f>
        <v>12.324400000000001</v>
      </c>
      <c r="F660" s="64">
        <f>12.3244 * CHOOSE(CONTROL!$C$22, $C$13, 100%, $E$13)</f>
        <v>12.324400000000001</v>
      </c>
      <c r="G660" s="64">
        <f>12.3346 * CHOOSE(CONTROL!$C$22, $C$13, 100%, $E$13)</f>
        <v>12.3346</v>
      </c>
      <c r="H660" s="64">
        <f>21.058* CHOOSE(CONTROL!$C$22, $C$13, 100%, $E$13)</f>
        <v>21.058</v>
      </c>
      <c r="I660" s="64">
        <f>21.0682 * CHOOSE(CONTROL!$C$22, $C$13, 100%, $E$13)</f>
        <v>21.068200000000001</v>
      </c>
      <c r="J660" s="64">
        <f>12.3244 * CHOOSE(CONTROL!$C$22, $C$13, 100%, $E$13)</f>
        <v>12.324400000000001</v>
      </c>
      <c r="K660" s="64">
        <f>12.3346 * CHOOSE(CONTROL!$C$22, $C$13, 100%, $E$13)</f>
        <v>12.3346</v>
      </c>
    </row>
    <row r="661" spans="1:11" ht="15">
      <c r="A661" s="13">
        <v>61607</v>
      </c>
      <c r="B661" s="63">
        <f>10.7144 * CHOOSE(CONTROL!$C$22, $C$13, 100%, $E$13)</f>
        <v>10.714399999999999</v>
      </c>
      <c r="C661" s="63">
        <f>10.7144 * CHOOSE(CONTROL!$C$22, $C$13, 100%, $E$13)</f>
        <v>10.714399999999999</v>
      </c>
      <c r="D661" s="63">
        <f>10.7228 * CHOOSE(CONTROL!$C$22, $C$13, 100%, $E$13)</f>
        <v>10.722799999999999</v>
      </c>
      <c r="E661" s="64">
        <f>12.3 * CHOOSE(CONTROL!$C$22, $C$13, 100%, $E$13)</f>
        <v>12.3</v>
      </c>
      <c r="F661" s="64">
        <f>12.3 * CHOOSE(CONTROL!$C$22, $C$13, 100%, $E$13)</f>
        <v>12.3</v>
      </c>
      <c r="G661" s="64">
        <f>12.3103 * CHOOSE(CONTROL!$C$22, $C$13, 100%, $E$13)</f>
        <v>12.3103</v>
      </c>
      <c r="H661" s="64">
        <f>21.1019* CHOOSE(CONTROL!$C$22, $C$13, 100%, $E$13)</f>
        <v>21.101900000000001</v>
      </c>
      <c r="I661" s="64">
        <f>21.1121 * CHOOSE(CONTROL!$C$22, $C$13, 100%, $E$13)</f>
        <v>21.112100000000002</v>
      </c>
      <c r="J661" s="64">
        <f>12.3 * CHOOSE(CONTROL!$C$22, $C$13, 100%, $E$13)</f>
        <v>12.3</v>
      </c>
      <c r="K661" s="64">
        <f>12.3103 * CHOOSE(CONTROL!$C$22, $C$13, 100%, $E$13)</f>
        <v>12.3103</v>
      </c>
    </row>
    <row r="662" spans="1:11" ht="15">
      <c r="A662" s="13">
        <v>61637</v>
      </c>
      <c r="B662" s="63">
        <f>10.7312 * CHOOSE(CONTROL!$C$22, $C$13, 100%, $E$13)</f>
        <v>10.731199999999999</v>
      </c>
      <c r="C662" s="63">
        <f>10.7312 * CHOOSE(CONTROL!$C$22, $C$13, 100%, $E$13)</f>
        <v>10.731199999999999</v>
      </c>
      <c r="D662" s="63">
        <f>10.7312 * CHOOSE(CONTROL!$C$22, $C$13, 100%, $E$13)</f>
        <v>10.731199999999999</v>
      </c>
      <c r="E662" s="64">
        <f>12.3757 * CHOOSE(CONTROL!$C$22, $C$13, 100%, $E$13)</f>
        <v>12.3757</v>
      </c>
      <c r="F662" s="64">
        <f>12.3757 * CHOOSE(CONTROL!$C$22, $C$13, 100%, $E$13)</f>
        <v>12.3757</v>
      </c>
      <c r="G662" s="64">
        <f>12.3758 * CHOOSE(CONTROL!$C$22, $C$13, 100%, $E$13)</f>
        <v>12.3758</v>
      </c>
      <c r="H662" s="64">
        <f>21.1458* CHOOSE(CONTROL!$C$22, $C$13, 100%, $E$13)</f>
        <v>21.145800000000001</v>
      </c>
      <c r="I662" s="64">
        <f>21.1459 * CHOOSE(CONTROL!$C$22, $C$13, 100%, $E$13)</f>
        <v>21.145900000000001</v>
      </c>
      <c r="J662" s="64">
        <f>12.3757 * CHOOSE(CONTROL!$C$22, $C$13, 100%, $E$13)</f>
        <v>12.3757</v>
      </c>
      <c r="K662" s="64">
        <f>12.3758 * CHOOSE(CONTROL!$C$22, $C$13, 100%, $E$13)</f>
        <v>12.3758</v>
      </c>
    </row>
    <row r="663" spans="1:11" ht="15">
      <c r="A663" s="13">
        <v>61668</v>
      </c>
      <c r="B663" s="63">
        <f>10.7342 * CHOOSE(CONTROL!$C$22, $C$13, 100%, $E$13)</f>
        <v>10.7342</v>
      </c>
      <c r="C663" s="63">
        <f>10.7342 * CHOOSE(CONTROL!$C$22, $C$13, 100%, $E$13)</f>
        <v>10.7342</v>
      </c>
      <c r="D663" s="63">
        <f>10.7342 * CHOOSE(CONTROL!$C$22, $C$13, 100%, $E$13)</f>
        <v>10.7342</v>
      </c>
      <c r="E663" s="64">
        <f>12.4224 * CHOOSE(CONTROL!$C$22, $C$13, 100%, $E$13)</f>
        <v>12.4224</v>
      </c>
      <c r="F663" s="64">
        <f>12.4224 * CHOOSE(CONTROL!$C$22, $C$13, 100%, $E$13)</f>
        <v>12.4224</v>
      </c>
      <c r="G663" s="64">
        <f>12.4225 * CHOOSE(CONTROL!$C$22, $C$13, 100%, $E$13)</f>
        <v>12.422499999999999</v>
      </c>
      <c r="H663" s="64">
        <f>21.1899* CHOOSE(CONTROL!$C$22, $C$13, 100%, $E$13)</f>
        <v>21.189900000000002</v>
      </c>
      <c r="I663" s="64">
        <f>21.19 * CHOOSE(CONTROL!$C$22, $C$13, 100%, $E$13)</f>
        <v>21.19</v>
      </c>
      <c r="J663" s="64">
        <f>12.4224 * CHOOSE(CONTROL!$C$22, $C$13, 100%, $E$13)</f>
        <v>12.4224</v>
      </c>
      <c r="K663" s="64">
        <f>12.4225 * CHOOSE(CONTROL!$C$22, $C$13, 100%, $E$13)</f>
        <v>12.422499999999999</v>
      </c>
    </row>
    <row r="664" spans="1:11" ht="15">
      <c r="A664" s="13">
        <v>61698</v>
      </c>
      <c r="B664" s="63">
        <f>10.7342 * CHOOSE(CONTROL!$C$22, $C$13, 100%, $E$13)</f>
        <v>10.7342</v>
      </c>
      <c r="C664" s="63">
        <f>10.7342 * CHOOSE(CONTROL!$C$22, $C$13, 100%, $E$13)</f>
        <v>10.7342</v>
      </c>
      <c r="D664" s="63">
        <f>10.7342 * CHOOSE(CONTROL!$C$22, $C$13, 100%, $E$13)</f>
        <v>10.7342</v>
      </c>
      <c r="E664" s="64">
        <f>12.311 * CHOOSE(CONTROL!$C$22, $C$13, 100%, $E$13)</f>
        <v>12.311</v>
      </c>
      <c r="F664" s="64">
        <f>12.311 * CHOOSE(CONTROL!$C$22, $C$13, 100%, $E$13)</f>
        <v>12.311</v>
      </c>
      <c r="G664" s="64">
        <f>12.3111 * CHOOSE(CONTROL!$C$22, $C$13, 100%, $E$13)</f>
        <v>12.3111</v>
      </c>
      <c r="H664" s="64">
        <f>21.234* CHOOSE(CONTROL!$C$22, $C$13, 100%, $E$13)</f>
        <v>21.234000000000002</v>
      </c>
      <c r="I664" s="64">
        <f>21.2341 * CHOOSE(CONTROL!$C$22, $C$13, 100%, $E$13)</f>
        <v>21.234100000000002</v>
      </c>
      <c r="J664" s="64">
        <f>12.311 * CHOOSE(CONTROL!$C$22, $C$13, 100%, $E$13)</f>
        <v>12.311</v>
      </c>
      <c r="K664" s="64">
        <f>12.3111 * CHOOSE(CONTROL!$C$22, $C$13, 100%, $E$13)</f>
        <v>12.3111</v>
      </c>
    </row>
    <row r="665" spans="1:11" ht="15">
      <c r="A665" s="13">
        <v>61729</v>
      </c>
      <c r="B665" s="63">
        <f>10.7807 * CHOOSE(CONTROL!$C$22, $C$13, 100%, $E$13)</f>
        <v>10.7807</v>
      </c>
      <c r="C665" s="63">
        <f>10.7807 * CHOOSE(CONTROL!$C$22, $C$13, 100%, $E$13)</f>
        <v>10.7807</v>
      </c>
      <c r="D665" s="63">
        <f>10.7808 * CHOOSE(CONTROL!$C$22, $C$13, 100%, $E$13)</f>
        <v>10.780799999999999</v>
      </c>
      <c r="E665" s="64">
        <f>12.4468 * CHOOSE(CONTROL!$C$22, $C$13, 100%, $E$13)</f>
        <v>12.4468</v>
      </c>
      <c r="F665" s="64">
        <f>12.4468 * CHOOSE(CONTROL!$C$22, $C$13, 100%, $E$13)</f>
        <v>12.4468</v>
      </c>
      <c r="G665" s="64">
        <f>12.4469 * CHOOSE(CONTROL!$C$22, $C$13, 100%, $E$13)</f>
        <v>12.446899999999999</v>
      </c>
      <c r="H665" s="64">
        <f>21.1993* CHOOSE(CONTROL!$C$22, $C$13, 100%, $E$13)</f>
        <v>21.199300000000001</v>
      </c>
      <c r="I665" s="64">
        <f>21.1994 * CHOOSE(CONTROL!$C$22, $C$13, 100%, $E$13)</f>
        <v>21.199400000000001</v>
      </c>
      <c r="J665" s="64">
        <f>12.4468 * CHOOSE(CONTROL!$C$22, $C$13, 100%, $E$13)</f>
        <v>12.4468</v>
      </c>
      <c r="K665" s="64">
        <f>12.4469 * CHOOSE(CONTROL!$C$22, $C$13, 100%, $E$13)</f>
        <v>12.446899999999999</v>
      </c>
    </row>
    <row r="666" spans="1:11" ht="15">
      <c r="A666" s="13">
        <v>61760</v>
      </c>
      <c r="B666" s="63">
        <f>10.7777 * CHOOSE(CONTROL!$C$22, $C$13, 100%, $E$13)</f>
        <v>10.777699999999999</v>
      </c>
      <c r="C666" s="63">
        <f>10.7777 * CHOOSE(CONTROL!$C$22, $C$13, 100%, $E$13)</f>
        <v>10.777699999999999</v>
      </c>
      <c r="D666" s="63">
        <f>10.7777 * CHOOSE(CONTROL!$C$22, $C$13, 100%, $E$13)</f>
        <v>10.777699999999999</v>
      </c>
      <c r="E666" s="64">
        <f>12.2292 * CHOOSE(CONTROL!$C$22, $C$13, 100%, $E$13)</f>
        <v>12.229200000000001</v>
      </c>
      <c r="F666" s="64">
        <f>12.2292 * CHOOSE(CONTROL!$C$22, $C$13, 100%, $E$13)</f>
        <v>12.229200000000001</v>
      </c>
      <c r="G666" s="64">
        <f>12.2293 * CHOOSE(CONTROL!$C$22, $C$13, 100%, $E$13)</f>
        <v>12.2293</v>
      </c>
      <c r="H666" s="64">
        <f>21.2435* CHOOSE(CONTROL!$C$22, $C$13, 100%, $E$13)</f>
        <v>21.243500000000001</v>
      </c>
      <c r="I666" s="64">
        <f>21.2436 * CHOOSE(CONTROL!$C$22, $C$13, 100%, $E$13)</f>
        <v>21.243600000000001</v>
      </c>
      <c r="J666" s="64">
        <f>12.2292 * CHOOSE(CONTROL!$C$22, $C$13, 100%, $E$13)</f>
        <v>12.229200000000001</v>
      </c>
      <c r="K666" s="64">
        <f>12.2293 * CHOOSE(CONTROL!$C$22, $C$13, 100%, $E$13)</f>
        <v>12.2293</v>
      </c>
    </row>
    <row r="667" spans="1:11" ht="15">
      <c r="A667" s="13">
        <v>61788</v>
      </c>
      <c r="B667" s="63">
        <f>10.7747 * CHOOSE(CONTROL!$C$22, $C$13, 100%, $E$13)</f>
        <v>10.774699999999999</v>
      </c>
      <c r="C667" s="63">
        <f>10.7747 * CHOOSE(CONTROL!$C$22, $C$13, 100%, $E$13)</f>
        <v>10.774699999999999</v>
      </c>
      <c r="D667" s="63">
        <f>10.7747 * CHOOSE(CONTROL!$C$22, $C$13, 100%, $E$13)</f>
        <v>10.774699999999999</v>
      </c>
      <c r="E667" s="64">
        <f>12.397 * CHOOSE(CONTROL!$C$22, $C$13, 100%, $E$13)</f>
        <v>12.397</v>
      </c>
      <c r="F667" s="64">
        <f>12.397 * CHOOSE(CONTROL!$C$22, $C$13, 100%, $E$13)</f>
        <v>12.397</v>
      </c>
      <c r="G667" s="64">
        <f>12.3971 * CHOOSE(CONTROL!$C$22, $C$13, 100%, $E$13)</f>
        <v>12.3971</v>
      </c>
      <c r="H667" s="64">
        <f>21.2878* CHOOSE(CONTROL!$C$22, $C$13, 100%, $E$13)</f>
        <v>21.287800000000001</v>
      </c>
      <c r="I667" s="64">
        <f>21.2878 * CHOOSE(CONTROL!$C$22, $C$13, 100%, $E$13)</f>
        <v>21.287800000000001</v>
      </c>
      <c r="J667" s="64">
        <f>12.397 * CHOOSE(CONTROL!$C$22, $C$13, 100%, $E$13)</f>
        <v>12.397</v>
      </c>
      <c r="K667" s="64">
        <f>12.3971 * CHOOSE(CONTROL!$C$22, $C$13, 100%, $E$13)</f>
        <v>12.3971</v>
      </c>
    </row>
    <row r="668" spans="1:11" ht="15">
      <c r="A668" s="13">
        <v>61819</v>
      </c>
      <c r="B668" s="63">
        <f>10.778 * CHOOSE(CONTROL!$C$22, $C$13, 100%, $E$13)</f>
        <v>10.778</v>
      </c>
      <c r="C668" s="63">
        <f>10.778 * CHOOSE(CONTROL!$C$22, $C$13, 100%, $E$13)</f>
        <v>10.778</v>
      </c>
      <c r="D668" s="63">
        <f>10.778 * CHOOSE(CONTROL!$C$22, $C$13, 100%, $E$13)</f>
        <v>10.778</v>
      </c>
      <c r="E668" s="64">
        <f>12.5752 * CHOOSE(CONTROL!$C$22, $C$13, 100%, $E$13)</f>
        <v>12.575200000000001</v>
      </c>
      <c r="F668" s="64">
        <f>12.5752 * CHOOSE(CONTROL!$C$22, $C$13, 100%, $E$13)</f>
        <v>12.575200000000001</v>
      </c>
      <c r="G668" s="64">
        <f>12.5752 * CHOOSE(CONTROL!$C$22, $C$13, 100%, $E$13)</f>
        <v>12.575200000000001</v>
      </c>
      <c r="H668" s="64">
        <f>21.3321* CHOOSE(CONTROL!$C$22, $C$13, 100%, $E$13)</f>
        <v>21.332100000000001</v>
      </c>
      <c r="I668" s="64">
        <f>21.3322 * CHOOSE(CONTROL!$C$22, $C$13, 100%, $E$13)</f>
        <v>21.3322</v>
      </c>
      <c r="J668" s="64">
        <f>12.5752 * CHOOSE(CONTROL!$C$22, $C$13, 100%, $E$13)</f>
        <v>12.575200000000001</v>
      </c>
      <c r="K668" s="64">
        <f>12.5752 * CHOOSE(CONTROL!$C$22, $C$13, 100%, $E$13)</f>
        <v>12.575200000000001</v>
      </c>
    </row>
    <row r="669" spans="1:11" ht="15">
      <c r="A669" s="13">
        <v>61849</v>
      </c>
      <c r="B669" s="63">
        <f>10.778 * CHOOSE(CONTROL!$C$22, $C$13, 100%, $E$13)</f>
        <v>10.778</v>
      </c>
      <c r="C669" s="63">
        <f>10.778 * CHOOSE(CONTROL!$C$22, $C$13, 100%, $E$13)</f>
        <v>10.778</v>
      </c>
      <c r="D669" s="63">
        <f>10.7865 * CHOOSE(CONTROL!$C$22, $C$13, 100%, $E$13)</f>
        <v>10.7865</v>
      </c>
      <c r="E669" s="64">
        <f>12.6436 * CHOOSE(CONTROL!$C$22, $C$13, 100%, $E$13)</f>
        <v>12.643599999999999</v>
      </c>
      <c r="F669" s="64">
        <f>12.6436 * CHOOSE(CONTROL!$C$22, $C$13, 100%, $E$13)</f>
        <v>12.643599999999999</v>
      </c>
      <c r="G669" s="64">
        <f>12.6538 * CHOOSE(CONTROL!$C$22, $C$13, 100%, $E$13)</f>
        <v>12.6538</v>
      </c>
      <c r="H669" s="64">
        <f>21.3765* CHOOSE(CONTROL!$C$22, $C$13, 100%, $E$13)</f>
        <v>21.3765</v>
      </c>
      <c r="I669" s="64">
        <f>21.3868 * CHOOSE(CONTROL!$C$22, $C$13, 100%, $E$13)</f>
        <v>21.386800000000001</v>
      </c>
      <c r="J669" s="64">
        <f>12.6436 * CHOOSE(CONTROL!$C$22, $C$13, 100%, $E$13)</f>
        <v>12.643599999999999</v>
      </c>
      <c r="K669" s="64">
        <f>12.6538 * CHOOSE(CONTROL!$C$22, $C$13, 100%, $E$13)</f>
        <v>12.6538</v>
      </c>
    </row>
    <row r="670" spans="1:11" ht="15">
      <c r="A670" s="13">
        <v>61880</v>
      </c>
      <c r="B670" s="63">
        <f>10.7841 * CHOOSE(CONTROL!$C$22, $C$13, 100%, $E$13)</f>
        <v>10.7841</v>
      </c>
      <c r="C670" s="63">
        <f>10.7841 * CHOOSE(CONTROL!$C$22, $C$13, 100%, $E$13)</f>
        <v>10.7841</v>
      </c>
      <c r="D670" s="63">
        <f>10.7925 * CHOOSE(CONTROL!$C$22, $C$13, 100%, $E$13)</f>
        <v>10.7925</v>
      </c>
      <c r="E670" s="64">
        <f>12.5794 * CHOOSE(CONTROL!$C$22, $C$13, 100%, $E$13)</f>
        <v>12.5794</v>
      </c>
      <c r="F670" s="64">
        <f>12.5794 * CHOOSE(CONTROL!$C$22, $C$13, 100%, $E$13)</f>
        <v>12.5794</v>
      </c>
      <c r="G670" s="64">
        <f>12.5896 * CHOOSE(CONTROL!$C$22, $C$13, 100%, $E$13)</f>
        <v>12.589600000000001</v>
      </c>
      <c r="H670" s="64">
        <f>21.4211* CHOOSE(CONTROL!$C$22, $C$13, 100%, $E$13)</f>
        <v>21.421099999999999</v>
      </c>
      <c r="I670" s="64">
        <f>21.4313 * CHOOSE(CONTROL!$C$22, $C$13, 100%, $E$13)</f>
        <v>21.4313</v>
      </c>
      <c r="J670" s="64">
        <f>12.5794 * CHOOSE(CONTROL!$C$22, $C$13, 100%, $E$13)</f>
        <v>12.5794</v>
      </c>
      <c r="K670" s="64">
        <f>12.5896 * CHOOSE(CONTROL!$C$22, $C$13, 100%, $E$13)</f>
        <v>12.589600000000001</v>
      </c>
    </row>
    <row r="671" spans="1:11" ht="15">
      <c r="A671" s="13">
        <v>61910</v>
      </c>
      <c r="B671" s="63">
        <f>10.9499 * CHOOSE(CONTROL!$C$22, $C$13, 100%, $E$13)</f>
        <v>10.9499</v>
      </c>
      <c r="C671" s="63">
        <f>10.9499 * CHOOSE(CONTROL!$C$22, $C$13, 100%, $E$13)</f>
        <v>10.9499</v>
      </c>
      <c r="D671" s="63">
        <f>10.9583 * CHOOSE(CONTROL!$C$22, $C$13, 100%, $E$13)</f>
        <v>10.958299999999999</v>
      </c>
      <c r="E671" s="64">
        <f>12.7821 * CHOOSE(CONTROL!$C$22, $C$13, 100%, $E$13)</f>
        <v>12.7821</v>
      </c>
      <c r="F671" s="64">
        <f>12.7821 * CHOOSE(CONTROL!$C$22, $C$13, 100%, $E$13)</f>
        <v>12.7821</v>
      </c>
      <c r="G671" s="64">
        <f>12.7923 * CHOOSE(CONTROL!$C$22, $C$13, 100%, $E$13)</f>
        <v>12.792299999999999</v>
      </c>
      <c r="H671" s="64">
        <f>21.4657* CHOOSE(CONTROL!$C$22, $C$13, 100%, $E$13)</f>
        <v>21.465699999999998</v>
      </c>
      <c r="I671" s="64">
        <f>21.4759 * CHOOSE(CONTROL!$C$22, $C$13, 100%, $E$13)</f>
        <v>21.475899999999999</v>
      </c>
      <c r="J671" s="64">
        <f>12.7821 * CHOOSE(CONTROL!$C$22, $C$13, 100%, $E$13)</f>
        <v>12.7821</v>
      </c>
      <c r="K671" s="64">
        <f>12.7923 * CHOOSE(CONTROL!$C$22, $C$13, 100%, $E$13)</f>
        <v>12.792299999999999</v>
      </c>
    </row>
    <row r="672" spans="1:11" ht="15">
      <c r="A672" s="13">
        <v>61941</v>
      </c>
      <c r="B672" s="63">
        <f>10.9566 * CHOOSE(CONTROL!$C$22, $C$13, 100%, $E$13)</f>
        <v>10.9566</v>
      </c>
      <c r="C672" s="63">
        <f>10.9566 * CHOOSE(CONTROL!$C$22, $C$13, 100%, $E$13)</f>
        <v>10.9566</v>
      </c>
      <c r="D672" s="63">
        <f>10.965 * CHOOSE(CONTROL!$C$22, $C$13, 100%, $E$13)</f>
        <v>10.965</v>
      </c>
      <c r="E672" s="64">
        <f>12.5815 * CHOOSE(CONTROL!$C$22, $C$13, 100%, $E$13)</f>
        <v>12.5815</v>
      </c>
      <c r="F672" s="64">
        <f>12.5815 * CHOOSE(CONTROL!$C$22, $C$13, 100%, $E$13)</f>
        <v>12.5815</v>
      </c>
      <c r="G672" s="64">
        <f>12.5917 * CHOOSE(CONTROL!$C$22, $C$13, 100%, $E$13)</f>
        <v>12.591699999999999</v>
      </c>
      <c r="H672" s="64">
        <f>21.5104* CHOOSE(CONTROL!$C$22, $C$13, 100%, $E$13)</f>
        <v>21.510400000000001</v>
      </c>
      <c r="I672" s="64">
        <f>21.5206 * CHOOSE(CONTROL!$C$22, $C$13, 100%, $E$13)</f>
        <v>21.520600000000002</v>
      </c>
      <c r="J672" s="64">
        <f>12.5815 * CHOOSE(CONTROL!$C$22, $C$13, 100%, $E$13)</f>
        <v>12.5815</v>
      </c>
      <c r="K672" s="64">
        <f>12.5917 * CHOOSE(CONTROL!$C$22, $C$13, 100%, $E$13)</f>
        <v>12.591699999999999</v>
      </c>
    </row>
    <row r="673" spans="1:11" ht="15">
      <c r="A673" s="13">
        <v>61972</v>
      </c>
      <c r="B673" s="63">
        <f>10.9536 * CHOOSE(CONTROL!$C$22, $C$13, 100%, $E$13)</f>
        <v>10.9536</v>
      </c>
      <c r="C673" s="63">
        <f>10.9536 * CHOOSE(CONTROL!$C$22, $C$13, 100%, $E$13)</f>
        <v>10.9536</v>
      </c>
      <c r="D673" s="63">
        <f>10.962 * CHOOSE(CONTROL!$C$22, $C$13, 100%, $E$13)</f>
        <v>10.962</v>
      </c>
      <c r="E673" s="64">
        <f>12.5566 * CHOOSE(CONTROL!$C$22, $C$13, 100%, $E$13)</f>
        <v>12.5566</v>
      </c>
      <c r="F673" s="64">
        <f>12.5566 * CHOOSE(CONTROL!$C$22, $C$13, 100%, $E$13)</f>
        <v>12.5566</v>
      </c>
      <c r="G673" s="64">
        <f>12.5668 * CHOOSE(CONTROL!$C$22, $C$13, 100%, $E$13)</f>
        <v>12.566800000000001</v>
      </c>
      <c r="H673" s="64">
        <f>21.5552* CHOOSE(CONTROL!$C$22, $C$13, 100%, $E$13)</f>
        <v>21.555199999999999</v>
      </c>
      <c r="I673" s="64">
        <f>21.5655 * CHOOSE(CONTROL!$C$22, $C$13, 100%, $E$13)</f>
        <v>21.5655</v>
      </c>
      <c r="J673" s="64">
        <f>12.5566 * CHOOSE(CONTROL!$C$22, $C$13, 100%, $E$13)</f>
        <v>12.5566</v>
      </c>
      <c r="K673" s="64">
        <f>12.5668 * CHOOSE(CONTROL!$C$22, $C$13, 100%, $E$13)</f>
        <v>12.566800000000001</v>
      </c>
    </row>
    <row r="674" spans="1:11" ht="15">
      <c r="A674" s="13">
        <v>62002</v>
      </c>
      <c r="B674" s="63">
        <f>10.9711 * CHOOSE(CONTROL!$C$22, $C$13, 100%, $E$13)</f>
        <v>10.9711</v>
      </c>
      <c r="C674" s="63">
        <f>10.9711 * CHOOSE(CONTROL!$C$22, $C$13, 100%, $E$13)</f>
        <v>10.9711</v>
      </c>
      <c r="D674" s="63">
        <f>10.9711 * CHOOSE(CONTROL!$C$22, $C$13, 100%, $E$13)</f>
        <v>10.9711</v>
      </c>
      <c r="E674" s="64">
        <f>12.6344 * CHOOSE(CONTROL!$C$22, $C$13, 100%, $E$13)</f>
        <v>12.634399999999999</v>
      </c>
      <c r="F674" s="64">
        <f>12.6344 * CHOOSE(CONTROL!$C$22, $C$13, 100%, $E$13)</f>
        <v>12.634399999999999</v>
      </c>
      <c r="G674" s="64">
        <f>12.6345 * CHOOSE(CONTROL!$C$22, $C$13, 100%, $E$13)</f>
        <v>12.634499999999999</v>
      </c>
      <c r="H674" s="64">
        <f>21.6001* CHOOSE(CONTROL!$C$22, $C$13, 100%, $E$13)</f>
        <v>21.600100000000001</v>
      </c>
      <c r="I674" s="64">
        <f>21.6002 * CHOOSE(CONTROL!$C$22, $C$13, 100%, $E$13)</f>
        <v>21.600200000000001</v>
      </c>
      <c r="J674" s="64">
        <f>12.6344 * CHOOSE(CONTROL!$C$22, $C$13, 100%, $E$13)</f>
        <v>12.634399999999999</v>
      </c>
      <c r="K674" s="64">
        <f>12.6345 * CHOOSE(CONTROL!$C$22, $C$13, 100%, $E$13)</f>
        <v>12.634499999999999</v>
      </c>
    </row>
    <row r="675" spans="1:11" ht="15">
      <c r="A675" s="13">
        <v>62033</v>
      </c>
      <c r="B675" s="63">
        <f>10.9742 * CHOOSE(CONTROL!$C$22, $C$13, 100%, $E$13)</f>
        <v>10.9742</v>
      </c>
      <c r="C675" s="63">
        <f>10.9742 * CHOOSE(CONTROL!$C$22, $C$13, 100%, $E$13)</f>
        <v>10.9742</v>
      </c>
      <c r="D675" s="63">
        <f>10.9742 * CHOOSE(CONTROL!$C$22, $C$13, 100%, $E$13)</f>
        <v>10.9742</v>
      </c>
      <c r="E675" s="64">
        <f>12.6821 * CHOOSE(CONTROL!$C$22, $C$13, 100%, $E$13)</f>
        <v>12.6821</v>
      </c>
      <c r="F675" s="64">
        <f>12.6821 * CHOOSE(CONTROL!$C$22, $C$13, 100%, $E$13)</f>
        <v>12.6821</v>
      </c>
      <c r="G675" s="64">
        <f>12.6822 * CHOOSE(CONTROL!$C$22, $C$13, 100%, $E$13)</f>
        <v>12.6822</v>
      </c>
      <c r="H675" s="64">
        <f>21.6451* CHOOSE(CONTROL!$C$22, $C$13, 100%, $E$13)</f>
        <v>21.645099999999999</v>
      </c>
      <c r="I675" s="64">
        <f>21.6452 * CHOOSE(CONTROL!$C$22, $C$13, 100%, $E$13)</f>
        <v>21.645199999999999</v>
      </c>
      <c r="J675" s="64">
        <f>12.6821 * CHOOSE(CONTROL!$C$22, $C$13, 100%, $E$13)</f>
        <v>12.6821</v>
      </c>
      <c r="K675" s="64">
        <f>12.6822 * CHOOSE(CONTROL!$C$22, $C$13, 100%, $E$13)</f>
        <v>12.6822</v>
      </c>
    </row>
    <row r="676" spans="1:11" ht="15">
      <c r="A676" s="13">
        <v>62063</v>
      </c>
      <c r="B676" s="63">
        <f>10.9742 * CHOOSE(CONTROL!$C$22, $C$13, 100%, $E$13)</f>
        <v>10.9742</v>
      </c>
      <c r="C676" s="63">
        <f>10.9742 * CHOOSE(CONTROL!$C$22, $C$13, 100%, $E$13)</f>
        <v>10.9742</v>
      </c>
      <c r="D676" s="63">
        <f>10.9742 * CHOOSE(CONTROL!$C$22, $C$13, 100%, $E$13)</f>
        <v>10.9742</v>
      </c>
      <c r="E676" s="64">
        <f>12.5681 * CHOOSE(CONTROL!$C$22, $C$13, 100%, $E$13)</f>
        <v>12.568099999999999</v>
      </c>
      <c r="F676" s="64">
        <f>12.5681 * CHOOSE(CONTROL!$C$22, $C$13, 100%, $E$13)</f>
        <v>12.568099999999999</v>
      </c>
      <c r="G676" s="64">
        <f>12.5682 * CHOOSE(CONTROL!$C$22, $C$13, 100%, $E$13)</f>
        <v>12.568199999999999</v>
      </c>
      <c r="H676" s="64">
        <f>21.6902* CHOOSE(CONTROL!$C$22, $C$13, 100%, $E$13)</f>
        <v>21.690200000000001</v>
      </c>
      <c r="I676" s="64">
        <f>21.6903 * CHOOSE(CONTROL!$C$22, $C$13, 100%, $E$13)</f>
        <v>21.690300000000001</v>
      </c>
      <c r="J676" s="64">
        <f>12.5681 * CHOOSE(CONTROL!$C$22, $C$13, 100%, $E$13)</f>
        <v>12.568099999999999</v>
      </c>
      <c r="K676" s="64">
        <f>12.5682 * CHOOSE(CONTROL!$C$22, $C$13, 100%, $E$13)</f>
        <v>12.568199999999999</v>
      </c>
    </row>
    <row r="677" spans="1:11" ht="15">
      <c r="A677" s="13">
        <v>62094</v>
      </c>
      <c r="B677" s="63">
        <f>11.0163 * CHOOSE(CONTROL!$C$22, $C$13, 100%, $E$13)</f>
        <v>11.016299999999999</v>
      </c>
      <c r="C677" s="63">
        <f>11.0163 * CHOOSE(CONTROL!$C$22, $C$13, 100%, $E$13)</f>
        <v>11.016299999999999</v>
      </c>
      <c r="D677" s="63">
        <f>11.0163 * CHOOSE(CONTROL!$C$22, $C$13, 100%, $E$13)</f>
        <v>11.016299999999999</v>
      </c>
      <c r="E677" s="64">
        <f>12.7015 * CHOOSE(CONTROL!$C$22, $C$13, 100%, $E$13)</f>
        <v>12.701499999999999</v>
      </c>
      <c r="F677" s="64">
        <f>12.7015 * CHOOSE(CONTROL!$C$22, $C$13, 100%, $E$13)</f>
        <v>12.701499999999999</v>
      </c>
      <c r="G677" s="64">
        <f>12.7016 * CHOOSE(CONTROL!$C$22, $C$13, 100%, $E$13)</f>
        <v>12.701599999999999</v>
      </c>
      <c r="H677" s="64">
        <f>21.6452* CHOOSE(CONTROL!$C$22, $C$13, 100%, $E$13)</f>
        <v>21.645199999999999</v>
      </c>
      <c r="I677" s="64">
        <f>21.6453 * CHOOSE(CONTROL!$C$22, $C$13, 100%, $E$13)</f>
        <v>21.645299999999999</v>
      </c>
      <c r="J677" s="64">
        <f>12.7015 * CHOOSE(CONTROL!$C$22, $C$13, 100%, $E$13)</f>
        <v>12.701499999999999</v>
      </c>
      <c r="K677" s="64">
        <f>12.7016 * CHOOSE(CONTROL!$C$22, $C$13, 100%, $E$13)</f>
        <v>12.701599999999999</v>
      </c>
    </row>
    <row r="678" spans="1:11" ht="15">
      <c r="A678" s="13">
        <v>62125</v>
      </c>
      <c r="B678" s="63">
        <f>11.0133 * CHOOSE(CONTROL!$C$22, $C$13, 100%, $E$13)</f>
        <v>11.013299999999999</v>
      </c>
      <c r="C678" s="63">
        <f>11.0133 * CHOOSE(CONTROL!$C$22, $C$13, 100%, $E$13)</f>
        <v>11.013299999999999</v>
      </c>
      <c r="D678" s="63">
        <f>11.0133 * CHOOSE(CONTROL!$C$22, $C$13, 100%, $E$13)</f>
        <v>11.013299999999999</v>
      </c>
      <c r="E678" s="64">
        <f>12.479 * CHOOSE(CONTROL!$C$22, $C$13, 100%, $E$13)</f>
        <v>12.478999999999999</v>
      </c>
      <c r="F678" s="64">
        <f>12.479 * CHOOSE(CONTROL!$C$22, $C$13, 100%, $E$13)</f>
        <v>12.478999999999999</v>
      </c>
      <c r="G678" s="64">
        <f>12.4791 * CHOOSE(CONTROL!$C$22, $C$13, 100%, $E$13)</f>
        <v>12.479100000000001</v>
      </c>
      <c r="H678" s="64">
        <f>21.6903* CHOOSE(CONTROL!$C$22, $C$13, 100%, $E$13)</f>
        <v>21.690300000000001</v>
      </c>
      <c r="I678" s="64">
        <f>21.6904 * CHOOSE(CONTROL!$C$22, $C$13, 100%, $E$13)</f>
        <v>21.6904</v>
      </c>
      <c r="J678" s="64">
        <f>12.479 * CHOOSE(CONTROL!$C$22, $C$13, 100%, $E$13)</f>
        <v>12.478999999999999</v>
      </c>
      <c r="K678" s="64">
        <f>12.4791 * CHOOSE(CONTROL!$C$22, $C$13, 100%, $E$13)</f>
        <v>12.479100000000001</v>
      </c>
    </row>
    <row r="679" spans="1:11" ht="15">
      <c r="A679" s="13">
        <v>62153</v>
      </c>
      <c r="B679" s="63">
        <f>11.0102 * CHOOSE(CONTROL!$C$22, $C$13, 100%, $E$13)</f>
        <v>11.010199999999999</v>
      </c>
      <c r="C679" s="63">
        <f>11.0102 * CHOOSE(CONTROL!$C$22, $C$13, 100%, $E$13)</f>
        <v>11.010199999999999</v>
      </c>
      <c r="D679" s="63">
        <f>11.0102 * CHOOSE(CONTROL!$C$22, $C$13, 100%, $E$13)</f>
        <v>11.010199999999999</v>
      </c>
      <c r="E679" s="64">
        <f>12.6507 * CHOOSE(CONTROL!$C$22, $C$13, 100%, $E$13)</f>
        <v>12.650700000000001</v>
      </c>
      <c r="F679" s="64">
        <f>12.6507 * CHOOSE(CONTROL!$C$22, $C$13, 100%, $E$13)</f>
        <v>12.650700000000001</v>
      </c>
      <c r="G679" s="64">
        <f>12.6507 * CHOOSE(CONTROL!$C$22, $C$13, 100%, $E$13)</f>
        <v>12.650700000000001</v>
      </c>
      <c r="H679" s="64">
        <f>21.7355* CHOOSE(CONTROL!$C$22, $C$13, 100%, $E$13)</f>
        <v>21.735499999999998</v>
      </c>
      <c r="I679" s="64">
        <f>21.7356 * CHOOSE(CONTROL!$C$22, $C$13, 100%, $E$13)</f>
        <v>21.735600000000002</v>
      </c>
      <c r="J679" s="64">
        <f>12.6507 * CHOOSE(CONTROL!$C$22, $C$13, 100%, $E$13)</f>
        <v>12.650700000000001</v>
      </c>
      <c r="K679" s="64">
        <f>12.6507 * CHOOSE(CONTROL!$C$22, $C$13, 100%, $E$13)</f>
        <v>12.650700000000001</v>
      </c>
    </row>
    <row r="680" spans="1:11" ht="15">
      <c r="A680" s="13">
        <v>62184</v>
      </c>
      <c r="B680" s="63">
        <f>11.0138 * CHOOSE(CONTROL!$C$22, $C$13, 100%, $E$13)</f>
        <v>11.0138</v>
      </c>
      <c r="C680" s="63">
        <f>11.0138 * CHOOSE(CONTROL!$C$22, $C$13, 100%, $E$13)</f>
        <v>11.0138</v>
      </c>
      <c r="D680" s="63">
        <f>11.0138 * CHOOSE(CONTROL!$C$22, $C$13, 100%, $E$13)</f>
        <v>11.0138</v>
      </c>
      <c r="E680" s="64">
        <f>12.833 * CHOOSE(CONTROL!$C$22, $C$13, 100%, $E$13)</f>
        <v>12.833</v>
      </c>
      <c r="F680" s="64">
        <f>12.833 * CHOOSE(CONTROL!$C$22, $C$13, 100%, $E$13)</f>
        <v>12.833</v>
      </c>
      <c r="G680" s="64">
        <f>12.8331 * CHOOSE(CONTROL!$C$22, $C$13, 100%, $E$13)</f>
        <v>12.8331</v>
      </c>
      <c r="H680" s="64">
        <f>21.7808* CHOOSE(CONTROL!$C$22, $C$13, 100%, $E$13)</f>
        <v>21.780799999999999</v>
      </c>
      <c r="I680" s="64">
        <f>21.7809 * CHOOSE(CONTROL!$C$22, $C$13, 100%, $E$13)</f>
        <v>21.780899999999999</v>
      </c>
      <c r="J680" s="64">
        <f>12.833 * CHOOSE(CONTROL!$C$22, $C$13, 100%, $E$13)</f>
        <v>12.833</v>
      </c>
      <c r="K680" s="64">
        <f>12.8331 * CHOOSE(CONTROL!$C$22, $C$13, 100%, $E$13)</f>
        <v>12.8331</v>
      </c>
    </row>
    <row r="681" spans="1:11" ht="15">
      <c r="A681" s="13">
        <v>62214</v>
      </c>
      <c r="B681" s="63">
        <f>11.0138 * CHOOSE(CONTROL!$C$22, $C$13, 100%, $E$13)</f>
        <v>11.0138</v>
      </c>
      <c r="C681" s="63">
        <f>11.0138 * CHOOSE(CONTROL!$C$22, $C$13, 100%, $E$13)</f>
        <v>11.0138</v>
      </c>
      <c r="D681" s="63">
        <f>11.0222 * CHOOSE(CONTROL!$C$22, $C$13, 100%, $E$13)</f>
        <v>11.0222</v>
      </c>
      <c r="E681" s="64">
        <f>12.903 * CHOOSE(CONTROL!$C$22, $C$13, 100%, $E$13)</f>
        <v>12.903</v>
      </c>
      <c r="F681" s="64">
        <f>12.903 * CHOOSE(CONTROL!$C$22, $C$13, 100%, $E$13)</f>
        <v>12.903</v>
      </c>
      <c r="G681" s="64">
        <f>12.9132 * CHOOSE(CONTROL!$C$22, $C$13, 100%, $E$13)</f>
        <v>12.9132</v>
      </c>
      <c r="H681" s="64">
        <f>21.8262* CHOOSE(CONTROL!$C$22, $C$13, 100%, $E$13)</f>
        <v>21.8262</v>
      </c>
      <c r="I681" s="64">
        <f>21.8364 * CHOOSE(CONTROL!$C$22, $C$13, 100%, $E$13)</f>
        <v>21.836400000000001</v>
      </c>
      <c r="J681" s="64">
        <f>12.903 * CHOOSE(CONTROL!$C$22, $C$13, 100%, $E$13)</f>
        <v>12.903</v>
      </c>
      <c r="K681" s="64">
        <f>12.9132 * CHOOSE(CONTROL!$C$22, $C$13, 100%, $E$13)</f>
        <v>12.9132</v>
      </c>
    </row>
    <row r="682" spans="1:11" ht="15">
      <c r="A682" s="13">
        <v>62245</v>
      </c>
      <c r="B682" s="63">
        <f>11.0199 * CHOOSE(CONTROL!$C$22, $C$13, 100%, $E$13)</f>
        <v>11.0199</v>
      </c>
      <c r="C682" s="63">
        <f>11.0199 * CHOOSE(CONTROL!$C$22, $C$13, 100%, $E$13)</f>
        <v>11.0199</v>
      </c>
      <c r="D682" s="63">
        <f>11.0283 * CHOOSE(CONTROL!$C$22, $C$13, 100%, $E$13)</f>
        <v>11.0283</v>
      </c>
      <c r="E682" s="64">
        <f>12.8373 * CHOOSE(CONTROL!$C$22, $C$13, 100%, $E$13)</f>
        <v>12.837300000000001</v>
      </c>
      <c r="F682" s="64">
        <f>12.8373 * CHOOSE(CONTROL!$C$22, $C$13, 100%, $E$13)</f>
        <v>12.837300000000001</v>
      </c>
      <c r="G682" s="64">
        <f>12.8475 * CHOOSE(CONTROL!$C$22, $C$13, 100%, $E$13)</f>
        <v>12.8475</v>
      </c>
      <c r="H682" s="64">
        <f>21.8716* CHOOSE(CONTROL!$C$22, $C$13, 100%, $E$13)</f>
        <v>21.871600000000001</v>
      </c>
      <c r="I682" s="64">
        <f>21.8819 * CHOOSE(CONTROL!$C$22, $C$13, 100%, $E$13)</f>
        <v>21.881900000000002</v>
      </c>
      <c r="J682" s="64">
        <f>12.8373 * CHOOSE(CONTROL!$C$22, $C$13, 100%, $E$13)</f>
        <v>12.837300000000001</v>
      </c>
      <c r="K682" s="64">
        <f>12.8475 * CHOOSE(CONTROL!$C$22, $C$13, 100%, $E$13)</f>
        <v>12.8475</v>
      </c>
    </row>
    <row r="683" spans="1:11" ht="15">
      <c r="A683" s="13">
        <v>62275</v>
      </c>
      <c r="B683" s="63">
        <f>11.1891 * CHOOSE(CONTROL!$C$22, $C$13, 100%, $E$13)</f>
        <v>11.1891</v>
      </c>
      <c r="C683" s="63">
        <f>11.1891 * CHOOSE(CONTROL!$C$22, $C$13, 100%, $E$13)</f>
        <v>11.1891</v>
      </c>
      <c r="D683" s="63">
        <f>11.1975 * CHOOSE(CONTROL!$C$22, $C$13, 100%, $E$13)</f>
        <v>11.1975</v>
      </c>
      <c r="E683" s="64">
        <f>13.0438 * CHOOSE(CONTROL!$C$22, $C$13, 100%, $E$13)</f>
        <v>13.043799999999999</v>
      </c>
      <c r="F683" s="64">
        <f>13.0438 * CHOOSE(CONTROL!$C$22, $C$13, 100%, $E$13)</f>
        <v>13.043799999999999</v>
      </c>
      <c r="G683" s="64">
        <f>13.0541 * CHOOSE(CONTROL!$C$22, $C$13, 100%, $E$13)</f>
        <v>13.0541</v>
      </c>
      <c r="H683" s="64">
        <f>21.9172* CHOOSE(CONTROL!$C$22, $C$13, 100%, $E$13)</f>
        <v>21.917200000000001</v>
      </c>
      <c r="I683" s="64">
        <f>21.9274 * CHOOSE(CONTROL!$C$22, $C$13, 100%, $E$13)</f>
        <v>21.927399999999999</v>
      </c>
      <c r="J683" s="64">
        <f>13.0438 * CHOOSE(CONTROL!$C$22, $C$13, 100%, $E$13)</f>
        <v>13.043799999999999</v>
      </c>
      <c r="K683" s="64">
        <f>13.0541 * CHOOSE(CONTROL!$C$22, $C$13, 100%, $E$13)</f>
        <v>13.0541</v>
      </c>
    </row>
    <row r="684" spans="1:11" ht="15">
      <c r="A684" s="13">
        <v>62306</v>
      </c>
      <c r="B684" s="63">
        <f>11.1958 * CHOOSE(CONTROL!$C$22, $C$13, 100%, $E$13)</f>
        <v>11.1958</v>
      </c>
      <c r="C684" s="63">
        <f>11.1958 * CHOOSE(CONTROL!$C$22, $C$13, 100%, $E$13)</f>
        <v>11.1958</v>
      </c>
      <c r="D684" s="63">
        <f>11.2042 * CHOOSE(CONTROL!$C$22, $C$13, 100%, $E$13)</f>
        <v>11.2042</v>
      </c>
      <c r="E684" s="64">
        <f>12.8386 * CHOOSE(CONTROL!$C$22, $C$13, 100%, $E$13)</f>
        <v>12.8386</v>
      </c>
      <c r="F684" s="64">
        <f>12.8386 * CHOOSE(CONTROL!$C$22, $C$13, 100%, $E$13)</f>
        <v>12.8386</v>
      </c>
      <c r="G684" s="64">
        <f>12.8488 * CHOOSE(CONTROL!$C$22, $C$13, 100%, $E$13)</f>
        <v>12.848800000000001</v>
      </c>
      <c r="H684" s="64">
        <f>21.9629* CHOOSE(CONTROL!$C$22, $C$13, 100%, $E$13)</f>
        <v>21.962900000000001</v>
      </c>
      <c r="I684" s="64">
        <f>21.9731 * CHOOSE(CONTROL!$C$22, $C$13, 100%, $E$13)</f>
        <v>21.973099999999999</v>
      </c>
      <c r="J684" s="64">
        <f>12.8386 * CHOOSE(CONTROL!$C$22, $C$13, 100%, $E$13)</f>
        <v>12.8386</v>
      </c>
      <c r="K684" s="64">
        <f>12.8488 * CHOOSE(CONTROL!$C$22, $C$13, 100%, $E$13)</f>
        <v>12.848800000000001</v>
      </c>
    </row>
    <row r="685" spans="1:11" ht="15">
      <c r="A685" s="13">
        <v>62337</v>
      </c>
      <c r="B685" s="63">
        <f>11.1927 * CHOOSE(CONTROL!$C$22, $C$13, 100%, $E$13)</f>
        <v>11.1927</v>
      </c>
      <c r="C685" s="63">
        <f>11.1927 * CHOOSE(CONTROL!$C$22, $C$13, 100%, $E$13)</f>
        <v>11.1927</v>
      </c>
      <c r="D685" s="63">
        <f>11.2012 * CHOOSE(CONTROL!$C$22, $C$13, 100%, $E$13)</f>
        <v>11.2012</v>
      </c>
      <c r="E685" s="64">
        <f>12.8131 * CHOOSE(CONTROL!$C$22, $C$13, 100%, $E$13)</f>
        <v>12.8131</v>
      </c>
      <c r="F685" s="64">
        <f>12.8131 * CHOOSE(CONTROL!$C$22, $C$13, 100%, $E$13)</f>
        <v>12.8131</v>
      </c>
      <c r="G685" s="64">
        <f>12.8233 * CHOOSE(CONTROL!$C$22, $C$13, 100%, $E$13)</f>
        <v>12.8233</v>
      </c>
      <c r="H685" s="64">
        <f>22.0086* CHOOSE(CONTROL!$C$22, $C$13, 100%, $E$13)</f>
        <v>22.008600000000001</v>
      </c>
      <c r="I685" s="64">
        <f>22.0188 * CHOOSE(CONTROL!$C$22, $C$13, 100%, $E$13)</f>
        <v>22.018799999999999</v>
      </c>
      <c r="J685" s="64">
        <f>12.8131 * CHOOSE(CONTROL!$C$22, $C$13, 100%, $E$13)</f>
        <v>12.8131</v>
      </c>
      <c r="K685" s="64">
        <f>12.8233 * CHOOSE(CONTROL!$C$22, $C$13, 100%, $E$13)</f>
        <v>12.8233</v>
      </c>
    </row>
    <row r="686" spans="1:11" ht="15">
      <c r="A686" s="13">
        <v>62367</v>
      </c>
      <c r="B686" s="63">
        <f>11.2111 * CHOOSE(CONTROL!$C$22, $C$13, 100%, $E$13)</f>
        <v>11.2111</v>
      </c>
      <c r="C686" s="63">
        <f>11.2111 * CHOOSE(CONTROL!$C$22, $C$13, 100%, $E$13)</f>
        <v>11.2111</v>
      </c>
      <c r="D686" s="63">
        <f>11.2111 * CHOOSE(CONTROL!$C$22, $C$13, 100%, $E$13)</f>
        <v>11.2111</v>
      </c>
      <c r="E686" s="64">
        <f>12.893 * CHOOSE(CONTROL!$C$22, $C$13, 100%, $E$13)</f>
        <v>12.893000000000001</v>
      </c>
      <c r="F686" s="64">
        <f>12.893 * CHOOSE(CONTROL!$C$22, $C$13, 100%, $E$13)</f>
        <v>12.893000000000001</v>
      </c>
      <c r="G686" s="64">
        <f>12.8931 * CHOOSE(CONTROL!$C$22, $C$13, 100%, $E$13)</f>
        <v>12.8931</v>
      </c>
      <c r="H686" s="64">
        <f>22.0545* CHOOSE(CONTROL!$C$22, $C$13, 100%, $E$13)</f>
        <v>22.054500000000001</v>
      </c>
      <c r="I686" s="64">
        <f>22.0545 * CHOOSE(CONTROL!$C$22, $C$13, 100%, $E$13)</f>
        <v>22.054500000000001</v>
      </c>
      <c r="J686" s="64">
        <f>12.893 * CHOOSE(CONTROL!$C$22, $C$13, 100%, $E$13)</f>
        <v>12.893000000000001</v>
      </c>
      <c r="K686" s="64">
        <f>12.8931 * CHOOSE(CONTROL!$C$22, $C$13, 100%, $E$13)</f>
        <v>12.8931</v>
      </c>
    </row>
    <row r="687" spans="1:11" ht="15">
      <c r="A687" s="13">
        <v>62398</v>
      </c>
      <c r="B687" s="63">
        <f>11.2141 * CHOOSE(CONTROL!$C$22, $C$13, 100%, $E$13)</f>
        <v>11.2141</v>
      </c>
      <c r="C687" s="63">
        <f>11.2141 * CHOOSE(CONTROL!$C$22, $C$13, 100%, $E$13)</f>
        <v>11.2141</v>
      </c>
      <c r="D687" s="63">
        <f>11.2141 * CHOOSE(CONTROL!$C$22, $C$13, 100%, $E$13)</f>
        <v>11.2141</v>
      </c>
      <c r="E687" s="64">
        <f>12.9418 * CHOOSE(CONTROL!$C$22, $C$13, 100%, $E$13)</f>
        <v>12.941800000000001</v>
      </c>
      <c r="F687" s="64">
        <f>12.9418 * CHOOSE(CONTROL!$C$22, $C$13, 100%, $E$13)</f>
        <v>12.941800000000001</v>
      </c>
      <c r="G687" s="64">
        <f>12.9419 * CHOOSE(CONTROL!$C$22, $C$13, 100%, $E$13)</f>
        <v>12.9419</v>
      </c>
      <c r="H687" s="64">
        <f>22.1004* CHOOSE(CONTROL!$C$22, $C$13, 100%, $E$13)</f>
        <v>22.1004</v>
      </c>
      <c r="I687" s="64">
        <f>22.1005 * CHOOSE(CONTROL!$C$22, $C$13, 100%, $E$13)</f>
        <v>22.1005</v>
      </c>
      <c r="J687" s="64">
        <f>12.9418 * CHOOSE(CONTROL!$C$22, $C$13, 100%, $E$13)</f>
        <v>12.941800000000001</v>
      </c>
      <c r="K687" s="64">
        <f>12.9419 * CHOOSE(CONTROL!$C$22, $C$13, 100%, $E$13)</f>
        <v>12.9419</v>
      </c>
    </row>
    <row r="688" spans="1:11" ht="15">
      <c r="A688" s="13">
        <v>62428</v>
      </c>
      <c r="B688" s="63">
        <f>11.2141 * CHOOSE(CONTROL!$C$22, $C$13, 100%, $E$13)</f>
        <v>11.2141</v>
      </c>
      <c r="C688" s="63">
        <f>11.2141 * CHOOSE(CONTROL!$C$22, $C$13, 100%, $E$13)</f>
        <v>11.2141</v>
      </c>
      <c r="D688" s="63">
        <f>11.2141 * CHOOSE(CONTROL!$C$22, $C$13, 100%, $E$13)</f>
        <v>11.2141</v>
      </c>
      <c r="E688" s="64">
        <f>12.8252 * CHOOSE(CONTROL!$C$22, $C$13, 100%, $E$13)</f>
        <v>12.825200000000001</v>
      </c>
      <c r="F688" s="64">
        <f>12.8252 * CHOOSE(CONTROL!$C$22, $C$13, 100%, $E$13)</f>
        <v>12.825200000000001</v>
      </c>
      <c r="G688" s="64">
        <f>12.8252 * CHOOSE(CONTROL!$C$22, $C$13, 100%, $E$13)</f>
        <v>12.825200000000001</v>
      </c>
      <c r="H688" s="64">
        <f>22.1465* CHOOSE(CONTROL!$C$22, $C$13, 100%, $E$13)</f>
        <v>22.1465</v>
      </c>
      <c r="I688" s="64">
        <f>22.1465 * CHOOSE(CONTROL!$C$22, $C$13, 100%, $E$13)</f>
        <v>22.1465</v>
      </c>
      <c r="J688" s="64">
        <f>12.8252 * CHOOSE(CONTROL!$C$22, $C$13, 100%, $E$13)</f>
        <v>12.825200000000001</v>
      </c>
      <c r="K688" s="64">
        <f>12.8252 * CHOOSE(CONTROL!$C$22, $C$13, 100%, $E$13)</f>
        <v>12.825200000000001</v>
      </c>
    </row>
    <row r="689" spans="1:11" ht="15">
      <c r="A689" s="13">
        <v>62459</v>
      </c>
      <c r="B689" s="63">
        <f>11.2519 * CHOOSE(CONTROL!$C$22, $C$13, 100%, $E$13)</f>
        <v>11.251899999999999</v>
      </c>
      <c r="C689" s="63">
        <f>11.2519 * CHOOSE(CONTROL!$C$22, $C$13, 100%, $E$13)</f>
        <v>11.251899999999999</v>
      </c>
      <c r="D689" s="63">
        <f>11.2519 * CHOOSE(CONTROL!$C$22, $C$13, 100%, $E$13)</f>
        <v>11.251899999999999</v>
      </c>
      <c r="E689" s="64">
        <f>12.9563 * CHOOSE(CONTROL!$C$22, $C$13, 100%, $E$13)</f>
        <v>12.956300000000001</v>
      </c>
      <c r="F689" s="64">
        <f>12.9563 * CHOOSE(CONTROL!$C$22, $C$13, 100%, $E$13)</f>
        <v>12.956300000000001</v>
      </c>
      <c r="G689" s="64">
        <f>12.9563 * CHOOSE(CONTROL!$C$22, $C$13, 100%, $E$13)</f>
        <v>12.956300000000001</v>
      </c>
      <c r="H689" s="64">
        <f>22.0911* CHOOSE(CONTROL!$C$22, $C$13, 100%, $E$13)</f>
        <v>22.091100000000001</v>
      </c>
      <c r="I689" s="64">
        <f>22.0912 * CHOOSE(CONTROL!$C$22, $C$13, 100%, $E$13)</f>
        <v>22.091200000000001</v>
      </c>
      <c r="J689" s="64">
        <f>12.9563 * CHOOSE(CONTROL!$C$22, $C$13, 100%, $E$13)</f>
        <v>12.956300000000001</v>
      </c>
      <c r="K689" s="64">
        <f>12.9563 * CHOOSE(CONTROL!$C$22, $C$13, 100%, $E$13)</f>
        <v>12.956300000000001</v>
      </c>
    </row>
    <row r="690" spans="1:11" ht="15">
      <c r="A690" s="13">
        <v>62490</v>
      </c>
      <c r="B690" s="63">
        <f>11.2488 * CHOOSE(CONTROL!$C$22, $C$13, 100%, $E$13)</f>
        <v>11.248799999999999</v>
      </c>
      <c r="C690" s="63">
        <f>11.2488 * CHOOSE(CONTROL!$C$22, $C$13, 100%, $E$13)</f>
        <v>11.248799999999999</v>
      </c>
      <c r="D690" s="63">
        <f>11.2489 * CHOOSE(CONTROL!$C$22, $C$13, 100%, $E$13)</f>
        <v>11.248900000000001</v>
      </c>
      <c r="E690" s="64">
        <f>12.7288 * CHOOSE(CONTROL!$C$22, $C$13, 100%, $E$13)</f>
        <v>12.7288</v>
      </c>
      <c r="F690" s="64">
        <f>12.7288 * CHOOSE(CONTROL!$C$22, $C$13, 100%, $E$13)</f>
        <v>12.7288</v>
      </c>
      <c r="G690" s="64">
        <f>12.7289 * CHOOSE(CONTROL!$C$22, $C$13, 100%, $E$13)</f>
        <v>12.728899999999999</v>
      </c>
      <c r="H690" s="64">
        <f>22.1371* CHOOSE(CONTROL!$C$22, $C$13, 100%, $E$13)</f>
        <v>22.1371</v>
      </c>
      <c r="I690" s="64">
        <f>22.1372 * CHOOSE(CONTROL!$C$22, $C$13, 100%, $E$13)</f>
        <v>22.1372</v>
      </c>
      <c r="J690" s="64">
        <f>12.7288 * CHOOSE(CONTROL!$C$22, $C$13, 100%, $E$13)</f>
        <v>12.7288</v>
      </c>
      <c r="K690" s="64">
        <f>12.7289 * CHOOSE(CONTROL!$C$22, $C$13, 100%, $E$13)</f>
        <v>12.728899999999999</v>
      </c>
    </row>
    <row r="691" spans="1:11" ht="15">
      <c r="A691" s="13">
        <v>62518</v>
      </c>
      <c r="B691" s="63">
        <f>11.2458 * CHOOSE(CONTROL!$C$22, $C$13, 100%, $E$13)</f>
        <v>11.245799999999999</v>
      </c>
      <c r="C691" s="63">
        <f>11.2458 * CHOOSE(CONTROL!$C$22, $C$13, 100%, $E$13)</f>
        <v>11.245799999999999</v>
      </c>
      <c r="D691" s="63">
        <f>11.2458 * CHOOSE(CONTROL!$C$22, $C$13, 100%, $E$13)</f>
        <v>11.245799999999999</v>
      </c>
      <c r="E691" s="64">
        <f>12.9043 * CHOOSE(CONTROL!$C$22, $C$13, 100%, $E$13)</f>
        <v>12.904299999999999</v>
      </c>
      <c r="F691" s="64">
        <f>12.9043 * CHOOSE(CONTROL!$C$22, $C$13, 100%, $E$13)</f>
        <v>12.904299999999999</v>
      </c>
      <c r="G691" s="64">
        <f>12.9044 * CHOOSE(CONTROL!$C$22, $C$13, 100%, $E$13)</f>
        <v>12.904400000000001</v>
      </c>
      <c r="H691" s="64">
        <f>22.1833* CHOOSE(CONTROL!$C$22, $C$13, 100%, $E$13)</f>
        <v>22.183299999999999</v>
      </c>
      <c r="I691" s="64">
        <f>22.1833 * CHOOSE(CONTROL!$C$22, $C$13, 100%, $E$13)</f>
        <v>22.183299999999999</v>
      </c>
      <c r="J691" s="64">
        <f>12.9043 * CHOOSE(CONTROL!$C$22, $C$13, 100%, $E$13)</f>
        <v>12.904299999999999</v>
      </c>
      <c r="K691" s="64">
        <f>12.9044 * CHOOSE(CONTROL!$C$22, $C$13, 100%, $E$13)</f>
        <v>12.904400000000001</v>
      </c>
    </row>
    <row r="692" spans="1:11" ht="15">
      <c r="A692" s="13">
        <v>62549</v>
      </c>
      <c r="B692" s="63">
        <f>11.2496 * CHOOSE(CONTROL!$C$22, $C$13, 100%, $E$13)</f>
        <v>11.249599999999999</v>
      </c>
      <c r="C692" s="63">
        <f>11.2496 * CHOOSE(CONTROL!$C$22, $C$13, 100%, $E$13)</f>
        <v>11.249599999999999</v>
      </c>
      <c r="D692" s="63">
        <f>11.2496 * CHOOSE(CONTROL!$C$22, $C$13, 100%, $E$13)</f>
        <v>11.249599999999999</v>
      </c>
      <c r="E692" s="64">
        <f>13.0909 * CHOOSE(CONTROL!$C$22, $C$13, 100%, $E$13)</f>
        <v>13.0909</v>
      </c>
      <c r="F692" s="64">
        <f>13.0909 * CHOOSE(CONTROL!$C$22, $C$13, 100%, $E$13)</f>
        <v>13.0909</v>
      </c>
      <c r="G692" s="64">
        <f>13.091 * CHOOSE(CONTROL!$C$22, $C$13, 100%, $E$13)</f>
        <v>13.090999999999999</v>
      </c>
      <c r="H692" s="64">
        <f>22.2295* CHOOSE(CONTROL!$C$22, $C$13, 100%, $E$13)</f>
        <v>22.229500000000002</v>
      </c>
      <c r="I692" s="64">
        <f>22.2295 * CHOOSE(CONTROL!$C$22, $C$13, 100%, $E$13)</f>
        <v>22.229500000000002</v>
      </c>
      <c r="J692" s="64">
        <f>13.0909 * CHOOSE(CONTROL!$C$22, $C$13, 100%, $E$13)</f>
        <v>13.0909</v>
      </c>
      <c r="K692" s="64">
        <f>13.091 * CHOOSE(CONTROL!$C$22, $C$13, 100%, $E$13)</f>
        <v>13.090999999999999</v>
      </c>
    </row>
    <row r="693" spans="1:11" ht="15">
      <c r="A693" s="13">
        <v>62579</v>
      </c>
      <c r="B693" s="63">
        <f>11.2496 * CHOOSE(CONTROL!$C$22, $C$13, 100%, $E$13)</f>
        <v>11.249599999999999</v>
      </c>
      <c r="C693" s="63">
        <f>11.2496 * CHOOSE(CONTROL!$C$22, $C$13, 100%, $E$13)</f>
        <v>11.249599999999999</v>
      </c>
      <c r="D693" s="63">
        <f>11.258 * CHOOSE(CONTROL!$C$22, $C$13, 100%, $E$13)</f>
        <v>11.257999999999999</v>
      </c>
      <c r="E693" s="64">
        <f>13.1624 * CHOOSE(CONTROL!$C$22, $C$13, 100%, $E$13)</f>
        <v>13.1624</v>
      </c>
      <c r="F693" s="64">
        <f>13.1624 * CHOOSE(CONTROL!$C$22, $C$13, 100%, $E$13)</f>
        <v>13.1624</v>
      </c>
      <c r="G693" s="64">
        <f>13.1726 * CHOOSE(CONTROL!$C$22, $C$13, 100%, $E$13)</f>
        <v>13.172599999999999</v>
      </c>
      <c r="H693" s="64">
        <f>22.2758* CHOOSE(CONTROL!$C$22, $C$13, 100%, $E$13)</f>
        <v>22.2758</v>
      </c>
      <c r="I693" s="64">
        <f>22.286 * CHOOSE(CONTROL!$C$22, $C$13, 100%, $E$13)</f>
        <v>22.286000000000001</v>
      </c>
      <c r="J693" s="64">
        <f>13.1624 * CHOOSE(CONTROL!$C$22, $C$13, 100%, $E$13)</f>
        <v>13.1624</v>
      </c>
      <c r="K693" s="64">
        <f>13.1726 * CHOOSE(CONTROL!$C$22, $C$13, 100%, $E$13)</f>
        <v>13.172599999999999</v>
      </c>
    </row>
    <row r="694" spans="1:11" ht="15">
      <c r="A694" s="13">
        <v>62610</v>
      </c>
      <c r="B694" s="63">
        <f>11.2556 * CHOOSE(CONTROL!$C$22, $C$13, 100%, $E$13)</f>
        <v>11.255599999999999</v>
      </c>
      <c r="C694" s="63">
        <f>11.2556 * CHOOSE(CONTROL!$C$22, $C$13, 100%, $E$13)</f>
        <v>11.255599999999999</v>
      </c>
      <c r="D694" s="63">
        <f>11.2641 * CHOOSE(CONTROL!$C$22, $C$13, 100%, $E$13)</f>
        <v>11.264099999999999</v>
      </c>
      <c r="E694" s="64">
        <f>13.0951 * CHOOSE(CONTROL!$C$22, $C$13, 100%, $E$13)</f>
        <v>13.0951</v>
      </c>
      <c r="F694" s="64">
        <f>13.0951 * CHOOSE(CONTROL!$C$22, $C$13, 100%, $E$13)</f>
        <v>13.0951</v>
      </c>
      <c r="G694" s="64">
        <f>13.1053 * CHOOSE(CONTROL!$C$22, $C$13, 100%, $E$13)</f>
        <v>13.1053</v>
      </c>
      <c r="H694" s="64">
        <f>22.3222* CHOOSE(CONTROL!$C$22, $C$13, 100%, $E$13)</f>
        <v>22.322199999999999</v>
      </c>
      <c r="I694" s="64">
        <f>22.3324 * CHOOSE(CONTROL!$C$22, $C$13, 100%, $E$13)</f>
        <v>22.3324</v>
      </c>
      <c r="J694" s="64">
        <f>13.0951 * CHOOSE(CONTROL!$C$22, $C$13, 100%, $E$13)</f>
        <v>13.0951</v>
      </c>
      <c r="K694" s="64">
        <f>13.1053 * CHOOSE(CONTROL!$C$22, $C$13, 100%, $E$13)</f>
        <v>13.1053</v>
      </c>
    </row>
    <row r="695" spans="1:11" ht="15">
      <c r="A695" s="13">
        <v>62640</v>
      </c>
      <c r="B695" s="63">
        <f>11.4283 * CHOOSE(CONTROL!$C$22, $C$13, 100%, $E$13)</f>
        <v>11.4283</v>
      </c>
      <c r="C695" s="63">
        <f>11.4283 * CHOOSE(CONTROL!$C$22, $C$13, 100%, $E$13)</f>
        <v>11.4283</v>
      </c>
      <c r="D695" s="63">
        <f>11.4367 * CHOOSE(CONTROL!$C$22, $C$13, 100%, $E$13)</f>
        <v>11.4367</v>
      </c>
      <c r="E695" s="64">
        <f>13.3056 * CHOOSE(CONTROL!$C$22, $C$13, 100%, $E$13)</f>
        <v>13.3056</v>
      </c>
      <c r="F695" s="64">
        <f>13.3056 * CHOOSE(CONTROL!$C$22, $C$13, 100%, $E$13)</f>
        <v>13.3056</v>
      </c>
      <c r="G695" s="64">
        <f>13.3158 * CHOOSE(CONTROL!$C$22, $C$13, 100%, $E$13)</f>
        <v>13.315799999999999</v>
      </c>
      <c r="H695" s="64">
        <f>22.3687* CHOOSE(CONTROL!$C$22, $C$13, 100%, $E$13)</f>
        <v>22.3687</v>
      </c>
      <c r="I695" s="64">
        <f>22.3789 * CHOOSE(CONTROL!$C$22, $C$13, 100%, $E$13)</f>
        <v>22.378900000000002</v>
      </c>
      <c r="J695" s="64">
        <f>13.3056 * CHOOSE(CONTROL!$C$22, $C$13, 100%, $E$13)</f>
        <v>13.3056</v>
      </c>
      <c r="K695" s="64">
        <f>13.3158 * CHOOSE(CONTROL!$C$22, $C$13, 100%, $E$13)</f>
        <v>13.315799999999999</v>
      </c>
    </row>
    <row r="696" spans="1:11" ht="15">
      <c r="A696" s="13">
        <v>62671</v>
      </c>
      <c r="B696" s="63">
        <f>11.435 * CHOOSE(CONTROL!$C$22, $C$13, 100%, $E$13)</f>
        <v>11.435</v>
      </c>
      <c r="C696" s="63">
        <f>11.435 * CHOOSE(CONTROL!$C$22, $C$13, 100%, $E$13)</f>
        <v>11.435</v>
      </c>
      <c r="D696" s="63">
        <f>11.4434 * CHOOSE(CONTROL!$C$22, $C$13, 100%, $E$13)</f>
        <v>11.4434</v>
      </c>
      <c r="E696" s="64">
        <f>13.0956 * CHOOSE(CONTROL!$C$22, $C$13, 100%, $E$13)</f>
        <v>13.095599999999999</v>
      </c>
      <c r="F696" s="64">
        <f>13.0956 * CHOOSE(CONTROL!$C$22, $C$13, 100%, $E$13)</f>
        <v>13.095599999999999</v>
      </c>
      <c r="G696" s="64">
        <f>13.1059 * CHOOSE(CONTROL!$C$22, $C$13, 100%, $E$13)</f>
        <v>13.1059</v>
      </c>
      <c r="H696" s="64">
        <f>22.4153* CHOOSE(CONTROL!$C$22, $C$13, 100%, $E$13)</f>
        <v>22.415299999999998</v>
      </c>
      <c r="I696" s="64">
        <f>22.4255 * CHOOSE(CONTROL!$C$22, $C$13, 100%, $E$13)</f>
        <v>22.4255</v>
      </c>
      <c r="J696" s="64">
        <f>13.0956 * CHOOSE(CONTROL!$C$22, $C$13, 100%, $E$13)</f>
        <v>13.095599999999999</v>
      </c>
      <c r="K696" s="64">
        <f>13.1059 * CHOOSE(CONTROL!$C$22, $C$13, 100%, $E$13)</f>
        <v>13.1059</v>
      </c>
    </row>
    <row r="697" spans="1:11" ht="15">
      <c r="A697" s="13">
        <v>62702</v>
      </c>
      <c r="B697" s="63">
        <f>11.4319 * CHOOSE(CONTROL!$C$22, $C$13, 100%, $E$13)</f>
        <v>11.431900000000001</v>
      </c>
      <c r="C697" s="63">
        <f>11.4319 * CHOOSE(CONTROL!$C$22, $C$13, 100%, $E$13)</f>
        <v>11.431900000000001</v>
      </c>
      <c r="D697" s="63">
        <f>11.4404 * CHOOSE(CONTROL!$C$22, $C$13, 100%, $E$13)</f>
        <v>11.4404</v>
      </c>
      <c r="E697" s="64">
        <f>13.0697 * CHOOSE(CONTROL!$C$22, $C$13, 100%, $E$13)</f>
        <v>13.069699999999999</v>
      </c>
      <c r="F697" s="64">
        <f>13.0697 * CHOOSE(CONTROL!$C$22, $C$13, 100%, $E$13)</f>
        <v>13.069699999999999</v>
      </c>
      <c r="G697" s="64">
        <f>13.0799 * CHOOSE(CONTROL!$C$22, $C$13, 100%, $E$13)</f>
        <v>13.0799</v>
      </c>
      <c r="H697" s="64">
        <f>22.462* CHOOSE(CONTROL!$C$22, $C$13, 100%, $E$13)</f>
        <v>22.462</v>
      </c>
      <c r="I697" s="64">
        <f>22.4722 * CHOOSE(CONTROL!$C$22, $C$13, 100%, $E$13)</f>
        <v>22.472200000000001</v>
      </c>
      <c r="J697" s="64">
        <f>13.0697 * CHOOSE(CONTROL!$C$22, $C$13, 100%, $E$13)</f>
        <v>13.069699999999999</v>
      </c>
      <c r="K697" s="64">
        <f>13.0799 * CHOOSE(CONTROL!$C$22, $C$13, 100%, $E$13)</f>
        <v>13.0799</v>
      </c>
    </row>
    <row r="698" spans="1:11" ht="15">
      <c r="A698" s="13">
        <v>62732</v>
      </c>
      <c r="B698" s="63">
        <f>11.451 * CHOOSE(CONTROL!$C$22, $C$13, 100%, $E$13)</f>
        <v>11.451000000000001</v>
      </c>
      <c r="C698" s="63">
        <f>11.451 * CHOOSE(CONTROL!$C$22, $C$13, 100%, $E$13)</f>
        <v>11.451000000000001</v>
      </c>
      <c r="D698" s="63">
        <f>11.451 * CHOOSE(CONTROL!$C$22, $C$13, 100%, $E$13)</f>
        <v>11.451000000000001</v>
      </c>
      <c r="E698" s="64">
        <f>13.1516 * CHOOSE(CONTROL!$C$22, $C$13, 100%, $E$13)</f>
        <v>13.1516</v>
      </c>
      <c r="F698" s="64">
        <f>13.1516 * CHOOSE(CONTROL!$C$22, $C$13, 100%, $E$13)</f>
        <v>13.1516</v>
      </c>
      <c r="G698" s="64">
        <f>13.1517 * CHOOSE(CONTROL!$C$22, $C$13, 100%, $E$13)</f>
        <v>13.1517</v>
      </c>
      <c r="H698" s="64">
        <f>22.5088* CHOOSE(CONTROL!$C$22, $C$13, 100%, $E$13)</f>
        <v>22.508800000000001</v>
      </c>
      <c r="I698" s="64">
        <f>22.5089 * CHOOSE(CONTROL!$C$22, $C$13, 100%, $E$13)</f>
        <v>22.508900000000001</v>
      </c>
      <c r="J698" s="64">
        <f>13.1516 * CHOOSE(CONTROL!$C$22, $C$13, 100%, $E$13)</f>
        <v>13.1516</v>
      </c>
      <c r="K698" s="64">
        <f>13.1517 * CHOOSE(CONTROL!$C$22, $C$13, 100%, $E$13)</f>
        <v>13.1517</v>
      </c>
    </row>
    <row r="699" spans="1:11" ht="15">
      <c r="A699" s="13">
        <v>62763</v>
      </c>
      <c r="B699" s="63">
        <f>11.4541 * CHOOSE(CONTROL!$C$22, $C$13, 100%, $E$13)</f>
        <v>11.4541</v>
      </c>
      <c r="C699" s="63">
        <f>11.4541 * CHOOSE(CONTROL!$C$22, $C$13, 100%, $E$13)</f>
        <v>11.4541</v>
      </c>
      <c r="D699" s="63">
        <f>11.4541 * CHOOSE(CONTROL!$C$22, $C$13, 100%, $E$13)</f>
        <v>11.4541</v>
      </c>
      <c r="E699" s="64">
        <f>13.2015 * CHOOSE(CONTROL!$C$22, $C$13, 100%, $E$13)</f>
        <v>13.201499999999999</v>
      </c>
      <c r="F699" s="64">
        <f>13.2015 * CHOOSE(CONTROL!$C$22, $C$13, 100%, $E$13)</f>
        <v>13.201499999999999</v>
      </c>
      <c r="G699" s="64">
        <f>13.2015 * CHOOSE(CONTROL!$C$22, $C$13, 100%, $E$13)</f>
        <v>13.201499999999999</v>
      </c>
      <c r="H699" s="64">
        <f>22.5557* CHOOSE(CONTROL!$C$22, $C$13, 100%, $E$13)</f>
        <v>22.555700000000002</v>
      </c>
      <c r="I699" s="64">
        <f>22.5558 * CHOOSE(CONTROL!$C$22, $C$13, 100%, $E$13)</f>
        <v>22.555800000000001</v>
      </c>
      <c r="J699" s="64">
        <f>13.2015 * CHOOSE(CONTROL!$C$22, $C$13, 100%, $E$13)</f>
        <v>13.201499999999999</v>
      </c>
      <c r="K699" s="64">
        <f>13.2015 * CHOOSE(CONTROL!$C$22, $C$13, 100%, $E$13)</f>
        <v>13.201499999999999</v>
      </c>
    </row>
    <row r="700" spans="1:11" ht="15">
      <c r="A700" s="13">
        <v>62793</v>
      </c>
      <c r="B700" s="63">
        <f>11.4541 * CHOOSE(CONTROL!$C$22, $C$13, 100%, $E$13)</f>
        <v>11.4541</v>
      </c>
      <c r="C700" s="63">
        <f>11.4541 * CHOOSE(CONTROL!$C$22, $C$13, 100%, $E$13)</f>
        <v>11.4541</v>
      </c>
      <c r="D700" s="63">
        <f>11.4541 * CHOOSE(CONTROL!$C$22, $C$13, 100%, $E$13)</f>
        <v>11.4541</v>
      </c>
      <c r="E700" s="64">
        <f>13.0822 * CHOOSE(CONTROL!$C$22, $C$13, 100%, $E$13)</f>
        <v>13.0822</v>
      </c>
      <c r="F700" s="64">
        <f>13.0822 * CHOOSE(CONTROL!$C$22, $C$13, 100%, $E$13)</f>
        <v>13.0822</v>
      </c>
      <c r="G700" s="64">
        <f>13.0823 * CHOOSE(CONTROL!$C$22, $C$13, 100%, $E$13)</f>
        <v>13.0823</v>
      </c>
      <c r="H700" s="64">
        <f>22.6027* CHOOSE(CONTROL!$C$22, $C$13, 100%, $E$13)</f>
        <v>22.602699999999999</v>
      </c>
      <c r="I700" s="64">
        <f>22.6028 * CHOOSE(CONTROL!$C$22, $C$13, 100%, $E$13)</f>
        <v>22.602799999999998</v>
      </c>
      <c r="J700" s="64">
        <f>13.0822 * CHOOSE(CONTROL!$C$22, $C$13, 100%, $E$13)</f>
        <v>13.0822</v>
      </c>
      <c r="K700" s="64">
        <f>13.0823 * CHOOSE(CONTROL!$C$22, $C$13, 100%, $E$13)</f>
        <v>13.0823</v>
      </c>
    </row>
    <row r="701" spans="1:11" ht="15">
      <c r="A701" s="13">
        <v>62824</v>
      </c>
      <c r="B701" s="63">
        <f>11.4875 * CHOOSE(CONTROL!$C$22, $C$13, 100%, $E$13)</f>
        <v>11.487500000000001</v>
      </c>
      <c r="C701" s="63">
        <f>11.4875 * CHOOSE(CONTROL!$C$22, $C$13, 100%, $E$13)</f>
        <v>11.487500000000001</v>
      </c>
      <c r="D701" s="63">
        <f>11.4875 * CHOOSE(CONTROL!$C$22, $C$13, 100%, $E$13)</f>
        <v>11.487500000000001</v>
      </c>
      <c r="E701" s="64">
        <f>13.211 * CHOOSE(CONTROL!$C$22, $C$13, 100%, $E$13)</f>
        <v>13.211</v>
      </c>
      <c r="F701" s="64">
        <f>13.211 * CHOOSE(CONTROL!$C$22, $C$13, 100%, $E$13)</f>
        <v>13.211</v>
      </c>
      <c r="G701" s="64">
        <f>13.2111 * CHOOSE(CONTROL!$C$22, $C$13, 100%, $E$13)</f>
        <v>13.2111</v>
      </c>
      <c r="H701" s="64">
        <f>22.537* CHOOSE(CONTROL!$C$22, $C$13, 100%, $E$13)</f>
        <v>22.536999999999999</v>
      </c>
      <c r="I701" s="64">
        <f>22.5371 * CHOOSE(CONTROL!$C$22, $C$13, 100%, $E$13)</f>
        <v>22.537099999999999</v>
      </c>
      <c r="J701" s="64">
        <f>13.211 * CHOOSE(CONTROL!$C$22, $C$13, 100%, $E$13)</f>
        <v>13.211</v>
      </c>
      <c r="K701" s="64">
        <f>13.2111 * CHOOSE(CONTROL!$C$22, $C$13, 100%, $E$13)</f>
        <v>13.2111</v>
      </c>
    </row>
    <row r="702" spans="1:11" ht="15">
      <c r="A702" s="13">
        <v>62855</v>
      </c>
      <c r="B702" s="63">
        <f>11.4844 * CHOOSE(CONTROL!$C$22, $C$13, 100%, $E$13)</f>
        <v>11.484400000000001</v>
      </c>
      <c r="C702" s="63">
        <f>11.4844 * CHOOSE(CONTROL!$C$22, $C$13, 100%, $E$13)</f>
        <v>11.484400000000001</v>
      </c>
      <c r="D702" s="63">
        <f>11.4844 * CHOOSE(CONTROL!$C$22, $C$13, 100%, $E$13)</f>
        <v>11.484400000000001</v>
      </c>
      <c r="E702" s="64">
        <f>12.9786 * CHOOSE(CONTROL!$C$22, $C$13, 100%, $E$13)</f>
        <v>12.9786</v>
      </c>
      <c r="F702" s="64">
        <f>12.9786 * CHOOSE(CONTROL!$C$22, $C$13, 100%, $E$13)</f>
        <v>12.9786</v>
      </c>
      <c r="G702" s="64">
        <f>12.9787 * CHOOSE(CONTROL!$C$22, $C$13, 100%, $E$13)</f>
        <v>12.9787</v>
      </c>
      <c r="H702" s="64">
        <f>22.584* CHOOSE(CONTROL!$C$22, $C$13, 100%, $E$13)</f>
        <v>22.584</v>
      </c>
      <c r="I702" s="64">
        <f>22.584 * CHOOSE(CONTROL!$C$22, $C$13, 100%, $E$13)</f>
        <v>22.584</v>
      </c>
      <c r="J702" s="64">
        <f>12.9786 * CHOOSE(CONTROL!$C$22, $C$13, 100%, $E$13)</f>
        <v>12.9786</v>
      </c>
      <c r="K702" s="64">
        <f>12.9787 * CHOOSE(CONTROL!$C$22, $C$13, 100%, $E$13)</f>
        <v>12.9787</v>
      </c>
    </row>
    <row r="703" spans="1:11" ht="15">
      <c r="A703" s="13">
        <v>62884</v>
      </c>
      <c r="B703" s="63">
        <f>11.4814 * CHOOSE(CONTROL!$C$22, $C$13, 100%, $E$13)</f>
        <v>11.481400000000001</v>
      </c>
      <c r="C703" s="63">
        <f>11.4814 * CHOOSE(CONTROL!$C$22, $C$13, 100%, $E$13)</f>
        <v>11.481400000000001</v>
      </c>
      <c r="D703" s="63">
        <f>11.4814 * CHOOSE(CONTROL!$C$22, $C$13, 100%, $E$13)</f>
        <v>11.481400000000001</v>
      </c>
      <c r="E703" s="64">
        <f>13.158 * CHOOSE(CONTROL!$C$22, $C$13, 100%, $E$13)</f>
        <v>13.157999999999999</v>
      </c>
      <c r="F703" s="64">
        <f>13.158 * CHOOSE(CONTROL!$C$22, $C$13, 100%, $E$13)</f>
        <v>13.157999999999999</v>
      </c>
      <c r="G703" s="64">
        <f>13.1581 * CHOOSE(CONTROL!$C$22, $C$13, 100%, $E$13)</f>
        <v>13.158099999999999</v>
      </c>
      <c r="H703" s="64">
        <f>22.631* CHOOSE(CONTROL!$C$22, $C$13, 100%, $E$13)</f>
        <v>22.631</v>
      </c>
      <c r="I703" s="64">
        <f>22.6311 * CHOOSE(CONTROL!$C$22, $C$13, 100%, $E$13)</f>
        <v>22.6311</v>
      </c>
      <c r="J703" s="64">
        <f>13.158 * CHOOSE(CONTROL!$C$22, $C$13, 100%, $E$13)</f>
        <v>13.157999999999999</v>
      </c>
      <c r="K703" s="64">
        <f>13.1581 * CHOOSE(CONTROL!$C$22, $C$13, 100%, $E$13)</f>
        <v>13.158099999999999</v>
      </c>
    </row>
    <row r="704" spans="1:11" ht="15">
      <c r="A704" s="13">
        <v>62915</v>
      </c>
      <c r="B704" s="63">
        <f>11.4853 * CHOOSE(CONTROL!$C$22, $C$13, 100%, $E$13)</f>
        <v>11.485300000000001</v>
      </c>
      <c r="C704" s="63">
        <f>11.4853 * CHOOSE(CONTROL!$C$22, $C$13, 100%, $E$13)</f>
        <v>11.485300000000001</v>
      </c>
      <c r="D704" s="63">
        <f>11.4853 * CHOOSE(CONTROL!$C$22, $C$13, 100%, $E$13)</f>
        <v>11.485300000000001</v>
      </c>
      <c r="E704" s="64">
        <f>13.3487 * CHOOSE(CONTROL!$C$22, $C$13, 100%, $E$13)</f>
        <v>13.348699999999999</v>
      </c>
      <c r="F704" s="64">
        <f>13.3487 * CHOOSE(CONTROL!$C$22, $C$13, 100%, $E$13)</f>
        <v>13.348699999999999</v>
      </c>
      <c r="G704" s="64">
        <f>13.3488 * CHOOSE(CONTROL!$C$22, $C$13, 100%, $E$13)</f>
        <v>13.348800000000001</v>
      </c>
      <c r="H704" s="64">
        <f>22.6782* CHOOSE(CONTROL!$C$22, $C$13, 100%, $E$13)</f>
        <v>22.6782</v>
      </c>
      <c r="I704" s="64">
        <f>22.6782 * CHOOSE(CONTROL!$C$22, $C$13, 100%, $E$13)</f>
        <v>22.6782</v>
      </c>
      <c r="J704" s="64">
        <f>13.3487 * CHOOSE(CONTROL!$C$22, $C$13, 100%, $E$13)</f>
        <v>13.348699999999999</v>
      </c>
      <c r="K704" s="64">
        <f>13.3488 * CHOOSE(CONTROL!$C$22, $C$13, 100%, $E$13)</f>
        <v>13.348800000000001</v>
      </c>
    </row>
    <row r="705" spans="1:11" ht="15">
      <c r="A705" s="13">
        <v>62945</v>
      </c>
      <c r="B705" s="63">
        <f>11.4853 * CHOOSE(CONTROL!$C$22, $C$13, 100%, $E$13)</f>
        <v>11.485300000000001</v>
      </c>
      <c r="C705" s="63">
        <f>11.4853 * CHOOSE(CONTROL!$C$22, $C$13, 100%, $E$13)</f>
        <v>11.485300000000001</v>
      </c>
      <c r="D705" s="63">
        <f>11.4938 * CHOOSE(CONTROL!$C$22, $C$13, 100%, $E$13)</f>
        <v>11.4938</v>
      </c>
      <c r="E705" s="64">
        <f>13.4219 * CHOOSE(CONTROL!$C$22, $C$13, 100%, $E$13)</f>
        <v>13.421900000000001</v>
      </c>
      <c r="F705" s="64">
        <f>13.4219 * CHOOSE(CONTROL!$C$22, $C$13, 100%, $E$13)</f>
        <v>13.421900000000001</v>
      </c>
      <c r="G705" s="64">
        <f>13.4321 * CHOOSE(CONTROL!$C$22, $C$13, 100%, $E$13)</f>
        <v>13.4321</v>
      </c>
      <c r="H705" s="64">
        <f>22.7254* CHOOSE(CONTROL!$C$22, $C$13, 100%, $E$13)</f>
        <v>22.7254</v>
      </c>
      <c r="I705" s="64">
        <f>22.7356 * CHOOSE(CONTROL!$C$22, $C$13, 100%, $E$13)</f>
        <v>22.735600000000002</v>
      </c>
      <c r="J705" s="64">
        <f>13.4219 * CHOOSE(CONTROL!$C$22, $C$13, 100%, $E$13)</f>
        <v>13.421900000000001</v>
      </c>
      <c r="K705" s="64">
        <f>13.4321 * CHOOSE(CONTROL!$C$22, $C$13, 100%, $E$13)</f>
        <v>13.4321</v>
      </c>
    </row>
    <row r="706" spans="1:11" ht="15">
      <c r="A706" s="13">
        <v>62976</v>
      </c>
      <c r="B706" s="63">
        <f>11.4914 * CHOOSE(CONTROL!$C$22, $C$13, 100%, $E$13)</f>
        <v>11.491400000000001</v>
      </c>
      <c r="C706" s="63">
        <f>11.4914 * CHOOSE(CONTROL!$C$22, $C$13, 100%, $E$13)</f>
        <v>11.491400000000001</v>
      </c>
      <c r="D706" s="63">
        <f>11.4998 * CHOOSE(CONTROL!$C$22, $C$13, 100%, $E$13)</f>
        <v>11.4998</v>
      </c>
      <c r="E706" s="64">
        <f>13.353 * CHOOSE(CONTROL!$C$22, $C$13, 100%, $E$13)</f>
        <v>13.353</v>
      </c>
      <c r="F706" s="64">
        <f>13.353 * CHOOSE(CONTROL!$C$22, $C$13, 100%, $E$13)</f>
        <v>13.353</v>
      </c>
      <c r="G706" s="64">
        <f>13.3632 * CHOOSE(CONTROL!$C$22, $C$13, 100%, $E$13)</f>
        <v>13.363200000000001</v>
      </c>
      <c r="H706" s="64">
        <f>22.7727* CHOOSE(CONTROL!$C$22, $C$13, 100%, $E$13)</f>
        <v>22.7727</v>
      </c>
      <c r="I706" s="64">
        <f>22.783 * CHOOSE(CONTROL!$C$22, $C$13, 100%, $E$13)</f>
        <v>22.783000000000001</v>
      </c>
      <c r="J706" s="64">
        <f>13.353 * CHOOSE(CONTROL!$C$22, $C$13, 100%, $E$13)</f>
        <v>13.353</v>
      </c>
      <c r="K706" s="64">
        <f>13.3632 * CHOOSE(CONTROL!$C$22, $C$13, 100%, $E$13)</f>
        <v>13.363200000000001</v>
      </c>
    </row>
    <row r="707" spans="1:11" ht="15">
      <c r="A707" s="13">
        <v>63006</v>
      </c>
      <c r="B707" s="63">
        <f>11.6674 * CHOOSE(CONTROL!$C$22, $C$13, 100%, $E$13)</f>
        <v>11.667400000000001</v>
      </c>
      <c r="C707" s="63">
        <f>11.6674 * CHOOSE(CONTROL!$C$22, $C$13, 100%, $E$13)</f>
        <v>11.667400000000001</v>
      </c>
      <c r="D707" s="63">
        <f>11.6759 * CHOOSE(CONTROL!$C$22, $C$13, 100%, $E$13)</f>
        <v>11.6759</v>
      </c>
      <c r="E707" s="64">
        <f>13.5674 * CHOOSE(CONTROL!$C$22, $C$13, 100%, $E$13)</f>
        <v>13.567399999999999</v>
      </c>
      <c r="F707" s="64">
        <f>13.5674 * CHOOSE(CONTROL!$C$22, $C$13, 100%, $E$13)</f>
        <v>13.567399999999999</v>
      </c>
      <c r="G707" s="64">
        <f>13.5776 * CHOOSE(CONTROL!$C$22, $C$13, 100%, $E$13)</f>
        <v>13.5776</v>
      </c>
      <c r="H707" s="64">
        <f>22.8202* CHOOSE(CONTROL!$C$22, $C$13, 100%, $E$13)</f>
        <v>22.8202</v>
      </c>
      <c r="I707" s="64">
        <f>22.8304 * CHOOSE(CONTROL!$C$22, $C$13, 100%, $E$13)</f>
        <v>22.830400000000001</v>
      </c>
      <c r="J707" s="64">
        <f>13.5674 * CHOOSE(CONTROL!$C$22, $C$13, 100%, $E$13)</f>
        <v>13.567399999999999</v>
      </c>
      <c r="K707" s="64">
        <f>13.5776 * CHOOSE(CONTROL!$C$22, $C$13, 100%, $E$13)</f>
        <v>13.5776</v>
      </c>
    </row>
    <row r="708" spans="1:11" ht="15">
      <c r="A708" s="13">
        <v>63037</v>
      </c>
      <c r="B708" s="63">
        <f>11.6741 * CHOOSE(CONTROL!$C$22, $C$13, 100%, $E$13)</f>
        <v>11.674099999999999</v>
      </c>
      <c r="C708" s="63">
        <f>11.6741 * CHOOSE(CONTROL!$C$22, $C$13, 100%, $E$13)</f>
        <v>11.674099999999999</v>
      </c>
      <c r="D708" s="63">
        <f>11.6826 * CHOOSE(CONTROL!$C$22, $C$13, 100%, $E$13)</f>
        <v>11.682600000000001</v>
      </c>
      <c r="E708" s="64">
        <f>13.3527 * CHOOSE(CONTROL!$C$22, $C$13, 100%, $E$13)</f>
        <v>13.3527</v>
      </c>
      <c r="F708" s="64">
        <f>13.3527 * CHOOSE(CONTROL!$C$22, $C$13, 100%, $E$13)</f>
        <v>13.3527</v>
      </c>
      <c r="G708" s="64">
        <f>13.3629 * CHOOSE(CONTROL!$C$22, $C$13, 100%, $E$13)</f>
        <v>13.3629</v>
      </c>
      <c r="H708" s="64">
        <f>22.8677* CHOOSE(CONTROL!$C$22, $C$13, 100%, $E$13)</f>
        <v>22.867699999999999</v>
      </c>
      <c r="I708" s="64">
        <f>22.8779 * CHOOSE(CONTROL!$C$22, $C$13, 100%, $E$13)</f>
        <v>22.8779</v>
      </c>
      <c r="J708" s="64">
        <f>13.3527 * CHOOSE(CONTROL!$C$22, $C$13, 100%, $E$13)</f>
        <v>13.3527</v>
      </c>
      <c r="K708" s="64">
        <f>13.3629 * CHOOSE(CONTROL!$C$22, $C$13, 100%, $E$13)</f>
        <v>13.3629</v>
      </c>
    </row>
    <row r="709" spans="1:11" ht="15">
      <c r="A709" s="13">
        <v>63068</v>
      </c>
      <c r="B709" s="63">
        <f>11.6711 * CHOOSE(CONTROL!$C$22, $C$13, 100%, $E$13)</f>
        <v>11.671099999999999</v>
      </c>
      <c r="C709" s="63">
        <f>11.6711 * CHOOSE(CONTROL!$C$22, $C$13, 100%, $E$13)</f>
        <v>11.671099999999999</v>
      </c>
      <c r="D709" s="63">
        <f>11.6795 * CHOOSE(CONTROL!$C$22, $C$13, 100%, $E$13)</f>
        <v>11.679500000000001</v>
      </c>
      <c r="E709" s="64">
        <f>13.3262 * CHOOSE(CONTROL!$C$22, $C$13, 100%, $E$13)</f>
        <v>13.3262</v>
      </c>
      <c r="F709" s="64">
        <f>13.3262 * CHOOSE(CONTROL!$C$22, $C$13, 100%, $E$13)</f>
        <v>13.3262</v>
      </c>
      <c r="G709" s="64">
        <f>13.3364 * CHOOSE(CONTROL!$C$22, $C$13, 100%, $E$13)</f>
        <v>13.336399999999999</v>
      </c>
      <c r="H709" s="64">
        <f>22.9154* CHOOSE(CONTROL!$C$22, $C$13, 100%, $E$13)</f>
        <v>22.915400000000002</v>
      </c>
      <c r="I709" s="64">
        <f>22.9256 * CHOOSE(CONTROL!$C$22, $C$13, 100%, $E$13)</f>
        <v>22.925599999999999</v>
      </c>
      <c r="J709" s="64">
        <f>13.3262 * CHOOSE(CONTROL!$C$22, $C$13, 100%, $E$13)</f>
        <v>13.3262</v>
      </c>
      <c r="K709" s="64">
        <f>13.3364 * CHOOSE(CONTROL!$C$22, $C$13, 100%, $E$13)</f>
        <v>13.336399999999999</v>
      </c>
    </row>
    <row r="710" spans="1:11" ht="15">
      <c r="A710" s="13">
        <v>63098</v>
      </c>
      <c r="B710" s="63">
        <f>11.691 * CHOOSE(CONTROL!$C$22, $C$13, 100%, $E$13)</f>
        <v>11.691000000000001</v>
      </c>
      <c r="C710" s="63">
        <f>11.691 * CHOOSE(CONTROL!$C$22, $C$13, 100%, $E$13)</f>
        <v>11.691000000000001</v>
      </c>
      <c r="D710" s="63">
        <f>11.691 * CHOOSE(CONTROL!$C$22, $C$13, 100%, $E$13)</f>
        <v>11.691000000000001</v>
      </c>
      <c r="E710" s="64">
        <f>13.4103 * CHOOSE(CONTROL!$C$22, $C$13, 100%, $E$13)</f>
        <v>13.410299999999999</v>
      </c>
      <c r="F710" s="64">
        <f>13.4103 * CHOOSE(CONTROL!$C$22, $C$13, 100%, $E$13)</f>
        <v>13.410299999999999</v>
      </c>
      <c r="G710" s="64">
        <f>13.4104 * CHOOSE(CONTROL!$C$22, $C$13, 100%, $E$13)</f>
        <v>13.410399999999999</v>
      </c>
      <c r="H710" s="64">
        <f>22.9631* CHOOSE(CONTROL!$C$22, $C$13, 100%, $E$13)</f>
        <v>22.963100000000001</v>
      </c>
      <c r="I710" s="64">
        <f>22.9632 * CHOOSE(CONTROL!$C$22, $C$13, 100%, $E$13)</f>
        <v>22.963200000000001</v>
      </c>
      <c r="J710" s="64">
        <f>13.4103 * CHOOSE(CONTROL!$C$22, $C$13, 100%, $E$13)</f>
        <v>13.410299999999999</v>
      </c>
      <c r="K710" s="64">
        <f>13.4104 * CHOOSE(CONTROL!$C$22, $C$13, 100%, $E$13)</f>
        <v>13.410399999999999</v>
      </c>
    </row>
    <row r="711" spans="1:11" ht="15">
      <c r="A711" s="13">
        <v>63129</v>
      </c>
      <c r="B711" s="63">
        <f>11.694 * CHOOSE(CONTROL!$C$22, $C$13, 100%, $E$13)</f>
        <v>11.694000000000001</v>
      </c>
      <c r="C711" s="63">
        <f>11.694 * CHOOSE(CONTROL!$C$22, $C$13, 100%, $E$13)</f>
        <v>11.694000000000001</v>
      </c>
      <c r="D711" s="63">
        <f>11.694 * CHOOSE(CONTROL!$C$22, $C$13, 100%, $E$13)</f>
        <v>11.694000000000001</v>
      </c>
      <c r="E711" s="64">
        <f>13.4611 * CHOOSE(CONTROL!$C$22, $C$13, 100%, $E$13)</f>
        <v>13.4611</v>
      </c>
      <c r="F711" s="64">
        <f>13.4611 * CHOOSE(CONTROL!$C$22, $C$13, 100%, $E$13)</f>
        <v>13.4611</v>
      </c>
      <c r="G711" s="64">
        <f>13.4612 * CHOOSE(CONTROL!$C$22, $C$13, 100%, $E$13)</f>
        <v>13.4612</v>
      </c>
      <c r="H711" s="64">
        <f>23.0109* CHOOSE(CONTROL!$C$22, $C$13, 100%, $E$13)</f>
        <v>23.010899999999999</v>
      </c>
      <c r="I711" s="64">
        <f>23.011 * CHOOSE(CONTROL!$C$22, $C$13, 100%, $E$13)</f>
        <v>23.010999999999999</v>
      </c>
      <c r="J711" s="64">
        <f>13.4611 * CHOOSE(CONTROL!$C$22, $C$13, 100%, $E$13)</f>
        <v>13.4611</v>
      </c>
      <c r="K711" s="64">
        <f>13.4612 * CHOOSE(CONTROL!$C$22, $C$13, 100%, $E$13)</f>
        <v>13.4612</v>
      </c>
    </row>
    <row r="712" spans="1:11" ht="15">
      <c r="A712" s="13">
        <v>63159</v>
      </c>
      <c r="B712" s="63">
        <f>11.694 * CHOOSE(CONTROL!$C$22, $C$13, 100%, $E$13)</f>
        <v>11.694000000000001</v>
      </c>
      <c r="C712" s="63">
        <f>11.694 * CHOOSE(CONTROL!$C$22, $C$13, 100%, $E$13)</f>
        <v>11.694000000000001</v>
      </c>
      <c r="D712" s="63">
        <f>11.694 * CHOOSE(CONTROL!$C$22, $C$13, 100%, $E$13)</f>
        <v>11.694000000000001</v>
      </c>
      <c r="E712" s="64">
        <f>13.3393 * CHOOSE(CONTROL!$C$22, $C$13, 100%, $E$13)</f>
        <v>13.3393</v>
      </c>
      <c r="F712" s="64">
        <f>13.3393 * CHOOSE(CONTROL!$C$22, $C$13, 100%, $E$13)</f>
        <v>13.3393</v>
      </c>
      <c r="G712" s="64">
        <f>13.3394 * CHOOSE(CONTROL!$C$22, $C$13, 100%, $E$13)</f>
        <v>13.339399999999999</v>
      </c>
      <c r="H712" s="64">
        <f>23.0589* CHOOSE(CONTROL!$C$22, $C$13, 100%, $E$13)</f>
        <v>23.058900000000001</v>
      </c>
      <c r="I712" s="64">
        <f>23.059 * CHOOSE(CONTROL!$C$22, $C$13, 100%, $E$13)</f>
        <v>23.059000000000001</v>
      </c>
      <c r="J712" s="64">
        <f>13.3393 * CHOOSE(CONTROL!$C$22, $C$13, 100%, $E$13)</f>
        <v>13.3393</v>
      </c>
      <c r="K712" s="64">
        <f>13.3394 * CHOOSE(CONTROL!$C$22, $C$13, 100%, $E$13)</f>
        <v>13.339399999999999</v>
      </c>
    </row>
    <row r="713" spans="1:11" ht="15">
      <c r="A713" s="13">
        <v>63190</v>
      </c>
      <c r="B713" s="63">
        <f>11.723 * CHOOSE(CONTROL!$C$22, $C$13, 100%, $E$13)</f>
        <v>11.723000000000001</v>
      </c>
      <c r="C713" s="63">
        <f>11.723 * CHOOSE(CONTROL!$C$22, $C$13, 100%, $E$13)</f>
        <v>11.723000000000001</v>
      </c>
      <c r="D713" s="63">
        <f>11.723 * CHOOSE(CONTROL!$C$22, $C$13, 100%, $E$13)</f>
        <v>11.723000000000001</v>
      </c>
      <c r="E713" s="64">
        <f>13.4657 * CHOOSE(CONTROL!$C$22, $C$13, 100%, $E$13)</f>
        <v>13.4657</v>
      </c>
      <c r="F713" s="64">
        <f>13.4657 * CHOOSE(CONTROL!$C$22, $C$13, 100%, $E$13)</f>
        <v>13.4657</v>
      </c>
      <c r="G713" s="64">
        <f>13.4658 * CHOOSE(CONTROL!$C$22, $C$13, 100%, $E$13)</f>
        <v>13.4658</v>
      </c>
      <c r="H713" s="64">
        <f>22.9829* CHOOSE(CONTROL!$C$22, $C$13, 100%, $E$13)</f>
        <v>22.982900000000001</v>
      </c>
      <c r="I713" s="64">
        <f>22.983 * CHOOSE(CONTROL!$C$22, $C$13, 100%, $E$13)</f>
        <v>22.983000000000001</v>
      </c>
      <c r="J713" s="64">
        <f>13.4657 * CHOOSE(CONTROL!$C$22, $C$13, 100%, $E$13)</f>
        <v>13.4657</v>
      </c>
      <c r="K713" s="64">
        <f>13.4658 * CHOOSE(CONTROL!$C$22, $C$13, 100%, $E$13)</f>
        <v>13.4658</v>
      </c>
    </row>
    <row r="714" spans="1:11" ht="15">
      <c r="A714" s="13">
        <v>63221</v>
      </c>
      <c r="B714" s="63">
        <f>11.72 * CHOOSE(CONTROL!$C$22, $C$13, 100%, $E$13)</f>
        <v>11.72</v>
      </c>
      <c r="C714" s="63">
        <f>11.72 * CHOOSE(CONTROL!$C$22, $C$13, 100%, $E$13)</f>
        <v>11.72</v>
      </c>
      <c r="D714" s="63">
        <f>11.72 * CHOOSE(CONTROL!$C$22, $C$13, 100%, $E$13)</f>
        <v>11.72</v>
      </c>
      <c r="E714" s="64">
        <f>13.2284 * CHOOSE(CONTROL!$C$22, $C$13, 100%, $E$13)</f>
        <v>13.228400000000001</v>
      </c>
      <c r="F714" s="64">
        <f>13.2284 * CHOOSE(CONTROL!$C$22, $C$13, 100%, $E$13)</f>
        <v>13.228400000000001</v>
      </c>
      <c r="G714" s="64">
        <f>13.2285 * CHOOSE(CONTROL!$C$22, $C$13, 100%, $E$13)</f>
        <v>13.2285</v>
      </c>
      <c r="H714" s="64">
        <f>23.0308* CHOOSE(CONTROL!$C$22, $C$13, 100%, $E$13)</f>
        <v>23.030799999999999</v>
      </c>
      <c r="I714" s="64">
        <f>23.0309 * CHOOSE(CONTROL!$C$22, $C$13, 100%, $E$13)</f>
        <v>23.030899999999999</v>
      </c>
      <c r="J714" s="64">
        <f>13.2284 * CHOOSE(CONTROL!$C$22, $C$13, 100%, $E$13)</f>
        <v>13.228400000000001</v>
      </c>
      <c r="K714" s="64">
        <f>13.2285 * CHOOSE(CONTROL!$C$22, $C$13, 100%, $E$13)</f>
        <v>13.2285</v>
      </c>
    </row>
    <row r="715" spans="1:11" ht="15">
      <c r="A715" s="13">
        <v>63249</v>
      </c>
      <c r="B715" s="63">
        <f>11.717 * CHOOSE(CONTROL!$C$22, $C$13, 100%, $E$13)</f>
        <v>11.717000000000001</v>
      </c>
      <c r="C715" s="63">
        <f>11.717 * CHOOSE(CONTROL!$C$22, $C$13, 100%, $E$13)</f>
        <v>11.717000000000001</v>
      </c>
      <c r="D715" s="63">
        <f>11.717 * CHOOSE(CONTROL!$C$22, $C$13, 100%, $E$13)</f>
        <v>11.717000000000001</v>
      </c>
      <c r="E715" s="64">
        <f>13.4117 * CHOOSE(CONTROL!$C$22, $C$13, 100%, $E$13)</f>
        <v>13.4117</v>
      </c>
      <c r="F715" s="64">
        <f>13.4117 * CHOOSE(CONTROL!$C$22, $C$13, 100%, $E$13)</f>
        <v>13.4117</v>
      </c>
      <c r="G715" s="64">
        <f>13.4118 * CHOOSE(CONTROL!$C$22, $C$13, 100%, $E$13)</f>
        <v>13.411799999999999</v>
      </c>
      <c r="H715" s="64">
        <f>23.0788* CHOOSE(CONTROL!$C$22, $C$13, 100%, $E$13)</f>
        <v>23.078800000000001</v>
      </c>
      <c r="I715" s="64">
        <f>23.0788 * CHOOSE(CONTROL!$C$22, $C$13, 100%, $E$13)</f>
        <v>23.078800000000001</v>
      </c>
      <c r="J715" s="64">
        <f>13.4117 * CHOOSE(CONTROL!$C$22, $C$13, 100%, $E$13)</f>
        <v>13.4117</v>
      </c>
      <c r="K715" s="64">
        <f>13.4118 * CHOOSE(CONTROL!$C$22, $C$13, 100%, $E$13)</f>
        <v>13.411799999999999</v>
      </c>
    </row>
    <row r="716" spans="1:11" ht="15">
      <c r="A716" s="13">
        <v>63280</v>
      </c>
      <c r="B716" s="63">
        <f>11.7211 * CHOOSE(CONTROL!$C$22, $C$13, 100%, $E$13)</f>
        <v>11.7211</v>
      </c>
      <c r="C716" s="63">
        <f>11.7211 * CHOOSE(CONTROL!$C$22, $C$13, 100%, $E$13)</f>
        <v>11.7211</v>
      </c>
      <c r="D716" s="63">
        <f>11.7211 * CHOOSE(CONTROL!$C$22, $C$13, 100%, $E$13)</f>
        <v>11.7211</v>
      </c>
      <c r="E716" s="64">
        <f>13.6066 * CHOOSE(CONTROL!$C$22, $C$13, 100%, $E$13)</f>
        <v>13.6066</v>
      </c>
      <c r="F716" s="64">
        <f>13.6066 * CHOOSE(CONTROL!$C$22, $C$13, 100%, $E$13)</f>
        <v>13.6066</v>
      </c>
      <c r="G716" s="64">
        <f>13.6067 * CHOOSE(CONTROL!$C$22, $C$13, 100%, $E$13)</f>
        <v>13.6067</v>
      </c>
      <c r="H716" s="64">
        <f>23.1268* CHOOSE(CONTROL!$C$22, $C$13, 100%, $E$13)</f>
        <v>23.126799999999999</v>
      </c>
      <c r="I716" s="64">
        <f>23.1269 * CHOOSE(CONTROL!$C$22, $C$13, 100%, $E$13)</f>
        <v>23.126899999999999</v>
      </c>
      <c r="J716" s="64">
        <f>13.6066 * CHOOSE(CONTROL!$C$22, $C$13, 100%, $E$13)</f>
        <v>13.6066</v>
      </c>
      <c r="K716" s="64">
        <f>13.6067 * CHOOSE(CONTROL!$C$22, $C$13, 100%, $E$13)</f>
        <v>13.6067</v>
      </c>
    </row>
    <row r="717" spans="1:11" ht="15">
      <c r="A717" s="13">
        <v>63310</v>
      </c>
      <c r="B717" s="63">
        <f>11.7211 * CHOOSE(CONTROL!$C$22, $C$13, 100%, $E$13)</f>
        <v>11.7211</v>
      </c>
      <c r="C717" s="63">
        <f>11.7211 * CHOOSE(CONTROL!$C$22, $C$13, 100%, $E$13)</f>
        <v>11.7211</v>
      </c>
      <c r="D717" s="63">
        <f>11.7295 * CHOOSE(CONTROL!$C$22, $C$13, 100%, $E$13)</f>
        <v>11.7295</v>
      </c>
      <c r="E717" s="64">
        <f>13.6813 * CHOOSE(CONTROL!$C$22, $C$13, 100%, $E$13)</f>
        <v>13.6813</v>
      </c>
      <c r="F717" s="64">
        <f>13.6813 * CHOOSE(CONTROL!$C$22, $C$13, 100%, $E$13)</f>
        <v>13.6813</v>
      </c>
      <c r="G717" s="64">
        <f>13.6915 * CHOOSE(CONTROL!$C$22, $C$13, 100%, $E$13)</f>
        <v>13.6915</v>
      </c>
      <c r="H717" s="64">
        <f>23.175* CHOOSE(CONTROL!$C$22, $C$13, 100%, $E$13)</f>
        <v>23.175000000000001</v>
      </c>
      <c r="I717" s="64">
        <f>23.1852 * CHOOSE(CONTROL!$C$22, $C$13, 100%, $E$13)</f>
        <v>23.185199999999998</v>
      </c>
      <c r="J717" s="64">
        <f>13.6813 * CHOOSE(CONTROL!$C$22, $C$13, 100%, $E$13)</f>
        <v>13.6813</v>
      </c>
      <c r="K717" s="64">
        <f>13.6915 * CHOOSE(CONTROL!$C$22, $C$13, 100%, $E$13)</f>
        <v>13.6915</v>
      </c>
    </row>
    <row r="718" spans="1:11" ht="15">
      <c r="A718" s="13">
        <v>63341</v>
      </c>
      <c r="B718" s="63">
        <f>11.7272 * CHOOSE(CONTROL!$C$22, $C$13, 100%, $E$13)</f>
        <v>11.7272</v>
      </c>
      <c r="C718" s="63">
        <f>11.7272 * CHOOSE(CONTROL!$C$22, $C$13, 100%, $E$13)</f>
        <v>11.7272</v>
      </c>
      <c r="D718" s="63">
        <f>11.7356 * CHOOSE(CONTROL!$C$22, $C$13, 100%, $E$13)</f>
        <v>11.7356</v>
      </c>
      <c r="E718" s="64">
        <f>13.6108 * CHOOSE(CONTROL!$C$22, $C$13, 100%, $E$13)</f>
        <v>13.610799999999999</v>
      </c>
      <c r="F718" s="64">
        <f>13.6108 * CHOOSE(CONTROL!$C$22, $C$13, 100%, $E$13)</f>
        <v>13.610799999999999</v>
      </c>
      <c r="G718" s="64">
        <f>13.6211 * CHOOSE(CONTROL!$C$22, $C$13, 100%, $E$13)</f>
        <v>13.6211</v>
      </c>
      <c r="H718" s="64">
        <f>23.2233* CHOOSE(CONTROL!$C$22, $C$13, 100%, $E$13)</f>
        <v>23.223299999999998</v>
      </c>
      <c r="I718" s="64">
        <f>23.2335 * CHOOSE(CONTROL!$C$22, $C$13, 100%, $E$13)</f>
        <v>23.233499999999999</v>
      </c>
      <c r="J718" s="64">
        <f>13.6108 * CHOOSE(CONTROL!$C$22, $C$13, 100%, $E$13)</f>
        <v>13.610799999999999</v>
      </c>
      <c r="K718" s="64">
        <f>13.6211 * CHOOSE(CONTROL!$C$22, $C$13, 100%, $E$13)</f>
        <v>13.6211</v>
      </c>
    </row>
    <row r="719" spans="1:11" ht="15">
      <c r="A719" s="13">
        <v>63371</v>
      </c>
      <c r="B719" s="63">
        <f>11.9066 * CHOOSE(CONTROL!$C$22, $C$13, 100%, $E$13)</f>
        <v>11.906599999999999</v>
      </c>
      <c r="C719" s="63">
        <f>11.9066 * CHOOSE(CONTROL!$C$22, $C$13, 100%, $E$13)</f>
        <v>11.906599999999999</v>
      </c>
      <c r="D719" s="63">
        <f>11.9151 * CHOOSE(CONTROL!$C$22, $C$13, 100%, $E$13)</f>
        <v>11.915100000000001</v>
      </c>
      <c r="E719" s="64">
        <f>13.8292 * CHOOSE(CONTROL!$C$22, $C$13, 100%, $E$13)</f>
        <v>13.8292</v>
      </c>
      <c r="F719" s="64">
        <f>13.8292 * CHOOSE(CONTROL!$C$22, $C$13, 100%, $E$13)</f>
        <v>13.8292</v>
      </c>
      <c r="G719" s="64">
        <f>13.8394 * CHOOSE(CONTROL!$C$22, $C$13, 100%, $E$13)</f>
        <v>13.839399999999999</v>
      </c>
      <c r="H719" s="64">
        <f>23.2717* CHOOSE(CONTROL!$C$22, $C$13, 100%, $E$13)</f>
        <v>23.271699999999999</v>
      </c>
      <c r="I719" s="64">
        <f>23.2819 * CHOOSE(CONTROL!$C$22, $C$13, 100%, $E$13)</f>
        <v>23.2819</v>
      </c>
      <c r="J719" s="64">
        <f>13.8292 * CHOOSE(CONTROL!$C$22, $C$13, 100%, $E$13)</f>
        <v>13.8292</v>
      </c>
      <c r="K719" s="64">
        <f>13.8394 * CHOOSE(CONTROL!$C$22, $C$13, 100%, $E$13)</f>
        <v>13.839399999999999</v>
      </c>
    </row>
    <row r="720" spans="1:11" ht="15">
      <c r="A720" s="13">
        <v>63402</v>
      </c>
      <c r="B720" s="63">
        <f>11.9133 * CHOOSE(CONTROL!$C$22, $C$13, 100%, $E$13)</f>
        <v>11.9133</v>
      </c>
      <c r="C720" s="63">
        <f>11.9133 * CHOOSE(CONTROL!$C$22, $C$13, 100%, $E$13)</f>
        <v>11.9133</v>
      </c>
      <c r="D720" s="63">
        <f>11.9218 * CHOOSE(CONTROL!$C$22, $C$13, 100%, $E$13)</f>
        <v>11.921799999999999</v>
      </c>
      <c r="E720" s="64">
        <f>13.6098 * CHOOSE(CONTROL!$C$22, $C$13, 100%, $E$13)</f>
        <v>13.6098</v>
      </c>
      <c r="F720" s="64">
        <f>13.6098 * CHOOSE(CONTROL!$C$22, $C$13, 100%, $E$13)</f>
        <v>13.6098</v>
      </c>
      <c r="G720" s="64">
        <f>13.62 * CHOOSE(CONTROL!$C$22, $C$13, 100%, $E$13)</f>
        <v>13.62</v>
      </c>
      <c r="H720" s="64">
        <f>23.3202* CHOOSE(CONTROL!$C$22, $C$13, 100%, $E$13)</f>
        <v>23.3202</v>
      </c>
      <c r="I720" s="64">
        <f>23.3304 * CHOOSE(CONTROL!$C$22, $C$13, 100%, $E$13)</f>
        <v>23.330400000000001</v>
      </c>
      <c r="J720" s="64">
        <f>13.6098 * CHOOSE(CONTROL!$C$22, $C$13, 100%, $E$13)</f>
        <v>13.6098</v>
      </c>
      <c r="K720" s="64">
        <f>13.62 * CHOOSE(CONTROL!$C$22, $C$13, 100%, $E$13)</f>
        <v>13.62</v>
      </c>
    </row>
    <row r="721" spans="1:11" ht="15">
      <c r="A721" s="13">
        <v>63433</v>
      </c>
      <c r="B721" s="63">
        <f>11.9103 * CHOOSE(CONTROL!$C$22, $C$13, 100%, $E$13)</f>
        <v>11.910299999999999</v>
      </c>
      <c r="C721" s="63">
        <f>11.9103 * CHOOSE(CONTROL!$C$22, $C$13, 100%, $E$13)</f>
        <v>11.910299999999999</v>
      </c>
      <c r="D721" s="63">
        <f>11.9187 * CHOOSE(CONTROL!$C$22, $C$13, 100%, $E$13)</f>
        <v>11.918699999999999</v>
      </c>
      <c r="E721" s="64">
        <f>13.5828 * CHOOSE(CONTROL!$C$22, $C$13, 100%, $E$13)</f>
        <v>13.582800000000001</v>
      </c>
      <c r="F721" s="64">
        <f>13.5828 * CHOOSE(CONTROL!$C$22, $C$13, 100%, $E$13)</f>
        <v>13.582800000000001</v>
      </c>
      <c r="G721" s="64">
        <f>13.593 * CHOOSE(CONTROL!$C$22, $C$13, 100%, $E$13)</f>
        <v>13.593</v>
      </c>
      <c r="H721" s="64">
        <f>23.3687* CHOOSE(CONTROL!$C$22, $C$13, 100%, $E$13)</f>
        <v>23.3687</v>
      </c>
      <c r="I721" s="64">
        <f>23.379 * CHOOSE(CONTROL!$C$22, $C$13, 100%, $E$13)</f>
        <v>23.379000000000001</v>
      </c>
      <c r="J721" s="64">
        <f>13.5828 * CHOOSE(CONTROL!$C$22, $C$13, 100%, $E$13)</f>
        <v>13.582800000000001</v>
      </c>
      <c r="K721" s="64">
        <f>13.593 * CHOOSE(CONTROL!$C$22, $C$13, 100%, $E$13)</f>
        <v>13.593</v>
      </c>
    </row>
    <row r="722" spans="1:11" ht="15">
      <c r="A722" s="13">
        <v>63463</v>
      </c>
      <c r="B722" s="63">
        <f>11.9309 * CHOOSE(CONTROL!$C$22, $C$13, 100%, $E$13)</f>
        <v>11.930899999999999</v>
      </c>
      <c r="C722" s="63">
        <f>11.9309 * CHOOSE(CONTROL!$C$22, $C$13, 100%, $E$13)</f>
        <v>11.930899999999999</v>
      </c>
      <c r="D722" s="63">
        <f>11.9309 * CHOOSE(CONTROL!$C$22, $C$13, 100%, $E$13)</f>
        <v>11.930899999999999</v>
      </c>
      <c r="E722" s="64">
        <f>13.6689 * CHOOSE(CONTROL!$C$22, $C$13, 100%, $E$13)</f>
        <v>13.668900000000001</v>
      </c>
      <c r="F722" s="64">
        <f>13.6689 * CHOOSE(CONTROL!$C$22, $C$13, 100%, $E$13)</f>
        <v>13.668900000000001</v>
      </c>
      <c r="G722" s="64">
        <f>13.669 * CHOOSE(CONTROL!$C$22, $C$13, 100%, $E$13)</f>
        <v>13.669</v>
      </c>
      <c r="H722" s="64">
        <f>23.4174* CHOOSE(CONTROL!$C$22, $C$13, 100%, $E$13)</f>
        <v>23.417400000000001</v>
      </c>
      <c r="I722" s="64">
        <f>23.4175 * CHOOSE(CONTROL!$C$22, $C$13, 100%, $E$13)</f>
        <v>23.4175</v>
      </c>
      <c r="J722" s="64">
        <f>13.6689 * CHOOSE(CONTROL!$C$22, $C$13, 100%, $E$13)</f>
        <v>13.668900000000001</v>
      </c>
      <c r="K722" s="64">
        <f>13.669 * CHOOSE(CONTROL!$C$22, $C$13, 100%, $E$13)</f>
        <v>13.669</v>
      </c>
    </row>
    <row r="723" spans="1:11" ht="15">
      <c r="A723" s="13">
        <v>63494</v>
      </c>
      <c r="B723" s="63">
        <f>11.9339 * CHOOSE(CONTROL!$C$22, $C$13, 100%, $E$13)</f>
        <v>11.9339</v>
      </c>
      <c r="C723" s="63">
        <f>11.9339 * CHOOSE(CONTROL!$C$22, $C$13, 100%, $E$13)</f>
        <v>11.9339</v>
      </c>
      <c r="D723" s="63">
        <f>11.9339 * CHOOSE(CONTROL!$C$22, $C$13, 100%, $E$13)</f>
        <v>11.9339</v>
      </c>
      <c r="E723" s="64">
        <f>13.7208 * CHOOSE(CONTROL!$C$22, $C$13, 100%, $E$13)</f>
        <v>13.720800000000001</v>
      </c>
      <c r="F723" s="64">
        <f>13.7208 * CHOOSE(CONTROL!$C$22, $C$13, 100%, $E$13)</f>
        <v>13.720800000000001</v>
      </c>
      <c r="G723" s="64">
        <f>13.7209 * CHOOSE(CONTROL!$C$22, $C$13, 100%, $E$13)</f>
        <v>13.7209</v>
      </c>
      <c r="H723" s="64">
        <f>23.4662* CHOOSE(CONTROL!$C$22, $C$13, 100%, $E$13)</f>
        <v>23.466200000000001</v>
      </c>
      <c r="I723" s="64">
        <f>23.4663 * CHOOSE(CONTROL!$C$22, $C$13, 100%, $E$13)</f>
        <v>23.4663</v>
      </c>
      <c r="J723" s="64">
        <f>13.7208 * CHOOSE(CONTROL!$C$22, $C$13, 100%, $E$13)</f>
        <v>13.720800000000001</v>
      </c>
      <c r="K723" s="64">
        <f>13.7209 * CHOOSE(CONTROL!$C$22, $C$13, 100%, $E$13)</f>
        <v>13.7209</v>
      </c>
    </row>
    <row r="724" spans="1:11" ht="15">
      <c r="A724" s="13">
        <v>63524</v>
      </c>
      <c r="B724" s="63">
        <f>11.9339 * CHOOSE(CONTROL!$C$22, $C$13, 100%, $E$13)</f>
        <v>11.9339</v>
      </c>
      <c r="C724" s="63">
        <f>11.9339 * CHOOSE(CONTROL!$C$22, $C$13, 100%, $E$13)</f>
        <v>11.9339</v>
      </c>
      <c r="D724" s="63">
        <f>11.9339 * CHOOSE(CONTROL!$C$22, $C$13, 100%, $E$13)</f>
        <v>11.9339</v>
      </c>
      <c r="E724" s="64">
        <f>13.5964 * CHOOSE(CONTROL!$C$22, $C$13, 100%, $E$13)</f>
        <v>13.596399999999999</v>
      </c>
      <c r="F724" s="64">
        <f>13.5964 * CHOOSE(CONTROL!$C$22, $C$13, 100%, $E$13)</f>
        <v>13.596399999999999</v>
      </c>
      <c r="G724" s="64">
        <f>13.5964 * CHOOSE(CONTROL!$C$22, $C$13, 100%, $E$13)</f>
        <v>13.596399999999999</v>
      </c>
      <c r="H724" s="64">
        <f>23.5151* CHOOSE(CONTROL!$C$22, $C$13, 100%, $E$13)</f>
        <v>23.5151</v>
      </c>
      <c r="I724" s="64">
        <f>23.5152 * CHOOSE(CONTROL!$C$22, $C$13, 100%, $E$13)</f>
        <v>23.5152</v>
      </c>
      <c r="J724" s="64">
        <f>13.5964 * CHOOSE(CONTROL!$C$22, $C$13, 100%, $E$13)</f>
        <v>13.596399999999999</v>
      </c>
      <c r="K724" s="64">
        <f>13.5964 * CHOOSE(CONTROL!$C$22, $C$13, 100%, $E$13)</f>
        <v>13.596399999999999</v>
      </c>
    </row>
    <row r="725" spans="1:11" ht="15">
      <c r="A725" s="13">
        <v>63555</v>
      </c>
      <c r="B725" s="63">
        <f>11.9586 * CHOOSE(CONTROL!$C$22, $C$13, 100%, $E$13)</f>
        <v>11.958600000000001</v>
      </c>
      <c r="C725" s="63">
        <f>11.9586 * CHOOSE(CONTROL!$C$22, $C$13, 100%, $E$13)</f>
        <v>11.958600000000001</v>
      </c>
      <c r="D725" s="63">
        <f>11.9586 * CHOOSE(CONTROL!$C$22, $C$13, 100%, $E$13)</f>
        <v>11.958600000000001</v>
      </c>
      <c r="E725" s="64">
        <f>13.7204 * CHOOSE(CONTROL!$C$22, $C$13, 100%, $E$13)</f>
        <v>13.7204</v>
      </c>
      <c r="F725" s="64">
        <f>13.7204 * CHOOSE(CONTROL!$C$22, $C$13, 100%, $E$13)</f>
        <v>13.7204</v>
      </c>
      <c r="G725" s="64">
        <f>13.7205 * CHOOSE(CONTROL!$C$22, $C$13, 100%, $E$13)</f>
        <v>13.720499999999999</v>
      </c>
      <c r="H725" s="64">
        <f>23.4288* CHOOSE(CONTROL!$C$22, $C$13, 100%, $E$13)</f>
        <v>23.428799999999999</v>
      </c>
      <c r="I725" s="64">
        <f>23.4289 * CHOOSE(CONTROL!$C$22, $C$13, 100%, $E$13)</f>
        <v>23.428899999999999</v>
      </c>
      <c r="J725" s="64">
        <f>13.7204 * CHOOSE(CONTROL!$C$22, $C$13, 100%, $E$13)</f>
        <v>13.7204</v>
      </c>
      <c r="K725" s="64">
        <f>13.7205 * CHOOSE(CONTROL!$C$22, $C$13, 100%, $E$13)</f>
        <v>13.720499999999999</v>
      </c>
    </row>
    <row r="726" spans="1:11" ht="15">
      <c r="A726" s="13">
        <v>63586</v>
      </c>
      <c r="B726" s="63">
        <f>11.9556 * CHOOSE(CONTROL!$C$22, $C$13, 100%, $E$13)</f>
        <v>11.9556</v>
      </c>
      <c r="C726" s="63">
        <f>11.9556 * CHOOSE(CONTROL!$C$22, $C$13, 100%, $E$13)</f>
        <v>11.9556</v>
      </c>
      <c r="D726" s="63">
        <f>11.9556 * CHOOSE(CONTROL!$C$22, $C$13, 100%, $E$13)</f>
        <v>11.9556</v>
      </c>
      <c r="E726" s="64">
        <f>13.4782 * CHOOSE(CONTROL!$C$22, $C$13, 100%, $E$13)</f>
        <v>13.478199999999999</v>
      </c>
      <c r="F726" s="64">
        <f>13.4782 * CHOOSE(CONTROL!$C$22, $C$13, 100%, $E$13)</f>
        <v>13.478199999999999</v>
      </c>
      <c r="G726" s="64">
        <f>13.4782 * CHOOSE(CONTROL!$C$22, $C$13, 100%, $E$13)</f>
        <v>13.478199999999999</v>
      </c>
      <c r="H726" s="64">
        <f>23.4776* CHOOSE(CONTROL!$C$22, $C$13, 100%, $E$13)</f>
        <v>23.477599999999999</v>
      </c>
      <c r="I726" s="64">
        <f>23.4777 * CHOOSE(CONTROL!$C$22, $C$13, 100%, $E$13)</f>
        <v>23.477699999999999</v>
      </c>
      <c r="J726" s="64">
        <f>13.4782 * CHOOSE(CONTROL!$C$22, $C$13, 100%, $E$13)</f>
        <v>13.478199999999999</v>
      </c>
      <c r="K726" s="64">
        <f>13.4782 * CHOOSE(CONTROL!$C$22, $C$13, 100%, $E$13)</f>
        <v>13.478199999999999</v>
      </c>
    </row>
    <row r="727" spans="1:11" ht="15">
      <c r="A727" s="13">
        <v>63614</v>
      </c>
      <c r="B727" s="63">
        <f>11.9525 * CHOOSE(CONTROL!$C$22, $C$13, 100%, $E$13)</f>
        <v>11.952500000000001</v>
      </c>
      <c r="C727" s="63">
        <f>11.9525 * CHOOSE(CONTROL!$C$22, $C$13, 100%, $E$13)</f>
        <v>11.952500000000001</v>
      </c>
      <c r="D727" s="63">
        <f>11.9525 * CHOOSE(CONTROL!$C$22, $C$13, 100%, $E$13)</f>
        <v>11.952500000000001</v>
      </c>
      <c r="E727" s="64">
        <f>13.6654 * CHOOSE(CONTROL!$C$22, $C$13, 100%, $E$13)</f>
        <v>13.6654</v>
      </c>
      <c r="F727" s="64">
        <f>13.6654 * CHOOSE(CONTROL!$C$22, $C$13, 100%, $E$13)</f>
        <v>13.6654</v>
      </c>
      <c r="G727" s="64">
        <f>13.6655 * CHOOSE(CONTROL!$C$22, $C$13, 100%, $E$13)</f>
        <v>13.6655</v>
      </c>
      <c r="H727" s="64">
        <f>23.5265* CHOOSE(CONTROL!$C$22, $C$13, 100%, $E$13)</f>
        <v>23.526499999999999</v>
      </c>
      <c r="I727" s="64">
        <f>23.5266 * CHOOSE(CONTROL!$C$22, $C$13, 100%, $E$13)</f>
        <v>23.526599999999998</v>
      </c>
      <c r="J727" s="64">
        <f>13.6654 * CHOOSE(CONTROL!$C$22, $C$13, 100%, $E$13)</f>
        <v>13.6654</v>
      </c>
      <c r="K727" s="64">
        <f>13.6655 * CHOOSE(CONTROL!$C$22, $C$13, 100%, $E$13)</f>
        <v>13.6655</v>
      </c>
    </row>
    <row r="728" spans="1:11" ht="15">
      <c r="A728" s="13">
        <v>63645</v>
      </c>
      <c r="B728" s="63">
        <f>11.9569 * CHOOSE(CONTROL!$C$22, $C$13, 100%, $E$13)</f>
        <v>11.956899999999999</v>
      </c>
      <c r="C728" s="63">
        <f>11.9569 * CHOOSE(CONTROL!$C$22, $C$13, 100%, $E$13)</f>
        <v>11.956899999999999</v>
      </c>
      <c r="D728" s="63">
        <f>11.9569 * CHOOSE(CONTROL!$C$22, $C$13, 100%, $E$13)</f>
        <v>11.956899999999999</v>
      </c>
      <c r="E728" s="64">
        <f>13.8645 * CHOOSE(CONTROL!$C$22, $C$13, 100%, $E$13)</f>
        <v>13.8645</v>
      </c>
      <c r="F728" s="64">
        <f>13.8645 * CHOOSE(CONTROL!$C$22, $C$13, 100%, $E$13)</f>
        <v>13.8645</v>
      </c>
      <c r="G728" s="64">
        <f>13.8645 * CHOOSE(CONTROL!$C$22, $C$13, 100%, $E$13)</f>
        <v>13.8645</v>
      </c>
      <c r="H728" s="64">
        <f>23.5755* CHOOSE(CONTROL!$C$22, $C$13, 100%, $E$13)</f>
        <v>23.575500000000002</v>
      </c>
      <c r="I728" s="64">
        <f>23.5756 * CHOOSE(CONTROL!$C$22, $C$13, 100%, $E$13)</f>
        <v>23.575600000000001</v>
      </c>
      <c r="J728" s="64">
        <f>13.8645 * CHOOSE(CONTROL!$C$22, $C$13, 100%, $E$13)</f>
        <v>13.8645</v>
      </c>
      <c r="K728" s="64">
        <f>13.8645 * CHOOSE(CONTROL!$C$22, $C$13, 100%, $E$13)</f>
        <v>13.8645</v>
      </c>
    </row>
    <row r="729" spans="1:11" ht="15">
      <c r="A729" s="13">
        <v>63675</v>
      </c>
      <c r="B729" s="63">
        <f>11.9569 * CHOOSE(CONTROL!$C$22, $C$13, 100%, $E$13)</f>
        <v>11.956899999999999</v>
      </c>
      <c r="C729" s="63">
        <f>11.9569 * CHOOSE(CONTROL!$C$22, $C$13, 100%, $E$13)</f>
        <v>11.956899999999999</v>
      </c>
      <c r="D729" s="63">
        <f>11.9653 * CHOOSE(CONTROL!$C$22, $C$13, 100%, $E$13)</f>
        <v>11.965299999999999</v>
      </c>
      <c r="E729" s="64">
        <f>13.9407 * CHOOSE(CONTROL!$C$22, $C$13, 100%, $E$13)</f>
        <v>13.9407</v>
      </c>
      <c r="F729" s="64">
        <f>13.9407 * CHOOSE(CONTROL!$C$22, $C$13, 100%, $E$13)</f>
        <v>13.9407</v>
      </c>
      <c r="G729" s="64">
        <f>13.9509 * CHOOSE(CONTROL!$C$22, $C$13, 100%, $E$13)</f>
        <v>13.950900000000001</v>
      </c>
      <c r="H729" s="64">
        <f>23.6246* CHOOSE(CONTROL!$C$22, $C$13, 100%, $E$13)</f>
        <v>23.624600000000001</v>
      </c>
      <c r="I729" s="64">
        <f>23.6349 * CHOOSE(CONTROL!$C$22, $C$13, 100%, $E$13)</f>
        <v>23.634899999999998</v>
      </c>
      <c r="J729" s="64">
        <f>13.9407 * CHOOSE(CONTROL!$C$22, $C$13, 100%, $E$13)</f>
        <v>13.9407</v>
      </c>
      <c r="K729" s="64">
        <f>13.9509 * CHOOSE(CONTROL!$C$22, $C$13, 100%, $E$13)</f>
        <v>13.950900000000001</v>
      </c>
    </row>
    <row r="730" spans="1:11" ht="15">
      <c r="A730" s="13">
        <v>63706</v>
      </c>
      <c r="B730" s="63">
        <f>11.9629 * CHOOSE(CONTROL!$C$22, $C$13, 100%, $E$13)</f>
        <v>11.962899999999999</v>
      </c>
      <c r="C730" s="63">
        <f>11.9629 * CHOOSE(CONTROL!$C$22, $C$13, 100%, $E$13)</f>
        <v>11.962899999999999</v>
      </c>
      <c r="D730" s="63">
        <f>11.9714 * CHOOSE(CONTROL!$C$22, $C$13, 100%, $E$13)</f>
        <v>11.971399999999999</v>
      </c>
      <c r="E730" s="64">
        <f>13.8687 * CHOOSE(CONTROL!$C$22, $C$13, 100%, $E$13)</f>
        <v>13.8687</v>
      </c>
      <c r="F730" s="64">
        <f>13.8687 * CHOOSE(CONTROL!$C$22, $C$13, 100%, $E$13)</f>
        <v>13.8687</v>
      </c>
      <c r="G730" s="64">
        <f>13.8789 * CHOOSE(CONTROL!$C$22, $C$13, 100%, $E$13)</f>
        <v>13.8789</v>
      </c>
      <c r="H730" s="64">
        <f>23.6739* CHOOSE(CONTROL!$C$22, $C$13, 100%, $E$13)</f>
        <v>23.6739</v>
      </c>
      <c r="I730" s="64">
        <f>23.6841 * CHOOSE(CONTROL!$C$22, $C$13, 100%, $E$13)</f>
        <v>23.684100000000001</v>
      </c>
      <c r="J730" s="64">
        <f>13.8687 * CHOOSE(CONTROL!$C$22, $C$13, 100%, $E$13)</f>
        <v>13.8687</v>
      </c>
      <c r="K730" s="64">
        <f>13.8789 * CHOOSE(CONTROL!$C$22, $C$13, 100%, $E$13)</f>
        <v>13.8789</v>
      </c>
    </row>
    <row r="731" spans="1:11" ht="15">
      <c r="A731" s="13">
        <v>63736</v>
      </c>
      <c r="B731" s="63">
        <f>12.1458 * CHOOSE(CONTROL!$C$22, $C$13, 100%, $E$13)</f>
        <v>12.145799999999999</v>
      </c>
      <c r="C731" s="63">
        <f>12.1458 * CHOOSE(CONTROL!$C$22, $C$13, 100%, $E$13)</f>
        <v>12.145799999999999</v>
      </c>
      <c r="D731" s="63">
        <f>12.1542 * CHOOSE(CONTROL!$C$22, $C$13, 100%, $E$13)</f>
        <v>12.154199999999999</v>
      </c>
      <c r="E731" s="64">
        <f>14.0909 * CHOOSE(CONTROL!$C$22, $C$13, 100%, $E$13)</f>
        <v>14.0909</v>
      </c>
      <c r="F731" s="64">
        <f>14.0909 * CHOOSE(CONTROL!$C$22, $C$13, 100%, $E$13)</f>
        <v>14.0909</v>
      </c>
      <c r="G731" s="64">
        <f>14.1011 * CHOOSE(CONTROL!$C$22, $C$13, 100%, $E$13)</f>
        <v>14.101100000000001</v>
      </c>
      <c r="H731" s="64">
        <f>23.7232* CHOOSE(CONTROL!$C$22, $C$13, 100%, $E$13)</f>
        <v>23.723199999999999</v>
      </c>
      <c r="I731" s="64">
        <f>23.7334 * CHOOSE(CONTROL!$C$22, $C$13, 100%, $E$13)</f>
        <v>23.7334</v>
      </c>
      <c r="J731" s="64">
        <f>14.0909 * CHOOSE(CONTROL!$C$22, $C$13, 100%, $E$13)</f>
        <v>14.0909</v>
      </c>
      <c r="K731" s="64">
        <f>14.1011 * CHOOSE(CONTROL!$C$22, $C$13, 100%, $E$13)</f>
        <v>14.101100000000001</v>
      </c>
    </row>
    <row r="732" spans="1:11" ht="15">
      <c r="A732" s="13">
        <v>63767</v>
      </c>
      <c r="B732" s="63">
        <f>12.1525 * CHOOSE(CONTROL!$C$22, $C$13, 100%, $E$13)</f>
        <v>12.1525</v>
      </c>
      <c r="C732" s="63">
        <f>12.1525 * CHOOSE(CONTROL!$C$22, $C$13, 100%, $E$13)</f>
        <v>12.1525</v>
      </c>
      <c r="D732" s="63">
        <f>12.1609 * CHOOSE(CONTROL!$C$22, $C$13, 100%, $E$13)</f>
        <v>12.1609</v>
      </c>
      <c r="E732" s="64">
        <f>13.8668 * CHOOSE(CONTROL!$C$22, $C$13, 100%, $E$13)</f>
        <v>13.8668</v>
      </c>
      <c r="F732" s="64">
        <f>13.8668 * CHOOSE(CONTROL!$C$22, $C$13, 100%, $E$13)</f>
        <v>13.8668</v>
      </c>
      <c r="G732" s="64">
        <f>13.8771 * CHOOSE(CONTROL!$C$22, $C$13, 100%, $E$13)</f>
        <v>13.8771</v>
      </c>
      <c r="H732" s="64">
        <f>23.7726* CHOOSE(CONTROL!$C$22, $C$13, 100%, $E$13)</f>
        <v>23.772600000000001</v>
      </c>
      <c r="I732" s="64">
        <f>23.7828 * CHOOSE(CONTROL!$C$22, $C$13, 100%, $E$13)</f>
        <v>23.782800000000002</v>
      </c>
      <c r="J732" s="64">
        <f>13.8668 * CHOOSE(CONTROL!$C$22, $C$13, 100%, $E$13)</f>
        <v>13.8668</v>
      </c>
      <c r="K732" s="64">
        <f>13.8771 * CHOOSE(CONTROL!$C$22, $C$13, 100%, $E$13)</f>
        <v>13.8771</v>
      </c>
    </row>
    <row r="733" spans="1:11" ht="15">
      <c r="A733" s="13">
        <v>63798</v>
      </c>
      <c r="B733" s="63">
        <f>12.1495 * CHOOSE(CONTROL!$C$22, $C$13, 100%, $E$13)</f>
        <v>12.1495</v>
      </c>
      <c r="C733" s="63">
        <f>12.1495 * CHOOSE(CONTROL!$C$22, $C$13, 100%, $E$13)</f>
        <v>12.1495</v>
      </c>
      <c r="D733" s="63">
        <f>12.1579 * CHOOSE(CONTROL!$C$22, $C$13, 100%, $E$13)</f>
        <v>12.1579</v>
      </c>
      <c r="E733" s="64">
        <f>13.8393 * CHOOSE(CONTROL!$C$22, $C$13, 100%, $E$13)</f>
        <v>13.8393</v>
      </c>
      <c r="F733" s="64">
        <f>13.8393 * CHOOSE(CONTROL!$C$22, $C$13, 100%, $E$13)</f>
        <v>13.8393</v>
      </c>
      <c r="G733" s="64">
        <f>13.8495 * CHOOSE(CONTROL!$C$22, $C$13, 100%, $E$13)</f>
        <v>13.849500000000001</v>
      </c>
      <c r="H733" s="64">
        <f>23.8221* CHOOSE(CONTROL!$C$22, $C$13, 100%, $E$13)</f>
        <v>23.822099999999999</v>
      </c>
      <c r="I733" s="64">
        <f>23.8323 * CHOOSE(CONTROL!$C$22, $C$13, 100%, $E$13)</f>
        <v>23.8323</v>
      </c>
      <c r="J733" s="64">
        <f>13.8393 * CHOOSE(CONTROL!$C$22, $C$13, 100%, $E$13)</f>
        <v>13.8393</v>
      </c>
      <c r="K733" s="64">
        <f>13.8495 * CHOOSE(CONTROL!$C$22, $C$13, 100%, $E$13)</f>
        <v>13.849500000000001</v>
      </c>
    </row>
    <row r="734" spans="1:11" ht="15">
      <c r="A734" s="13">
        <v>63828</v>
      </c>
      <c r="B734" s="63">
        <f>12.1708 * CHOOSE(CONTROL!$C$22, $C$13, 100%, $E$13)</f>
        <v>12.1708</v>
      </c>
      <c r="C734" s="63">
        <f>12.1708 * CHOOSE(CONTROL!$C$22, $C$13, 100%, $E$13)</f>
        <v>12.1708</v>
      </c>
      <c r="D734" s="63">
        <f>12.1708 * CHOOSE(CONTROL!$C$22, $C$13, 100%, $E$13)</f>
        <v>12.1708</v>
      </c>
      <c r="E734" s="64">
        <f>13.9276 * CHOOSE(CONTROL!$C$22, $C$13, 100%, $E$13)</f>
        <v>13.9276</v>
      </c>
      <c r="F734" s="64">
        <f>13.9276 * CHOOSE(CONTROL!$C$22, $C$13, 100%, $E$13)</f>
        <v>13.9276</v>
      </c>
      <c r="G734" s="64">
        <f>13.9276 * CHOOSE(CONTROL!$C$22, $C$13, 100%, $E$13)</f>
        <v>13.9276</v>
      </c>
      <c r="H734" s="64">
        <f>23.8718* CHOOSE(CONTROL!$C$22, $C$13, 100%, $E$13)</f>
        <v>23.8718</v>
      </c>
      <c r="I734" s="64">
        <f>23.8718 * CHOOSE(CONTROL!$C$22, $C$13, 100%, $E$13)</f>
        <v>23.8718</v>
      </c>
      <c r="J734" s="64">
        <f>13.9276 * CHOOSE(CONTROL!$C$22, $C$13, 100%, $E$13)</f>
        <v>13.9276</v>
      </c>
      <c r="K734" s="64">
        <f>13.9276 * CHOOSE(CONTROL!$C$22, $C$13, 100%, $E$13)</f>
        <v>13.9276</v>
      </c>
    </row>
    <row r="735" spans="1:11" ht="15">
      <c r="A735" s="13">
        <v>63859</v>
      </c>
      <c r="B735" s="63">
        <f>12.1739 * CHOOSE(CONTROL!$C$22, $C$13, 100%, $E$13)</f>
        <v>12.1739</v>
      </c>
      <c r="C735" s="63">
        <f>12.1739 * CHOOSE(CONTROL!$C$22, $C$13, 100%, $E$13)</f>
        <v>12.1739</v>
      </c>
      <c r="D735" s="63">
        <f>12.1739 * CHOOSE(CONTROL!$C$22, $C$13, 100%, $E$13)</f>
        <v>12.1739</v>
      </c>
      <c r="E735" s="64">
        <f>13.9805 * CHOOSE(CONTROL!$C$22, $C$13, 100%, $E$13)</f>
        <v>13.980499999999999</v>
      </c>
      <c r="F735" s="64">
        <f>13.9805 * CHOOSE(CONTROL!$C$22, $C$13, 100%, $E$13)</f>
        <v>13.980499999999999</v>
      </c>
      <c r="G735" s="64">
        <f>13.9806 * CHOOSE(CONTROL!$C$22, $C$13, 100%, $E$13)</f>
        <v>13.980600000000001</v>
      </c>
      <c r="H735" s="64">
        <f>23.9215* CHOOSE(CONTROL!$C$22, $C$13, 100%, $E$13)</f>
        <v>23.921500000000002</v>
      </c>
      <c r="I735" s="64">
        <f>23.9216 * CHOOSE(CONTROL!$C$22, $C$13, 100%, $E$13)</f>
        <v>23.921600000000002</v>
      </c>
      <c r="J735" s="64">
        <f>13.9805 * CHOOSE(CONTROL!$C$22, $C$13, 100%, $E$13)</f>
        <v>13.980499999999999</v>
      </c>
      <c r="K735" s="64">
        <f>13.9806 * CHOOSE(CONTROL!$C$22, $C$13, 100%, $E$13)</f>
        <v>13.980600000000001</v>
      </c>
    </row>
    <row r="736" spans="1:11" ht="15">
      <c r="A736" s="13">
        <v>63889</v>
      </c>
      <c r="B736" s="63">
        <f>12.1739 * CHOOSE(CONTROL!$C$22, $C$13, 100%, $E$13)</f>
        <v>12.1739</v>
      </c>
      <c r="C736" s="63">
        <f>12.1739 * CHOOSE(CONTROL!$C$22, $C$13, 100%, $E$13)</f>
        <v>12.1739</v>
      </c>
      <c r="D736" s="63">
        <f>12.1739 * CHOOSE(CONTROL!$C$22, $C$13, 100%, $E$13)</f>
        <v>12.1739</v>
      </c>
      <c r="E736" s="64">
        <f>13.8534 * CHOOSE(CONTROL!$C$22, $C$13, 100%, $E$13)</f>
        <v>13.853400000000001</v>
      </c>
      <c r="F736" s="64">
        <f>13.8534 * CHOOSE(CONTROL!$C$22, $C$13, 100%, $E$13)</f>
        <v>13.853400000000001</v>
      </c>
      <c r="G736" s="64">
        <f>13.8535 * CHOOSE(CONTROL!$C$22, $C$13, 100%, $E$13)</f>
        <v>13.8535</v>
      </c>
      <c r="H736" s="64">
        <f>23.9713* CHOOSE(CONTROL!$C$22, $C$13, 100%, $E$13)</f>
        <v>23.971299999999999</v>
      </c>
      <c r="I736" s="64">
        <f>23.9714 * CHOOSE(CONTROL!$C$22, $C$13, 100%, $E$13)</f>
        <v>23.971399999999999</v>
      </c>
      <c r="J736" s="64">
        <f>13.8534 * CHOOSE(CONTROL!$C$22, $C$13, 100%, $E$13)</f>
        <v>13.853400000000001</v>
      </c>
      <c r="K736" s="64">
        <f>13.8535 * CHOOSE(CONTROL!$C$22, $C$13, 100%, $E$13)</f>
        <v>13.8535</v>
      </c>
    </row>
    <row r="737" spans="1:11" ht="15">
      <c r="A737" s="13">
        <v>63920</v>
      </c>
      <c r="B737" s="63">
        <f>12.1942 * CHOOSE(CONTROL!$C$22, $C$13, 100%, $E$13)</f>
        <v>12.1942</v>
      </c>
      <c r="C737" s="63">
        <f>12.1942 * CHOOSE(CONTROL!$C$22, $C$13, 100%, $E$13)</f>
        <v>12.1942</v>
      </c>
      <c r="D737" s="63">
        <f>12.1942 * CHOOSE(CONTROL!$C$22, $C$13, 100%, $E$13)</f>
        <v>12.1942</v>
      </c>
      <c r="E737" s="64">
        <f>13.9752 * CHOOSE(CONTROL!$C$22, $C$13, 100%, $E$13)</f>
        <v>13.975199999999999</v>
      </c>
      <c r="F737" s="64">
        <f>13.9752 * CHOOSE(CONTROL!$C$22, $C$13, 100%, $E$13)</f>
        <v>13.975199999999999</v>
      </c>
      <c r="G737" s="64">
        <f>13.9752 * CHOOSE(CONTROL!$C$22, $C$13, 100%, $E$13)</f>
        <v>13.975199999999999</v>
      </c>
      <c r="H737" s="64">
        <f>23.8747* CHOOSE(CONTROL!$C$22, $C$13, 100%, $E$13)</f>
        <v>23.874700000000001</v>
      </c>
      <c r="I737" s="64">
        <f>23.8748 * CHOOSE(CONTROL!$C$22, $C$13, 100%, $E$13)</f>
        <v>23.8748</v>
      </c>
      <c r="J737" s="64">
        <f>13.9752 * CHOOSE(CONTROL!$C$22, $C$13, 100%, $E$13)</f>
        <v>13.975199999999999</v>
      </c>
      <c r="K737" s="64">
        <f>13.9752 * CHOOSE(CONTROL!$C$22, $C$13, 100%, $E$13)</f>
        <v>13.975199999999999</v>
      </c>
    </row>
    <row r="738" spans="1:11" ht="15">
      <c r="A738" s="13">
        <v>63951</v>
      </c>
      <c r="B738" s="63">
        <f>12.1911 * CHOOSE(CONTROL!$C$22, $C$13, 100%, $E$13)</f>
        <v>12.1911</v>
      </c>
      <c r="C738" s="63">
        <f>12.1911 * CHOOSE(CONTROL!$C$22, $C$13, 100%, $E$13)</f>
        <v>12.1911</v>
      </c>
      <c r="D738" s="63">
        <f>12.1911 * CHOOSE(CONTROL!$C$22, $C$13, 100%, $E$13)</f>
        <v>12.1911</v>
      </c>
      <c r="E738" s="64">
        <f>13.728 * CHOOSE(CONTROL!$C$22, $C$13, 100%, $E$13)</f>
        <v>13.728</v>
      </c>
      <c r="F738" s="64">
        <f>13.728 * CHOOSE(CONTROL!$C$22, $C$13, 100%, $E$13)</f>
        <v>13.728</v>
      </c>
      <c r="G738" s="64">
        <f>13.728 * CHOOSE(CONTROL!$C$22, $C$13, 100%, $E$13)</f>
        <v>13.728</v>
      </c>
      <c r="H738" s="64">
        <f>23.9244* CHOOSE(CONTROL!$C$22, $C$13, 100%, $E$13)</f>
        <v>23.924399999999999</v>
      </c>
      <c r="I738" s="64">
        <f>23.9245 * CHOOSE(CONTROL!$C$22, $C$13, 100%, $E$13)</f>
        <v>23.924499999999998</v>
      </c>
      <c r="J738" s="64">
        <f>13.728 * CHOOSE(CONTROL!$C$22, $C$13, 100%, $E$13)</f>
        <v>13.728</v>
      </c>
      <c r="K738" s="64">
        <f>13.728 * CHOOSE(CONTROL!$C$22, $C$13, 100%, $E$13)</f>
        <v>13.728</v>
      </c>
    </row>
    <row r="739" spans="1:11" ht="15">
      <c r="A739" s="13">
        <v>63979</v>
      </c>
      <c r="B739" s="63">
        <f>12.1881 * CHOOSE(CONTROL!$C$22, $C$13, 100%, $E$13)</f>
        <v>12.1881</v>
      </c>
      <c r="C739" s="63">
        <f>12.1881 * CHOOSE(CONTROL!$C$22, $C$13, 100%, $E$13)</f>
        <v>12.1881</v>
      </c>
      <c r="D739" s="63">
        <f>12.1881 * CHOOSE(CONTROL!$C$22, $C$13, 100%, $E$13)</f>
        <v>12.1881</v>
      </c>
      <c r="E739" s="64">
        <f>13.9191 * CHOOSE(CONTROL!$C$22, $C$13, 100%, $E$13)</f>
        <v>13.9191</v>
      </c>
      <c r="F739" s="64">
        <f>13.9191 * CHOOSE(CONTROL!$C$22, $C$13, 100%, $E$13)</f>
        <v>13.9191</v>
      </c>
      <c r="G739" s="64">
        <f>13.9191 * CHOOSE(CONTROL!$C$22, $C$13, 100%, $E$13)</f>
        <v>13.9191</v>
      </c>
      <c r="H739" s="64">
        <f>23.9743* CHOOSE(CONTROL!$C$22, $C$13, 100%, $E$13)</f>
        <v>23.974299999999999</v>
      </c>
      <c r="I739" s="64">
        <f>23.9743 * CHOOSE(CONTROL!$C$22, $C$13, 100%, $E$13)</f>
        <v>23.974299999999999</v>
      </c>
      <c r="J739" s="64">
        <f>13.9191 * CHOOSE(CONTROL!$C$22, $C$13, 100%, $E$13)</f>
        <v>13.9191</v>
      </c>
      <c r="K739" s="64">
        <f>13.9191 * CHOOSE(CONTROL!$C$22, $C$13, 100%, $E$13)</f>
        <v>13.9191</v>
      </c>
    </row>
    <row r="740" spans="1:11" ht="15">
      <c r="A740" s="13">
        <v>64010</v>
      </c>
      <c r="B740" s="63">
        <f>12.1926 * CHOOSE(CONTROL!$C$22, $C$13, 100%, $E$13)</f>
        <v>12.192600000000001</v>
      </c>
      <c r="C740" s="63">
        <f>12.1926 * CHOOSE(CONTROL!$C$22, $C$13, 100%, $E$13)</f>
        <v>12.192600000000001</v>
      </c>
      <c r="D740" s="63">
        <f>12.1926 * CHOOSE(CONTROL!$C$22, $C$13, 100%, $E$13)</f>
        <v>12.192600000000001</v>
      </c>
      <c r="E740" s="64">
        <f>14.1223 * CHOOSE(CONTROL!$C$22, $C$13, 100%, $E$13)</f>
        <v>14.122299999999999</v>
      </c>
      <c r="F740" s="64">
        <f>14.1223 * CHOOSE(CONTROL!$C$22, $C$13, 100%, $E$13)</f>
        <v>14.122299999999999</v>
      </c>
      <c r="G740" s="64">
        <f>14.1224 * CHOOSE(CONTROL!$C$22, $C$13, 100%, $E$13)</f>
        <v>14.122400000000001</v>
      </c>
      <c r="H740" s="64">
        <f>24.0242* CHOOSE(CONTROL!$C$22, $C$13, 100%, $E$13)</f>
        <v>24.0242</v>
      </c>
      <c r="I740" s="64">
        <f>24.0243 * CHOOSE(CONTROL!$C$22, $C$13, 100%, $E$13)</f>
        <v>24.0243</v>
      </c>
      <c r="J740" s="64">
        <f>14.1223 * CHOOSE(CONTROL!$C$22, $C$13, 100%, $E$13)</f>
        <v>14.122299999999999</v>
      </c>
      <c r="K740" s="64">
        <f>14.1224 * CHOOSE(CONTROL!$C$22, $C$13, 100%, $E$13)</f>
        <v>14.122400000000001</v>
      </c>
    </row>
    <row r="741" spans="1:11" ht="15">
      <c r="A741" s="13">
        <v>64040</v>
      </c>
      <c r="B741" s="63">
        <f>12.1926 * CHOOSE(CONTROL!$C$22, $C$13, 100%, $E$13)</f>
        <v>12.192600000000001</v>
      </c>
      <c r="C741" s="63">
        <f>12.1926 * CHOOSE(CONTROL!$C$22, $C$13, 100%, $E$13)</f>
        <v>12.192600000000001</v>
      </c>
      <c r="D741" s="63">
        <f>12.2011 * CHOOSE(CONTROL!$C$22, $C$13, 100%, $E$13)</f>
        <v>12.2011</v>
      </c>
      <c r="E741" s="64">
        <f>14.2001 * CHOOSE(CONTROL!$C$22, $C$13, 100%, $E$13)</f>
        <v>14.200100000000001</v>
      </c>
      <c r="F741" s="64">
        <f>14.2001 * CHOOSE(CONTROL!$C$22, $C$13, 100%, $E$13)</f>
        <v>14.200100000000001</v>
      </c>
      <c r="G741" s="64">
        <f>14.2104 * CHOOSE(CONTROL!$C$22, $C$13, 100%, $E$13)</f>
        <v>14.2104</v>
      </c>
      <c r="H741" s="64">
        <f>24.0743* CHOOSE(CONTROL!$C$22, $C$13, 100%, $E$13)</f>
        <v>24.074300000000001</v>
      </c>
      <c r="I741" s="64">
        <f>24.0845 * CHOOSE(CONTROL!$C$22, $C$13, 100%, $E$13)</f>
        <v>24.084499999999998</v>
      </c>
      <c r="J741" s="64">
        <f>14.2001 * CHOOSE(CONTROL!$C$22, $C$13, 100%, $E$13)</f>
        <v>14.200100000000001</v>
      </c>
      <c r="K741" s="64">
        <f>14.2104 * CHOOSE(CONTROL!$C$22, $C$13, 100%, $E$13)</f>
        <v>14.2104</v>
      </c>
    </row>
    <row r="742" spans="1:11" ht="15">
      <c r="A742" s="13">
        <v>64071</v>
      </c>
      <c r="B742" s="63">
        <f>12.1987 * CHOOSE(CONTROL!$C$22, $C$13, 100%, $E$13)</f>
        <v>12.198700000000001</v>
      </c>
      <c r="C742" s="63">
        <f>12.1987 * CHOOSE(CONTROL!$C$22, $C$13, 100%, $E$13)</f>
        <v>12.198700000000001</v>
      </c>
      <c r="D742" s="63">
        <f>12.2071 * CHOOSE(CONTROL!$C$22, $C$13, 100%, $E$13)</f>
        <v>12.207100000000001</v>
      </c>
      <c r="E742" s="64">
        <f>14.1266 * CHOOSE(CONTROL!$C$22, $C$13, 100%, $E$13)</f>
        <v>14.1266</v>
      </c>
      <c r="F742" s="64">
        <f>14.1266 * CHOOSE(CONTROL!$C$22, $C$13, 100%, $E$13)</f>
        <v>14.1266</v>
      </c>
      <c r="G742" s="64">
        <f>14.1368 * CHOOSE(CONTROL!$C$22, $C$13, 100%, $E$13)</f>
        <v>14.136799999999999</v>
      </c>
      <c r="H742" s="64">
        <f>24.1244* CHOOSE(CONTROL!$C$22, $C$13, 100%, $E$13)</f>
        <v>24.124400000000001</v>
      </c>
      <c r="I742" s="64">
        <f>24.1346 * CHOOSE(CONTROL!$C$22, $C$13, 100%, $E$13)</f>
        <v>24.134599999999999</v>
      </c>
      <c r="J742" s="64">
        <f>14.1266 * CHOOSE(CONTROL!$C$22, $C$13, 100%, $E$13)</f>
        <v>14.1266</v>
      </c>
      <c r="K742" s="64">
        <f>14.1368 * CHOOSE(CONTROL!$C$22, $C$13, 100%, $E$13)</f>
        <v>14.136799999999999</v>
      </c>
    </row>
    <row r="743" spans="1:11" ht="15">
      <c r="A743" s="13">
        <v>64101</v>
      </c>
      <c r="B743" s="63">
        <f>12.385 * CHOOSE(CONTROL!$C$22, $C$13, 100%, $E$13)</f>
        <v>12.385</v>
      </c>
      <c r="C743" s="63">
        <f>12.385 * CHOOSE(CONTROL!$C$22, $C$13, 100%, $E$13)</f>
        <v>12.385</v>
      </c>
      <c r="D743" s="63">
        <f>12.3934 * CHOOSE(CONTROL!$C$22, $C$13, 100%, $E$13)</f>
        <v>12.3934</v>
      </c>
      <c r="E743" s="64">
        <f>14.3527 * CHOOSE(CONTROL!$C$22, $C$13, 100%, $E$13)</f>
        <v>14.3527</v>
      </c>
      <c r="F743" s="64">
        <f>14.3527 * CHOOSE(CONTROL!$C$22, $C$13, 100%, $E$13)</f>
        <v>14.3527</v>
      </c>
      <c r="G743" s="64">
        <f>14.3629 * CHOOSE(CONTROL!$C$22, $C$13, 100%, $E$13)</f>
        <v>14.3629</v>
      </c>
      <c r="H743" s="64">
        <f>24.1747* CHOOSE(CONTROL!$C$22, $C$13, 100%, $E$13)</f>
        <v>24.174700000000001</v>
      </c>
      <c r="I743" s="64">
        <f>24.1849 * CHOOSE(CONTROL!$C$22, $C$13, 100%, $E$13)</f>
        <v>24.184899999999999</v>
      </c>
      <c r="J743" s="64">
        <f>14.3527 * CHOOSE(CONTROL!$C$22, $C$13, 100%, $E$13)</f>
        <v>14.3527</v>
      </c>
      <c r="K743" s="64">
        <f>14.3629 * CHOOSE(CONTROL!$C$22, $C$13, 100%, $E$13)</f>
        <v>14.3629</v>
      </c>
    </row>
    <row r="744" spans="1:11" ht="15">
      <c r="A744" s="13">
        <v>64132</v>
      </c>
      <c r="B744" s="63">
        <f>12.3917 * CHOOSE(CONTROL!$C$22, $C$13, 100%, $E$13)</f>
        <v>12.3917</v>
      </c>
      <c r="C744" s="63">
        <f>12.3917 * CHOOSE(CONTROL!$C$22, $C$13, 100%, $E$13)</f>
        <v>12.3917</v>
      </c>
      <c r="D744" s="63">
        <f>12.4001 * CHOOSE(CONTROL!$C$22, $C$13, 100%, $E$13)</f>
        <v>12.4001</v>
      </c>
      <c r="E744" s="64">
        <f>14.1239 * CHOOSE(CONTROL!$C$22, $C$13, 100%, $E$13)</f>
        <v>14.123900000000001</v>
      </c>
      <c r="F744" s="64">
        <f>14.1239 * CHOOSE(CONTROL!$C$22, $C$13, 100%, $E$13)</f>
        <v>14.123900000000001</v>
      </c>
      <c r="G744" s="64">
        <f>14.1341 * CHOOSE(CONTROL!$C$22, $C$13, 100%, $E$13)</f>
        <v>14.1341</v>
      </c>
      <c r="H744" s="64">
        <f>24.225* CHOOSE(CONTROL!$C$22, $C$13, 100%, $E$13)</f>
        <v>24.225000000000001</v>
      </c>
      <c r="I744" s="64">
        <f>24.2353 * CHOOSE(CONTROL!$C$22, $C$13, 100%, $E$13)</f>
        <v>24.235299999999999</v>
      </c>
      <c r="J744" s="64">
        <f>14.1239 * CHOOSE(CONTROL!$C$22, $C$13, 100%, $E$13)</f>
        <v>14.123900000000001</v>
      </c>
      <c r="K744" s="64">
        <f>14.1341 * CHOOSE(CONTROL!$C$22, $C$13, 100%, $E$13)</f>
        <v>14.1341</v>
      </c>
    </row>
    <row r="745" spans="1:11" ht="15">
      <c r="A745" s="13">
        <v>64163</v>
      </c>
      <c r="B745" s="63">
        <f>12.3886 * CHOOSE(CONTROL!$C$22, $C$13, 100%, $E$13)</f>
        <v>12.3886</v>
      </c>
      <c r="C745" s="63">
        <f>12.3886 * CHOOSE(CONTROL!$C$22, $C$13, 100%, $E$13)</f>
        <v>12.3886</v>
      </c>
      <c r="D745" s="63">
        <f>12.3971 * CHOOSE(CONTROL!$C$22, $C$13, 100%, $E$13)</f>
        <v>12.3971</v>
      </c>
      <c r="E745" s="64">
        <f>14.0959 * CHOOSE(CONTROL!$C$22, $C$13, 100%, $E$13)</f>
        <v>14.0959</v>
      </c>
      <c r="F745" s="64">
        <f>14.0959 * CHOOSE(CONTROL!$C$22, $C$13, 100%, $E$13)</f>
        <v>14.0959</v>
      </c>
      <c r="G745" s="64">
        <f>14.1061 * CHOOSE(CONTROL!$C$22, $C$13, 100%, $E$13)</f>
        <v>14.1061</v>
      </c>
      <c r="H745" s="64">
        <f>24.2755* CHOOSE(CONTROL!$C$22, $C$13, 100%, $E$13)</f>
        <v>24.275500000000001</v>
      </c>
      <c r="I745" s="64">
        <f>24.2857 * CHOOSE(CONTROL!$C$22, $C$13, 100%, $E$13)</f>
        <v>24.285699999999999</v>
      </c>
      <c r="J745" s="64">
        <f>14.0959 * CHOOSE(CONTROL!$C$22, $C$13, 100%, $E$13)</f>
        <v>14.0959</v>
      </c>
      <c r="K745" s="64">
        <f>14.1061 * CHOOSE(CONTROL!$C$22, $C$13, 100%, $E$13)</f>
        <v>14.1061</v>
      </c>
    </row>
    <row r="746" spans="1:11" ht="15">
      <c r="A746" s="13">
        <v>64193</v>
      </c>
      <c r="B746" s="63">
        <f>12.4108 * CHOOSE(CONTROL!$C$22, $C$13, 100%, $E$13)</f>
        <v>12.4108</v>
      </c>
      <c r="C746" s="63">
        <f>12.4108 * CHOOSE(CONTROL!$C$22, $C$13, 100%, $E$13)</f>
        <v>12.4108</v>
      </c>
      <c r="D746" s="63">
        <f>12.4108 * CHOOSE(CONTROL!$C$22, $C$13, 100%, $E$13)</f>
        <v>12.4108</v>
      </c>
      <c r="E746" s="64">
        <f>14.1862 * CHOOSE(CONTROL!$C$22, $C$13, 100%, $E$13)</f>
        <v>14.186199999999999</v>
      </c>
      <c r="F746" s="64">
        <f>14.1862 * CHOOSE(CONTROL!$C$22, $C$13, 100%, $E$13)</f>
        <v>14.186199999999999</v>
      </c>
      <c r="G746" s="64">
        <f>14.1863 * CHOOSE(CONTROL!$C$22, $C$13, 100%, $E$13)</f>
        <v>14.186299999999999</v>
      </c>
      <c r="H746" s="64">
        <f>24.3261* CHOOSE(CONTROL!$C$22, $C$13, 100%, $E$13)</f>
        <v>24.3261</v>
      </c>
      <c r="I746" s="64">
        <f>24.3262 * CHOOSE(CONTROL!$C$22, $C$13, 100%, $E$13)</f>
        <v>24.3262</v>
      </c>
      <c r="J746" s="64">
        <f>14.1862 * CHOOSE(CONTROL!$C$22, $C$13, 100%, $E$13)</f>
        <v>14.186199999999999</v>
      </c>
      <c r="K746" s="64">
        <f>14.1863 * CHOOSE(CONTROL!$C$22, $C$13, 100%, $E$13)</f>
        <v>14.186299999999999</v>
      </c>
    </row>
    <row r="747" spans="1:11" ht="15">
      <c r="A747" s="13">
        <v>64224</v>
      </c>
      <c r="B747" s="63">
        <f>12.4138 * CHOOSE(CONTROL!$C$22, $C$13, 100%, $E$13)</f>
        <v>12.4138</v>
      </c>
      <c r="C747" s="63">
        <f>12.4138 * CHOOSE(CONTROL!$C$22, $C$13, 100%, $E$13)</f>
        <v>12.4138</v>
      </c>
      <c r="D747" s="63">
        <f>12.4138 * CHOOSE(CONTROL!$C$22, $C$13, 100%, $E$13)</f>
        <v>12.4138</v>
      </c>
      <c r="E747" s="64">
        <f>14.2402 * CHOOSE(CONTROL!$C$22, $C$13, 100%, $E$13)</f>
        <v>14.2402</v>
      </c>
      <c r="F747" s="64">
        <f>14.2402 * CHOOSE(CONTROL!$C$22, $C$13, 100%, $E$13)</f>
        <v>14.2402</v>
      </c>
      <c r="G747" s="64">
        <f>14.2403 * CHOOSE(CONTROL!$C$22, $C$13, 100%, $E$13)</f>
        <v>14.2403</v>
      </c>
      <c r="H747" s="64">
        <f>24.3768* CHOOSE(CONTROL!$C$22, $C$13, 100%, $E$13)</f>
        <v>24.376799999999999</v>
      </c>
      <c r="I747" s="64">
        <f>24.3768 * CHOOSE(CONTROL!$C$22, $C$13, 100%, $E$13)</f>
        <v>24.376799999999999</v>
      </c>
      <c r="J747" s="64">
        <f>14.2402 * CHOOSE(CONTROL!$C$22, $C$13, 100%, $E$13)</f>
        <v>14.2402</v>
      </c>
      <c r="K747" s="64">
        <f>14.2403 * CHOOSE(CONTROL!$C$22, $C$13, 100%, $E$13)</f>
        <v>14.2403</v>
      </c>
    </row>
    <row r="748" spans="1:11" ht="15">
      <c r="A748" s="13">
        <v>64254</v>
      </c>
      <c r="B748" s="63">
        <f>12.4138 * CHOOSE(CONTROL!$C$22, $C$13, 100%, $E$13)</f>
        <v>12.4138</v>
      </c>
      <c r="C748" s="63">
        <f>12.4138 * CHOOSE(CONTROL!$C$22, $C$13, 100%, $E$13)</f>
        <v>12.4138</v>
      </c>
      <c r="D748" s="63">
        <f>12.4138 * CHOOSE(CONTROL!$C$22, $C$13, 100%, $E$13)</f>
        <v>12.4138</v>
      </c>
      <c r="E748" s="64">
        <f>14.1105 * CHOOSE(CONTROL!$C$22, $C$13, 100%, $E$13)</f>
        <v>14.1105</v>
      </c>
      <c r="F748" s="64">
        <f>14.1105 * CHOOSE(CONTROL!$C$22, $C$13, 100%, $E$13)</f>
        <v>14.1105</v>
      </c>
      <c r="G748" s="64">
        <f>14.1106 * CHOOSE(CONTROL!$C$22, $C$13, 100%, $E$13)</f>
        <v>14.1106</v>
      </c>
      <c r="H748" s="64">
        <f>24.4275* CHOOSE(CONTROL!$C$22, $C$13, 100%, $E$13)</f>
        <v>24.427499999999998</v>
      </c>
      <c r="I748" s="64">
        <f>24.4276 * CHOOSE(CONTROL!$C$22, $C$13, 100%, $E$13)</f>
        <v>24.427600000000002</v>
      </c>
      <c r="J748" s="64">
        <f>14.1105 * CHOOSE(CONTROL!$C$22, $C$13, 100%, $E$13)</f>
        <v>14.1105</v>
      </c>
      <c r="K748" s="64">
        <f>14.1106 * CHOOSE(CONTROL!$C$22, $C$13, 100%, $E$13)</f>
        <v>14.1106</v>
      </c>
    </row>
    <row r="749" spans="1:11" ht="15">
      <c r="A749" s="13">
        <v>64285</v>
      </c>
      <c r="B749" s="63">
        <f>12.4297 * CHOOSE(CONTROL!$C$22, $C$13, 100%, $E$13)</f>
        <v>12.4297</v>
      </c>
      <c r="C749" s="63">
        <f>12.4297 * CHOOSE(CONTROL!$C$22, $C$13, 100%, $E$13)</f>
        <v>12.4297</v>
      </c>
      <c r="D749" s="63">
        <f>12.4297 * CHOOSE(CONTROL!$C$22, $C$13, 100%, $E$13)</f>
        <v>12.4297</v>
      </c>
      <c r="E749" s="64">
        <f>14.2299 * CHOOSE(CONTROL!$C$22, $C$13, 100%, $E$13)</f>
        <v>14.229900000000001</v>
      </c>
      <c r="F749" s="64">
        <f>14.2299 * CHOOSE(CONTROL!$C$22, $C$13, 100%, $E$13)</f>
        <v>14.229900000000001</v>
      </c>
      <c r="G749" s="64">
        <f>14.23 * CHOOSE(CONTROL!$C$22, $C$13, 100%, $E$13)</f>
        <v>14.23</v>
      </c>
      <c r="H749" s="64">
        <f>24.3206* CHOOSE(CONTROL!$C$22, $C$13, 100%, $E$13)</f>
        <v>24.320599999999999</v>
      </c>
      <c r="I749" s="64">
        <f>24.3206 * CHOOSE(CONTROL!$C$22, $C$13, 100%, $E$13)</f>
        <v>24.320599999999999</v>
      </c>
      <c r="J749" s="64">
        <f>14.2299 * CHOOSE(CONTROL!$C$22, $C$13, 100%, $E$13)</f>
        <v>14.229900000000001</v>
      </c>
      <c r="K749" s="64">
        <f>14.23 * CHOOSE(CONTROL!$C$22, $C$13, 100%, $E$13)</f>
        <v>14.23</v>
      </c>
    </row>
    <row r="750" spans="1:11" ht="15">
      <c r="A750" s="13">
        <v>64316</v>
      </c>
      <c r="B750" s="63">
        <f>12.4267 * CHOOSE(CONTROL!$C$22, $C$13, 100%, $E$13)</f>
        <v>12.4267</v>
      </c>
      <c r="C750" s="63">
        <f>12.4267 * CHOOSE(CONTROL!$C$22, $C$13, 100%, $E$13)</f>
        <v>12.4267</v>
      </c>
      <c r="D750" s="63">
        <f>12.4267 * CHOOSE(CONTROL!$C$22, $C$13, 100%, $E$13)</f>
        <v>12.4267</v>
      </c>
      <c r="E750" s="64">
        <f>13.9777 * CHOOSE(CONTROL!$C$22, $C$13, 100%, $E$13)</f>
        <v>13.9777</v>
      </c>
      <c r="F750" s="64">
        <f>13.9777 * CHOOSE(CONTROL!$C$22, $C$13, 100%, $E$13)</f>
        <v>13.9777</v>
      </c>
      <c r="G750" s="64">
        <f>13.9778 * CHOOSE(CONTROL!$C$22, $C$13, 100%, $E$13)</f>
        <v>13.9778</v>
      </c>
      <c r="H750" s="64">
        <f>24.3712* CHOOSE(CONTROL!$C$22, $C$13, 100%, $E$13)</f>
        <v>24.371200000000002</v>
      </c>
      <c r="I750" s="64">
        <f>24.3713 * CHOOSE(CONTROL!$C$22, $C$13, 100%, $E$13)</f>
        <v>24.371300000000002</v>
      </c>
      <c r="J750" s="64">
        <f>13.9777 * CHOOSE(CONTROL!$C$22, $C$13, 100%, $E$13)</f>
        <v>13.9777</v>
      </c>
      <c r="K750" s="64">
        <f>13.9778 * CHOOSE(CONTROL!$C$22, $C$13, 100%, $E$13)</f>
        <v>13.9778</v>
      </c>
    </row>
    <row r="751" spans="1:11" ht="15">
      <c r="A751" s="13">
        <v>64345</v>
      </c>
      <c r="B751" s="63">
        <f>12.4237 * CHOOSE(CONTROL!$C$22, $C$13, 100%, $E$13)</f>
        <v>12.4237</v>
      </c>
      <c r="C751" s="63">
        <f>12.4237 * CHOOSE(CONTROL!$C$22, $C$13, 100%, $E$13)</f>
        <v>12.4237</v>
      </c>
      <c r="D751" s="63">
        <f>12.4237 * CHOOSE(CONTROL!$C$22, $C$13, 100%, $E$13)</f>
        <v>12.4237</v>
      </c>
      <c r="E751" s="64">
        <f>14.1727 * CHOOSE(CONTROL!$C$22, $C$13, 100%, $E$13)</f>
        <v>14.172700000000001</v>
      </c>
      <c r="F751" s="64">
        <f>14.1727 * CHOOSE(CONTROL!$C$22, $C$13, 100%, $E$13)</f>
        <v>14.172700000000001</v>
      </c>
      <c r="G751" s="64">
        <f>14.1728 * CHOOSE(CONTROL!$C$22, $C$13, 100%, $E$13)</f>
        <v>14.172800000000001</v>
      </c>
      <c r="H751" s="64">
        <f>24.422* CHOOSE(CONTROL!$C$22, $C$13, 100%, $E$13)</f>
        <v>24.422000000000001</v>
      </c>
      <c r="I751" s="64">
        <f>24.4221 * CHOOSE(CONTROL!$C$22, $C$13, 100%, $E$13)</f>
        <v>24.4221</v>
      </c>
      <c r="J751" s="64">
        <f>14.1727 * CHOOSE(CONTROL!$C$22, $C$13, 100%, $E$13)</f>
        <v>14.172700000000001</v>
      </c>
      <c r="K751" s="64">
        <f>14.1728 * CHOOSE(CONTROL!$C$22, $C$13, 100%, $E$13)</f>
        <v>14.172800000000001</v>
      </c>
    </row>
    <row r="752" spans="1:11" ht="15">
      <c r="A752" s="13">
        <v>64376</v>
      </c>
      <c r="B752" s="63">
        <f>12.4284 * CHOOSE(CONTROL!$C$22, $C$13, 100%, $E$13)</f>
        <v>12.4284</v>
      </c>
      <c r="C752" s="63">
        <f>12.4284 * CHOOSE(CONTROL!$C$22, $C$13, 100%, $E$13)</f>
        <v>12.4284</v>
      </c>
      <c r="D752" s="63">
        <f>12.4284 * CHOOSE(CONTROL!$C$22, $C$13, 100%, $E$13)</f>
        <v>12.4284</v>
      </c>
      <c r="E752" s="64">
        <f>14.3802 * CHOOSE(CONTROL!$C$22, $C$13, 100%, $E$13)</f>
        <v>14.3802</v>
      </c>
      <c r="F752" s="64">
        <f>14.3802 * CHOOSE(CONTROL!$C$22, $C$13, 100%, $E$13)</f>
        <v>14.3802</v>
      </c>
      <c r="G752" s="64">
        <f>14.3803 * CHOOSE(CONTROL!$C$22, $C$13, 100%, $E$13)</f>
        <v>14.3803</v>
      </c>
      <c r="H752" s="64">
        <f>24.4729* CHOOSE(CONTROL!$C$22, $C$13, 100%, $E$13)</f>
        <v>24.472899999999999</v>
      </c>
      <c r="I752" s="64">
        <f>24.473 * CHOOSE(CONTROL!$C$22, $C$13, 100%, $E$13)</f>
        <v>24.472999999999999</v>
      </c>
      <c r="J752" s="64">
        <f>14.3802 * CHOOSE(CONTROL!$C$22, $C$13, 100%, $E$13)</f>
        <v>14.3802</v>
      </c>
      <c r="K752" s="64">
        <f>14.3803 * CHOOSE(CONTROL!$C$22, $C$13, 100%, $E$13)</f>
        <v>14.3803</v>
      </c>
    </row>
    <row r="753" spans="1:11" ht="15">
      <c r="A753" s="13">
        <v>64406</v>
      </c>
      <c r="B753" s="63">
        <f>12.4284 * CHOOSE(CONTROL!$C$22, $C$13, 100%, $E$13)</f>
        <v>12.4284</v>
      </c>
      <c r="C753" s="63">
        <f>12.4284 * CHOOSE(CONTROL!$C$22, $C$13, 100%, $E$13)</f>
        <v>12.4284</v>
      </c>
      <c r="D753" s="63">
        <f>12.4368 * CHOOSE(CONTROL!$C$22, $C$13, 100%, $E$13)</f>
        <v>12.4368</v>
      </c>
      <c r="E753" s="64">
        <f>14.4596 * CHOOSE(CONTROL!$C$22, $C$13, 100%, $E$13)</f>
        <v>14.4596</v>
      </c>
      <c r="F753" s="64">
        <f>14.4596 * CHOOSE(CONTROL!$C$22, $C$13, 100%, $E$13)</f>
        <v>14.4596</v>
      </c>
      <c r="G753" s="64">
        <f>14.4698 * CHOOSE(CONTROL!$C$22, $C$13, 100%, $E$13)</f>
        <v>14.469799999999999</v>
      </c>
      <c r="H753" s="64">
        <f>24.5239* CHOOSE(CONTROL!$C$22, $C$13, 100%, $E$13)</f>
        <v>24.523900000000001</v>
      </c>
      <c r="I753" s="64">
        <f>24.5341 * CHOOSE(CONTROL!$C$22, $C$13, 100%, $E$13)</f>
        <v>24.534099999999999</v>
      </c>
      <c r="J753" s="64">
        <f>14.4596 * CHOOSE(CONTROL!$C$22, $C$13, 100%, $E$13)</f>
        <v>14.4596</v>
      </c>
      <c r="K753" s="64">
        <f>14.4698 * CHOOSE(CONTROL!$C$22, $C$13, 100%, $E$13)</f>
        <v>14.469799999999999</v>
      </c>
    </row>
    <row r="754" spans="1:11" ht="15">
      <c r="A754" s="13">
        <v>64437</v>
      </c>
      <c r="B754" s="63">
        <f>12.4345 * CHOOSE(CONTROL!$C$22, $C$13, 100%, $E$13)</f>
        <v>12.4345</v>
      </c>
      <c r="C754" s="63">
        <f>12.4345 * CHOOSE(CONTROL!$C$22, $C$13, 100%, $E$13)</f>
        <v>12.4345</v>
      </c>
      <c r="D754" s="63">
        <f>12.4429 * CHOOSE(CONTROL!$C$22, $C$13, 100%, $E$13)</f>
        <v>12.4429</v>
      </c>
      <c r="E754" s="64">
        <f>14.3844 * CHOOSE(CONTROL!$C$22, $C$13, 100%, $E$13)</f>
        <v>14.384399999999999</v>
      </c>
      <c r="F754" s="64">
        <f>14.3844 * CHOOSE(CONTROL!$C$22, $C$13, 100%, $E$13)</f>
        <v>14.384399999999999</v>
      </c>
      <c r="G754" s="64">
        <f>14.3946 * CHOOSE(CONTROL!$C$22, $C$13, 100%, $E$13)</f>
        <v>14.394600000000001</v>
      </c>
      <c r="H754" s="64">
        <f>24.575* CHOOSE(CONTROL!$C$22, $C$13, 100%, $E$13)</f>
        <v>24.574999999999999</v>
      </c>
      <c r="I754" s="64">
        <f>24.5852 * CHOOSE(CONTROL!$C$22, $C$13, 100%, $E$13)</f>
        <v>24.5852</v>
      </c>
      <c r="J754" s="64">
        <f>14.3844 * CHOOSE(CONTROL!$C$22, $C$13, 100%, $E$13)</f>
        <v>14.384399999999999</v>
      </c>
      <c r="K754" s="64">
        <f>14.3946 * CHOOSE(CONTROL!$C$22, $C$13, 100%, $E$13)</f>
        <v>14.394600000000001</v>
      </c>
    </row>
    <row r="755" spans="1:11" ht="15">
      <c r="A755" s="13">
        <v>64467</v>
      </c>
      <c r="B755" s="63">
        <f>12.6242 * CHOOSE(CONTROL!$C$22, $C$13, 100%, $E$13)</f>
        <v>12.6242</v>
      </c>
      <c r="C755" s="63">
        <f>12.6242 * CHOOSE(CONTROL!$C$22, $C$13, 100%, $E$13)</f>
        <v>12.6242</v>
      </c>
      <c r="D755" s="63">
        <f>12.6326 * CHOOSE(CONTROL!$C$22, $C$13, 100%, $E$13)</f>
        <v>12.6326</v>
      </c>
      <c r="E755" s="64">
        <f>14.6145 * CHOOSE(CONTROL!$C$22, $C$13, 100%, $E$13)</f>
        <v>14.6145</v>
      </c>
      <c r="F755" s="64">
        <f>14.6145 * CHOOSE(CONTROL!$C$22, $C$13, 100%, $E$13)</f>
        <v>14.6145</v>
      </c>
      <c r="G755" s="64">
        <f>14.6247 * CHOOSE(CONTROL!$C$22, $C$13, 100%, $E$13)</f>
        <v>14.624700000000001</v>
      </c>
      <c r="H755" s="64">
        <f>24.6262* CHOOSE(CONTROL!$C$22, $C$13, 100%, $E$13)</f>
        <v>24.626200000000001</v>
      </c>
      <c r="I755" s="64">
        <f>24.6364 * CHOOSE(CONTROL!$C$22, $C$13, 100%, $E$13)</f>
        <v>24.636399999999998</v>
      </c>
      <c r="J755" s="64">
        <f>14.6145 * CHOOSE(CONTROL!$C$22, $C$13, 100%, $E$13)</f>
        <v>14.6145</v>
      </c>
      <c r="K755" s="64">
        <f>14.6247 * CHOOSE(CONTROL!$C$22, $C$13, 100%, $E$13)</f>
        <v>14.624700000000001</v>
      </c>
    </row>
    <row r="756" spans="1:11" ht="15">
      <c r="A756" s="13">
        <v>64498</v>
      </c>
      <c r="B756" s="63">
        <f>12.6309 * CHOOSE(CONTROL!$C$22, $C$13, 100%, $E$13)</f>
        <v>12.6309</v>
      </c>
      <c r="C756" s="63">
        <f>12.6309 * CHOOSE(CONTROL!$C$22, $C$13, 100%, $E$13)</f>
        <v>12.6309</v>
      </c>
      <c r="D756" s="63">
        <f>12.6393 * CHOOSE(CONTROL!$C$22, $C$13, 100%, $E$13)</f>
        <v>12.6393</v>
      </c>
      <c r="E756" s="64">
        <f>14.381 * CHOOSE(CONTROL!$C$22, $C$13, 100%, $E$13)</f>
        <v>14.381</v>
      </c>
      <c r="F756" s="64">
        <f>14.381 * CHOOSE(CONTROL!$C$22, $C$13, 100%, $E$13)</f>
        <v>14.381</v>
      </c>
      <c r="G756" s="64">
        <f>14.3912 * CHOOSE(CONTROL!$C$22, $C$13, 100%, $E$13)</f>
        <v>14.3912</v>
      </c>
      <c r="H756" s="64">
        <f>24.6775* CHOOSE(CONTROL!$C$22, $C$13, 100%, $E$13)</f>
        <v>24.677499999999998</v>
      </c>
      <c r="I756" s="64">
        <f>24.6877 * CHOOSE(CONTROL!$C$22, $C$13, 100%, $E$13)</f>
        <v>24.6877</v>
      </c>
      <c r="J756" s="64">
        <f>14.381 * CHOOSE(CONTROL!$C$22, $C$13, 100%, $E$13)</f>
        <v>14.381</v>
      </c>
      <c r="K756" s="64">
        <f>14.3912 * CHOOSE(CONTROL!$C$22, $C$13, 100%, $E$13)</f>
        <v>14.3912</v>
      </c>
    </row>
    <row r="757" spans="1:11" ht="15">
      <c r="A757" s="13">
        <v>64529</v>
      </c>
      <c r="B757" s="63">
        <f>12.6278 * CHOOSE(CONTROL!$C$22, $C$13, 100%, $E$13)</f>
        <v>12.627800000000001</v>
      </c>
      <c r="C757" s="63">
        <f>12.6278 * CHOOSE(CONTROL!$C$22, $C$13, 100%, $E$13)</f>
        <v>12.627800000000001</v>
      </c>
      <c r="D757" s="63">
        <f>12.6362 * CHOOSE(CONTROL!$C$22, $C$13, 100%, $E$13)</f>
        <v>12.636200000000001</v>
      </c>
      <c r="E757" s="64">
        <f>14.3524 * CHOOSE(CONTROL!$C$22, $C$13, 100%, $E$13)</f>
        <v>14.352399999999999</v>
      </c>
      <c r="F757" s="64">
        <f>14.3524 * CHOOSE(CONTROL!$C$22, $C$13, 100%, $E$13)</f>
        <v>14.352399999999999</v>
      </c>
      <c r="G757" s="64">
        <f>14.3626 * CHOOSE(CONTROL!$C$22, $C$13, 100%, $E$13)</f>
        <v>14.3626</v>
      </c>
      <c r="H757" s="64">
        <f>24.7289* CHOOSE(CONTROL!$C$22, $C$13, 100%, $E$13)</f>
        <v>24.728899999999999</v>
      </c>
      <c r="I757" s="64">
        <f>24.7391 * CHOOSE(CONTROL!$C$22, $C$13, 100%, $E$13)</f>
        <v>24.739100000000001</v>
      </c>
      <c r="J757" s="64">
        <f>14.3524 * CHOOSE(CONTROL!$C$22, $C$13, 100%, $E$13)</f>
        <v>14.352399999999999</v>
      </c>
      <c r="K757" s="64">
        <f>14.3626 * CHOOSE(CONTROL!$C$22, $C$13, 100%, $E$13)</f>
        <v>14.3626</v>
      </c>
    </row>
    <row r="758" spans="1:11" ht="15">
      <c r="A758" s="13">
        <v>64559</v>
      </c>
      <c r="B758" s="63">
        <f>12.6507 * CHOOSE(CONTROL!$C$22, $C$13, 100%, $E$13)</f>
        <v>12.650700000000001</v>
      </c>
      <c r="C758" s="63">
        <f>12.6507 * CHOOSE(CONTROL!$C$22, $C$13, 100%, $E$13)</f>
        <v>12.650700000000001</v>
      </c>
      <c r="D758" s="63">
        <f>12.6507 * CHOOSE(CONTROL!$C$22, $C$13, 100%, $E$13)</f>
        <v>12.650700000000001</v>
      </c>
      <c r="E758" s="64">
        <f>14.4448 * CHOOSE(CONTROL!$C$22, $C$13, 100%, $E$13)</f>
        <v>14.444800000000001</v>
      </c>
      <c r="F758" s="64">
        <f>14.4448 * CHOOSE(CONTROL!$C$22, $C$13, 100%, $E$13)</f>
        <v>14.444800000000001</v>
      </c>
      <c r="G758" s="64">
        <f>14.4449 * CHOOSE(CONTROL!$C$22, $C$13, 100%, $E$13)</f>
        <v>14.444900000000001</v>
      </c>
      <c r="H758" s="64">
        <f>24.7804* CHOOSE(CONTROL!$C$22, $C$13, 100%, $E$13)</f>
        <v>24.7804</v>
      </c>
      <c r="I758" s="64">
        <f>24.7805 * CHOOSE(CONTROL!$C$22, $C$13, 100%, $E$13)</f>
        <v>24.7805</v>
      </c>
      <c r="J758" s="64">
        <f>14.4448 * CHOOSE(CONTROL!$C$22, $C$13, 100%, $E$13)</f>
        <v>14.444800000000001</v>
      </c>
      <c r="K758" s="64">
        <f>14.4449 * CHOOSE(CONTROL!$C$22, $C$13, 100%, $E$13)</f>
        <v>14.444900000000001</v>
      </c>
    </row>
    <row r="759" spans="1:11" ht="15">
      <c r="A759" s="13">
        <v>64590</v>
      </c>
      <c r="B759" s="63">
        <f>12.6538 * CHOOSE(CONTROL!$C$22, $C$13, 100%, $E$13)</f>
        <v>12.6538</v>
      </c>
      <c r="C759" s="63">
        <f>12.6538 * CHOOSE(CONTROL!$C$22, $C$13, 100%, $E$13)</f>
        <v>12.6538</v>
      </c>
      <c r="D759" s="63">
        <f>12.6538 * CHOOSE(CONTROL!$C$22, $C$13, 100%, $E$13)</f>
        <v>12.6538</v>
      </c>
      <c r="E759" s="64">
        <f>14.4999 * CHOOSE(CONTROL!$C$22, $C$13, 100%, $E$13)</f>
        <v>14.4999</v>
      </c>
      <c r="F759" s="64">
        <f>14.4999 * CHOOSE(CONTROL!$C$22, $C$13, 100%, $E$13)</f>
        <v>14.4999</v>
      </c>
      <c r="G759" s="64">
        <f>14.5 * CHOOSE(CONTROL!$C$22, $C$13, 100%, $E$13)</f>
        <v>14.5</v>
      </c>
      <c r="H759" s="64">
        <f>24.832* CHOOSE(CONTROL!$C$22, $C$13, 100%, $E$13)</f>
        <v>24.832000000000001</v>
      </c>
      <c r="I759" s="64">
        <f>24.8321 * CHOOSE(CONTROL!$C$22, $C$13, 100%, $E$13)</f>
        <v>24.832100000000001</v>
      </c>
      <c r="J759" s="64">
        <f>14.4999 * CHOOSE(CONTROL!$C$22, $C$13, 100%, $E$13)</f>
        <v>14.4999</v>
      </c>
      <c r="K759" s="64">
        <f>14.5 * CHOOSE(CONTROL!$C$22, $C$13, 100%, $E$13)</f>
        <v>14.5</v>
      </c>
    </row>
    <row r="760" spans="1:11" ht="15">
      <c r="A760" s="13">
        <v>64620</v>
      </c>
      <c r="B760" s="63">
        <f>12.6538 * CHOOSE(CONTROL!$C$22, $C$13, 100%, $E$13)</f>
        <v>12.6538</v>
      </c>
      <c r="C760" s="63">
        <f>12.6538 * CHOOSE(CONTROL!$C$22, $C$13, 100%, $E$13)</f>
        <v>12.6538</v>
      </c>
      <c r="D760" s="63">
        <f>12.6538 * CHOOSE(CONTROL!$C$22, $C$13, 100%, $E$13)</f>
        <v>12.6538</v>
      </c>
      <c r="E760" s="64">
        <f>14.3676 * CHOOSE(CONTROL!$C$22, $C$13, 100%, $E$13)</f>
        <v>14.367599999999999</v>
      </c>
      <c r="F760" s="64">
        <f>14.3676 * CHOOSE(CONTROL!$C$22, $C$13, 100%, $E$13)</f>
        <v>14.367599999999999</v>
      </c>
      <c r="G760" s="64">
        <f>14.3677 * CHOOSE(CONTROL!$C$22, $C$13, 100%, $E$13)</f>
        <v>14.367699999999999</v>
      </c>
      <c r="H760" s="64">
        <f>24.8838* CHOOSE(CONTROL!$C$22, $C$13, 100%, $E$13)</f>
        <v>24.883800000000001</v>
      </c>
      <c r="I760" s="64">
        <f>24.8838 * CHOOSE(CONTROL!$C$22, $C$13, 100%, $E$13)</f>
        <v>24.883800000000001</v>
      </c>
      <c r="J760" s="64">
        <f>14.3676 * CHOOSE(CONTROL!$C$22, $C$13, 100%, $E$13)</f>
        <v>14.367599999999999</v>
      </c>
      <c r="K760" s="64">
        <f>14.3677 * CHOOSE(CONTROL!$C$22, $C$13, 100%, $E$13)</f>
        <v>14.367699999999999</v>
      </c>
    </row>
    <row r="761" spans="1:11" ht="15">
      <c r="A761" s="13">
        <v>64651</v>
      </c>
      <c r="B761" s="63">
        <f>12.6653 * CHOOSE(CONTROL!$C$22, $C$13, 100%, $E$13)</f>
        <v>12.6653</v>
      </c>
      <c r="C761" s="63">
        <f>12.6653 * CHOOSE(CONTROL!$C$22, $C$13, 100%, $E$13)</f>
        <v>12.6653</v>
      </c>
      <c r="D761" s="63">
        <f>12.6653 * CHOOSE(CONTROL!$C$22, $C$13, 100%, $E$13)</f>
        <v>12.6653</v>
      </c>
      <c r="E761" s="64">
        <f>14.4846 * CHOOSE(CONTROL!$C$22, $C$13, 100%, $E$13)</f>
        <v>14.4846</v>
      </c>
      <c r="F761" s="64">
        <f>14.4846 * CHOOSE(CONTROL!$C$22, $C$13, 100%, $E$13)</f>
        <v>14.4846</v>
      </c>
      <c r="G761" s="64">
        <f>14.4847 * CHOOSE(CONTROL!$C$22, $C$13, 100%, $E$13)</f>
        <v>14.4847</v>
      </c>
      <c r="H761" s="64">
        <f>24.7665* CHOOSE(CONTROL!$C$22, $C$13, 100%, $E$13)</f>
        <v>24.766500000000001</v>
      </c>
      <c r="I761" s="64">
        <f>24.7665 * CHOOSE(CONTROL!$C$22, $C$13, 100%, $E$13)</f>
        <v>24.766500000000001</v>
      </c>
      <c r="J761" s="64">
        <f>14.4846 * CHOOSE(CONTROL!$C$22, $C$13, 100%, $E$13)</f>
        <v>14.4846</v>
      </c>
      <c r="K761" s="64">
        <f>14.4847 * CHOOSE(CONTROL!$C$22, $C$13, 100%, $E$13)</f>
        <v>14.4847</v>
      </c>
    </row>
    <row r="762" spans="1:11" ht="15">
      <c r="A762" s="13">
        <v>64682</v>
      </c>
      <c r="B762" s="63">
        <f>12.6623 * CHOOSE(CONTROL!$C$22, $C$13, 100%, $E$13)</f>
        <v>12.6623</v>
      </c>
      <c r="C762" s="63">
        <f>12.6623 * CHOOSE(CONTROL!$C$22, $C$13, 100%, $E$13)</f>
        <v>12.6623</v>
      </c>
      <c r="D762" s="63">
        <f>12.6623 * CHOOSE(CONTROL!$C$22, $C$13, 100%, $E$13)</f>
        <v>12.6623</v>
      </c>
      <c r="E762" s="64">
        <f>14.2275 * CHOOSE(CONTROL!$C$22, $C$13, 100%, $E$13)</f>
        <v>14.227499999999999</v>
      </c>
      <c r="F762" s="64">
        <f>14.2275 * CHOOSE(CONTROL!$C$22, $C$13, 100%, $E$13)</f>
        <v>14.227499999999999</v>
      </c>
      <c r="G762" s="64">
        <f>14.2276 * CHOOSE(CONTROL!$C$22, $C$13, 100%, $E$13)</f>
        <v>14.227600000000001</v>
      </c>
      <c r="H762" s="64">
        <f>24.8181* CHOOSE(CONTROL!$C$22, $C$13, 100%, $E$13)</f>
        <v>24.818100000000001</v>
      </c>
      <c r="I762" s="64">
        <f>24.8181 * CHOOSE(CONTROL!$C$22, $C$13, 100%, $E$13)</f>
        <v>24.818100000000001</v>
      </c>
      <c r="J762" s="64">
        <f>14.2275 * CHOOSE(CONTROL!$C$22, $C$13, 100%, $E$13)</f>
        <v>14.227499999999999</v>
      </c>
      <c r="K762" s="64">
        <f>14.2276 * CHOOSE(CONTROL!$C$22, $C$13, 100%, $E$13)</f>
        <v>14.227600000000001</v>
      </c>
    </row>
    <row r="763" spans="1:11" ht="15">
      <c r="A763" s="13">
        <v>64710</v>
      </c>
      <c r="B763" s="63">
        <f>12.6592 * CHOOSE(CONTROL!$C$22, $C$13, 100%, $E$13)</f>
        <v>12.6592</v>
      </c>
      <c r="C763" s="63">
        <f>12.6592 * CHOOSE(CONTROL!$C$22, $C$13, 100%, $E$13)</f>
        <v>12.6592</v>
      </c>
      <c r="D763" s="63">
        <f>12.6592 * CHOOSE(CONTROL!$C$22, $C$13, 100%, $E$13)</f>
        <v>12.6592</v>
      </c>
      <c r="E763" s="64">
        <f>14.4264 * CHOOSE(CONTROL!$C$22, $C$13, 100%, $E$13)</f>
        <v>14.426399999999999</v>
      </c>
      <c r="F763" s="64">
        <f>14.4264 * CHOOSE(CONTROL!$C$22, $C$13, 100%, $E$13)</f>
        <v>14.426399999999999</v>
      </c>
      <c r="G763" s="64">
        <f>14.4265 * CHOOSE(CONTROL!$C$22, $C$13, 100%, $E$13)</f>
        <v>14.426500000000001</v>
      </c>
      <c r="H763" s="64">
        <f>24.8698* CHOOSE(CONTROL!$C$22, $C$13, 100%, $E$13)</f>
        <v>24.869800000000001</v>
      </c>
      <c r="I763" s="64">
        <f>24.8698 * CHOOSE(CONTROL!$C$22, $C$13, 100%, $E$13)</f>
        <v>24.869800000000001</v>
      </c>
      <c r="J763" s="64">
        <f>14.4264 * CHOOSE(CONTROL!$C$22, $C$13, 100%, $E$13)</f>
        <v>14.426399999999999</v>
      </c>
      <c r="K763" s="64">
        <f>14.4265 * CHOOSE(CONTROL!$C$22, $C$13, 100%, $E$13)</f>
        <v>14.426500000000001</v>
      </c>
    </row>
    <row r="764" spans="1:11" ht="15">
      <c r="A764" s="13">
        <v>64741</v>
      </c>
      <c r="B764" s="63">
        <f>12.6642 * CHOOSE(CONTROL!$C$22, $C$13, 100%, $E$13)</f>
        <v>12.664199999999999</v>
      </c>
      <c r="C764" s="63">
        <f>12.6642 * CHOOSE(CONTROL!$C$22, $C$13, 100%, $E$13)</f>
        <v>12.664199999999999</v>
      </c>
      <c r="D764" s="63">
        <f>12.6642 * CHOOSE(CONTROL!$C$22, $C$13, 100%, $E$13)</f>
        <v>12.664199999999999</v>
      </c>
      <c r="E764" s="64">
        <f>14.638 * CHOOSE(CONTROL!$C$22, $C$13, 100%, $E$13)</f>
        <v>14.638</v>
      </c>
      <c r="F764" s="64">
        <f>14.638 * CHOOSE(CONTROL!$C$22, $C$13, 100%, $E$13)</f>
        <v>14.638</v>
      </c>
      <c r="G764" s="64">
        <f>14.6381 * CHOOSE(CONTROL!$C$22, $C$13, 100%, $E$13)</f>
        <v>14.6381</v>
      </c>
      <c r="H764" s="64">
        <f>24.9216* CHOOSE(CONTROL!$C$22, $C$13, 100%, $E$13)</f>
        <v>24.921600000000002</v>
      </c>
      <c r="I764" s="64">
        <f>24.9217 * CHOOSE(CONTROL!$C$22, $C$13, 100%, $E$13)</f>
        <v>24.921700000000001</v>
      </c>
      <c r="J764" s="64">
        <f>14.638 * CHOOSE(CONTROL!$C$22, $C$13, 100%, $E$13)</f>
        <v>14.638</v>
      </c>
      <c r="K764" s="64">
        <f>14.6381 * CHOOSE(CONTROL!$C$22, $C$13, 100%, $E$13)</f>
        <v>14.6381</v>
      </c>
    </row>
    <row r="765" spans="1:11" ht="15">
      <c r="A765" s="13">
        <v>64771</v>
      </c>
      <c r="B765" s="63">
        <f>12.6642 * CHOOSE(CONTROL!$C$22, $C$13, 100%, $E$13)</f>
        <v>12.664199999999999</v>
      </c>
      <c r="C765" s="63">
        <f>12.6642 * CHOOSE(CONTROL!$C$22, $C$13, 100%, $E$13)</f>
        <v>12.664199999999999</v>
      </c>
      <c r="D765" s="63">
        <f>12.6726 * CHOOSE(CONTROL!$C$22, $C$13, 100%, $E$13)</f>
        <v>12.672599999999999</v>
      </c>
      <c r="E765" s="64">
        <f>14.719 * CHOOSE(CONTROL!$C$22, $C$13, 100%, $E$13)</f>
        <v>14.718999999999999</v>
      </c>
      <c r="F765" s="64">
        <f>14.719 * CHOOSE(CONTROL!$C$22, $C$13, 100%, $E$13)</f>
        <v>14.718999999999999</v>
      </c>
      <c r="G765" s="64">
        <f>14.7292 * CHOOSE(CONTROL!$C$22, $C$13, 100%, $E$13)</f>
        <v>14.729200000000001</v>
      </c>
      <c r="H765" s="64">
        <f>24.9735* CHOOSE(CONTROL!$C$22, $C$13, 100%, $E$13)</f>
        <v>24.973500000000001</v>
      </c>
      <c r="I765" s="64">
        <f>24.9837 * CHOOSE(CONTROL!$C$22, $C$13, 100%, $E$13)</f>
        <v>24.983699999999999</v>
      </c>
      <c r="J765" s="64">
        <f>14.719 * CHOOSE(CONTROL!$C$22, $C$13, 100%, $E$13)</f>
        <v>14.718999999999999</v>
      </c>
      <c r="K765" s="64">
        <f>14.7292 * CHOOSE(CONTROL!$C$22, $C$13, 100%, $E$13)</f>
        <v>14.729200000000001</v>
      </c>
    </row>
    <row r="766" spans="1:11" ht="15">
      <c r="A766" s="13">
        <v>64802</v>
      </c>
      <c r="B766" s="63">
        <f>12.6702 * CHOOSE(CONTROL!$C$22, $C$13, 100%, $E$13)</f>
        <v>12.670199999999999</v>
      </c>
      <c r="C766" s="63">
        <f>12.6702 * CHOOSE(CONTROL!$C$22, $C$13, 100%, $E$13)</f>
        <v>12.670199999999999</v>
      </c>
      <c r="D766" s="63">
        <f>12.6787 * CHOOSE(CONTROL!$C$22, $C$13, 100%, $E$13)</f>
        <v>12.678699999999999</v>
      </c>
      <c r="E766" s="64">
        <f>14.6423 * CHOOSE(CONTROL!$C$22, $C$13, 100%, $E$13)</f>
        <v>14.642300000000001</v>
      </c>
      <c r="F766" s="64">
        <f>14.6423 * CHOOSE(CONTROL!$C$22, $C$13, 100%, $E$13)</f>
        <v>14.642300000000001</v>
      </c>
      <c r="G766" s="64">
        <f>14.6525 * CHOOSE(CONTROL!$C$22, $C$13, 100%, $E$13)</f>
        <v>14.6525</v>
      </c>
      <c r="H766" s="64">
        <f>25.0255* CHOOSE(CONTROL!$C$22, $C$13, 100%, $E$13)</f>
        <v>25.025500000000001</v>
      </c>
      <c r="I766" s="64">
        <f>25.0357 * CHOOSE(CONTROL!$C$22, $C$13, 100%, $E$13)</f>
        <v>25.035699999999999</v>
      </c>
      <c r="J766" s="64">
        <f>14.6423 * CHOOSE(CONTROL!$C$22, $C$13, 100%, $E$13)</f>
        <v>14.642300000000001</v>
      </c>
      <c r="K766" s="64">
        <f>14.6525 * CHOOSE(CONTROL!$C$22, $C$13, 100%, $E$13)</f>
        <v>14.6525</v>
      </c>
    </row>
    <row r="767" spans="1:11" ht="15">
      <c r="A767" s="13">
        <v>64832</v>
      </c>
      <c r="B767" s="63">
        <f>12.8633 * CHOOSE(CONTROL!$C$22, $C$13, 100%, $E$13)</f>
        <v>12.863300000000001</v>
      </c>
      <c r="C767" s="63">
        <f>12.8633 * CHOOSE(CONTROL!$C$22, $C$13, 100%, $E$13)</f>
        <v>12.863300000000001</v>
      </c>
      <c r="D767" s="63">
        <f>12.8718 * CHOOSE(CONTROL!$C$22, $C$13, 100%, $E$13)</f>
        <v>12.8718</v>
      </c>
      <c r="E767" s="64">
        <f>14.8762 * CHOOSE(CONTROL!$C$22, $C$13, 100%, $E$13)</f>
        <v>14.876200000000001</v>
      </c>
      <c r="F767" s="64">
        <f>14.8762 * CHOOSE(CONTROL!$C$22, $C$13, 100%, $E$13)</f>
        <v>14.876200000000001</v>
      </c>
      <c r="G767" s="64">
        <f>14.8865 * CHOOSE(CONTROL!$C$22, $C$13, 100%, $E$13)</f>
        <v>14.8865</v>
      </c>
      <c r="H767" s="64">
        <f>25.0777* CHOOSE(CONTROL!$C$22, $C$13, 100%, $E$13)</f>
        <v>25.0777</v>
      </c>
      <c r="I767" s="64">
        <f>25.0879 * CHOOSE(CONTROL!$C$22, $C$13, 100%, $E$13)</f>
        <v>25.087900000000001</v>
      </c>
      <c r="J767" s="64">
        <f>14.8762 * CHOOSE(CONTROL!$C$22, $C$13, 100%, $E$13)</f>
        <v>14.876200000000001</v>
      </c>
      <c r="K767" s="64">
        <f>14.8865 * CHOOSE(CONTROL!$C$22, $C$13, 100%, $E$13)</f>
        <v>14.8865</v>
      </c>
    </row>
    <row r="768" spans="1:11" ht="15">
      <c r="A768" s="13">
        <v>64863</v>
      </c>
      <c r="B768" s="63">
        <f>12.87 * CHOOSE(CONTROL!$C$22, $C$13, 100%, $E$13)</f>
        <v>12.87</v>
      </c>
      <c r="C768" s="63">
        <f>12.87 * CHOOSE(CONTROL!$C$22, $C$13, 100%, $E$13)</f>
        <v>12.87</v>
      </c>
      <c r="D768" s="63">
        <f>12.8785 * CHOOSE(CONTROL!$C$22, $C$13, 100%, $E$13)</f>
        <v>12.878500000000001</v>
      </c>
      <c r="E768" s="64">
        <f>14.6381 * CHOOSE(CONTROL!$C$22, $C$13, 100%, $E$13)</f>
        <v>14.6381</v>
      </c>
      <c r="F768" s="64">
        <f>14.6381 * CHOOSE(CONTROL!$C$22, $C$13, 100%, $E$13)</f>
        <v>14.6381</v>
      </c>
      <c r="G768" s="64">
        <f>14.6483 * CHOOSE(CONTROL!$C$22, $C$13, 100%, $E$13)</f>
        <v>14.648300000000001</v>
      </c>
      <c r="H768" s="64">
        <f>25.1299* CHOOSE(CONTROL!$C$22, $C$13, 100%, $E$13)</f>
        <v>25.129899999999999</v>
      </c>
      <c r="I768" s="64">
        <f>25.1401 * CHOOSE(CONTROL!$C$22, $C$13, 100%, $E$13)</f>
        <v>25.1401</v>
      </c>
      <c r="J768" s="64">
        <f>14.6381 * CHOOSE(CONTROL!$C$22, $C$13, 100%, $E$13)</f>
        <v>14.6381</v>
      </c>
      <c r="K768" s="64">
        <f>14.6483 * CHOOSE(CONTROL!$C$22, $C$13, 100%, $E$13)</f>
        <v>14.648300000000001</v>
      </c>
    </row>
    <row r="769" spans="1:11" ht="15">
      <c r="A769" s="13">
        <v>64894</v>
      </c>
      <c r="B769" s="63">
        <f>12.867 * CHOOSE(CONTROL!$C$22, $C$13, 100%, $E$13)</f>
        <v>12.867000000000001</v>
      </c>
      <c r="C769" s="63">
        <f>12.867 * CHOOSE(CONTROL!$C$22, $C$13, 100%, $E$13)</f>
        <v>12.867000000000001</v>
      </c>
      <c r="D769" s="63">
        <f>12.8754 * CHOOSE(CONTROL!$C$22, $C$13, 100%, $E$13)</f>
        <v>12.875400000000001</v>
      </c>
      <c r="E769" s="64">
        <f>14.609 * CHOOSE(CONTROL!$C$22, $C$13, 100%, $E$13)</f>
        <v>14.609</v>
      </c>
      <c r="F769" s="64">
        <f>14.609 * CHOOSE(CONTROL!$C$22, $C$13, 100%, $E$13)</f>
        <v>14.609</v>
      </c>
      <c r="G769" s="64">
        <f>14.6192 * CHOOSE(CONTROL!$C$22, $C$13, 100%, $E$13)</f>
        <v>14.619199999999999</v>
      </c>
      <c r="H769" s="64">
        <f>25.1823* CHOOSE(CONTROL!$C$22, $C$13, 100%, $E$13)</f>
        <v>25.182300000000001</v>
      </c>
      <c r="I769" s="64">
        <f>25.1925 * CHOOSE(CONTROL!$C$22, $C$13, 100%, $E$13)</f>
        <v>25.192499999999999</v>
      </c>
      <c r="J769" s="64">
        <f>14.609 * CHOOSE(CONTROL!$C$22, $C$13, 100%, $E$13)</f>
        <v>14.609</v>
      </c>
      <c r="K769" s="64">
        <f>14.6192 * CHOOSE(CONTROL!$C$22, $C$13, 100%, $E$13)</f>
        <v>14.619199999999999</v>
      </c>
    </row>
    <row r="770" spans="1:11" ht="15">
      <c r="A770" s="13">
        <v>64924</v>
      </c>
      <c r="B770" s="63">
        <f>12.8907 * CHOOSE(CONTROL!$C$22, $C$13, 100%, $E$13)</f>
        <v>12.890700000000001</v>
      </c>
      <c r="C770" s="63">
        <f>12.8907 * CHOOSE(CONTROL!$C$22, $C$13, 100%, $E$13)</f>
        <v>12.890700000000001</v>
      </c>
      <c r="D770" s="63">
        <f>12.8907 * CHOOSE(CONTROL!$C$22, $C$13, 100%, $E$13)</f>
        <v>12.890700000000001</v>
      </c>
      <c r="E770" s="64">
        <f>14.7035 * CHOOSE(CONTROL!$C$22, $C$13, 100%, $E$13)</f>
        <v>14.7035</v>
      </c>
      <c r="F770" s="64">
        <f>14.7035 * CHOOSE(CONTROL!$C$22, $C$13, 100%, $E$13)</f>
        <v>14.7035</v>
      </c>
      <c r="G770" s="64">
        <f>14.7036 * CHOOSE(CONTROL!$C$22, $C$13, 100%, $E$13)</f>
        <v>14.7036</v>
      </c>
      <c r="H770" s="64">
        <f>25.2347* CHOOSE(CONTROL!$C$22, $C$13, 100%, $E$13)</f>
        <v>25.2347</v>
      </c>
      <c r="I770" s="64">
        <f>25.2348 * CHOOSE(CONTROL!$C$22, $C$13, 100%, $E$13)</f>
        <v>25.2348</v>
      </c>
      <c r="J770" s="64">
        <f>14.7035 * CHOOSE(CONTROL!$C$22, $C$13, 100%, $E$13)</f>
        <v>14.7035</v>
      </c>
      <c r="K770" s="64">
        <f>14.7036 * CHOOSE(CONTROL!$C$22, $C$13, 100%, $E$13)</f>
        <v>14.7036</v>
      </c>
    </row>
    <row r="771" spans="1:11" ht="15">
      <c r="A771" s="13">
        <v>64955</v>
      </c>
      <c r="B771" s="63">
        <f>12.8937 * CHOOSE(CONTROL!$C$22, $C$13, 100%, $E$13)</f>
        <v>12.893700000000001</v>
      </c>
      <c r="C771" s="63">
        <f>12.8937 * CHOOSE(CONTROL!$C$22, $C$13, 100%, $E$13)</f>
        <v>12.893700000000001</v>
      </c>
      <c r="D771" s="63">
        <f>12.8937 * CHOOSE(CONTROL!$C$22, $C$13, 100%, $E$13)</f>
        <v>12.893700000000001</v>
      </c>
      <c r="E771" s="64">
        <f>14.7596 * CHOOSE(CONTROL!$C$22, $C$13, 100%, $E$13)</f>
        <v>14.759600000000001</v>
      </c>
      <c r="F771" s="64">
        <f>14.7596 * CHOOSE(CONTROL!$C$22, $C$13, 100%, $E$13)</f>
        <v>14.759600000000001</v>
      </c>
      <c r="G771" s="64">
        <f>14.7596 * CHOOSE(CONTROL!$C$22, $C$13, 100%, $E$13)</f>
        <v>14.759600000000001</v>
      </c>
      <c r="H771" s="64">
        <f>25.2873* CHOOSE(CONTROL!$C$22, $C$13, 100%, $E$13)</f>
        <v>25.287299999999998</v>
      </c>
      <c r="I771" s="64">
        <f>25.2874 * CHOOSE(CONTROL!$C$22, $C$13, 100%, $E$13)</f>
        <v>25.287400000000002</v>
      </c>
      <c r="J771" s="64">
        <f>14.7596 * CHOOSE(CONTROL!$C$22, $C$13, 100%, $E$13)</f>
        <v>14.759600000000001</v>
      </c>
      <c r="K771" s="64">
        <f>14.7596 * CHOOSE(CONTROL!$C$22, $C$13, 100%, $E$13)</f>
        <v>14.759600000000001</v>
      </c>
    </row>
    <row r="772" spans="1:11" ht="15">
      <c r="A772" s="13">
        <v>64985</v>
      </c>
      <c r="B772" s="63">
        <f>12.8937 * CHOOSE(CONTROL!$C$22, $C$13, 100%, $E$13)</f>
        <v>12.893700000000001</v>
      </c>
      <c r="C772" s="63">
        <f>12.8937 * CHOOSE(CONTROL!$C$22, $C$13, 100%, $E$13)</f>
        <v>12.893700000000001</v>
      </c>
      <c r="D772" s="63">
        <f>12.8937 * CHOOSE(CONTROL!$C$22, $C$13, 100%, $E$13)</f>
        <v>12.893700000000001</v>
      </c>
      <c r="E772" s="64">
        <f>14.6246 * CHOOSE(CONTROL!$C$22, $C$13, 100%, $E$13)</f>
        <v>14.624599999999999</v>
      </c>
      <c r="F772" s="64">
        <f>14.6246 * CHOOSE(CONTROL!$C$22, $C$13, 100%, $E$13)</f>
        <v>14.624599999999999</v>
      </c>
      <c r="G772" s="64">
        <f>14.6247 * CHOOSE(CONTROL!$C$22, $C$13, 100%, $E$13)</f>
        <v>14.624700000000001</v>
      </c>
      <c r="H772" s="64">
        <f>25.34* CHOOSE(CONTROL!$C$22, $C$13, 100%, $E$13)</f>
        <v>25.34</v>
      </c>
      <c r="I772" s="64">
        <f>25.3401 * CHOOSE(CONTROL!$C$22, $C$13, 100%, $E$13)</f>
        <v>25.3401</v>
      </c>
      <c r="J772" s="64">
        <f>14.6246 * CHOOSE(CONTROL!$C$22, $C$13, 100%, $E$13)</f>
        <v>14.624599999999999</v>
      </c>
      <c r="K772" s="64">
        <f>14.6247 * CHOOSE(CONTROL!$C$22, $C$13, 100%, $E$13)</f>
        <v>14.624700000000001</v>
      </c>
    </row>
    <row r="773" spans="1:11" ht="15">
      <c r="A773" s="13">
        <v>65016</v>
      </c>
      <c r="B773" s="63">
        <f>12.9009 * CHOOSE(CONTROL!$C$22, $C$13, 100%, $E$13)</f>
        <v>12.9009</v>
      </c>
      <c r="C773" s="63">
        <f>12.9009 * CHOOSE(CONTROL!$C$22, $C$13, 100%, $E$13)</f>
        <v>12.9009</v>
      </c>
      <c r="D773" s="63">
        <f>12.9009 * CHOOSE(CONTROL!$C$22, $C$13, 100%, $E$13)</f>
        <v>12.9009</v>
      </c>
      <c r="E773" s="64">
        <f>14.7393 * CHOOSE(CONTROL!$C$22, $C$13, 100%, $E$13)</f>
        <v>14.7393</v>
      </c>
      <c r="F773" s="64">
        <f>14.7393 * CHOOSE(CONTROL!$C$22, $C$13, 100%, $E$13)</f>
        <v>14.7393</v>
      </c>
      <c r="G773" s="64">
        <f>14.7394 * CHOOSE(CONTROL!$C$22, $C$13, 100%, $E$13)</f>
        <v>14.7394</v>
      </c>
      <c r="H773" s="64">
        <f>25.2123* CHOOSE(CONTROL!$C$22, $C$13, 100%, $E$13)</f>
        <v>25.212299999999999</v>
      </c>
      <c r="I773" s="64">
        <f>25.2124 * CHOOSE(CONTROL!$C$22, $C$13, 100%, $E$13)</f>
        <v>25.212399999999999</v>
      </c>
      <c r="J773" s="64">
        <f>14.7393 * CHOOSE(CONTROL!$C$22, $C$13, 100%, $E$13)</f>
        <v>14.7393</v>
      </c>
      <c r="K773" s="64">
        <f>14.7394 * CHOOSE(CONTROL!$C$22, $C$13, 100%, $E$13)</f>
        <v>14.7394</v>
      </c>
    </row>
    <row r="774" spans="1:11" ht="15">
      <c r="A774" s="13">
        <v>65047</v>
      </c>
      <c r="B774" s="63">
        <f>12.8978 * CHOOSE(CONTROL!$C$22, $C$13, 100%, $E$13)</f>
        <v>12.8978</v>
      </c>
      <c r="C774" s="63">
        <f>12.8978 * CHOOSE(CONTROL!$C$22, $C$13, 100%, $E$13)</f>
        <v>12.8978</v>
      </c>
      <c r="D774" s="63">
        <f>12.8978 * CHOOSE(CONTROL!$C$22, $C$13, 100%, $E$13)</f>
        <v>12.8978</v>
      </c>
      <c r="E774" s="64">
        <f>14.4773 * CHOOSE(CONTROL!$C$22, $C$13, 100%, $E$13)</f>
        <v>14.4773</v>
      </c>
      <c r="F774" s="64">
        <f>14.4773 * CHOOSE(CONTROL!$C$22, $C$13, 100%, $E$13)</f>
        <v>14.4773</v>
      </c>
      <c r="G774" s="64">
        <f>14.4774 * CHOOSE(CONTROL!$C$22, $C$13, 100%, $E$13)</f>
        <v>14.477399999999999</v>
      </c>
      <c r="H774" s="64">
        <f>25.2649* CHOOSE(CONTROL!$C$22, $C$13, 100%, $E$13)</f>
        <v>25.264900000000001</v>
      </c>
      <c r="I774" s="64">
        <f>25.265 * CHOOSE(CONTROL!$C$22, $C$13, 100%, $E$13)</f>
        <v>25.265000000000001</v>
      </c>
      <c r="J774" s="64">
        <f>14.4773 * CHOOSE(CONTROL!$C$22, $C$13, 100%, $E$13)</f>
        <v>14.4773</v>
      </c>
      <c r="K774" s="64">
        <f>14.4774 * CHOOSE(CONTROL!$C$22, $C$13, 100%, $E$13)</f>
        <v>14.477399999999999</v>
      </c>
    </row>
    <row r="775" spans="1:11" ht="15">
      <c r="A775" s="13">
        <v>65075</v>
      </c>
      <c r="B775" s="63">
        <f>12.8948 * CHOOSE(CONTROL!$C$22, $C$13, 100%, $E$13)</f>
        <v>12.8948</v>
      </c>
      <c r="C775" s="63">
        <f>12.8948 * CHOOSE(CONTROL!$C$22, $C$13, 100%, $E$13)</f>
        <v>12.8948</v>
      </c>
      <c r="D775" s="63">
        <f>12.8948 * CHOOSE(CONTROL!$C$22, $C$13, 100%, $E$13)</f>
        <v>12.8948</v>
      </c>
      <c r="E775" s="64">
        <f>14.6801 * CHOOSE(CONTROL!$C$22, $C$13, 100%, $E$13)</f>
        <v>14.680099999999999</v>
      </c>
      <c r="F775" s="64">
        <f>14.6801 * CHOOSE(CONTROL!$C$22, $C$13, 100%, $E$13)</f>
        <v>14.680099999999999</v>
      </c>
      <c r="G775" s="64">
        <f>14.6802 * CHOOSE(CONTROL!$C$22, $C$13, 100%, $E$13)</f>
        <v>14.680199999999999</v>
      </c>
      <c r="H775" s="64">
        <f>25.3175* CHOOSE(CONTROL!$C$22, $C$13, 100%, $E$13)</f>
        <v>25.317499999999999</v>
      </c>
      <c r="I775" s="64">
        <f>25.3176 * CHOOSE(CONTROL!$C$22, $C$13, 100%, $E$13)</f>
        <v>25.317599999999999</v>
      </c>
      <c r="J775" s="64">
        <f>14.6801 * CHOOSE(CONTROL!$C$22, $C$13, 100%, $E$13)</f>
        <v>14.680099999999999</v>
      </c>
      <c r="K775" s="64">
        <f>14.6802 * CHOOSE(CONTROL!$C$22, $C$13, 100%, $E$13)</f>
        <v>14.680199999999999</v>
      </c>
    </row>
    <row r="776" spans="1:11" ht="15">
      <c r="A776" s="13">
        <v>65106</v>
      </c>
      <c r="B776" s="63">
        <f>12.8999 * CHOOSE(CONTROL!$C$22, $C$13, 100%, $E$13)</f>
        <v>12.899900000000001</v>
      </c>
      <c r="C776" s="63">
        <f>12.8999 * CHOOSE(CONTROL!$C$22, $C$13, 100%, $E$13)</f>
        <v>12.899900000000001</v>
      </c>
      <c r="D776" s="63">
        <f>12.8999 * CHOOSE(CONTROL!$C$22, $C$13, 100%, $E$13)</f>
        <v>12.899900000000001</v>
      </c>
      <c r="E776" s="64">
        <f>14.8959 * CHOOSE(CONTROL!$C$22, $C$13, 100%, $E$13)</f>
        <v>14.895899999999999</v>
      </c>
      <c r="F776" s="64">
        <f>14.8959 * CHOOSE(CONTROL!$C$22, $C$13, 100%, $E$13)</f>
        <v>14.895899999999999</v>
      </c>
      <c r="G776" s="64">
        <f>14.896 * CHOOSE(CONTROL!$C$22, $C$13, 100%, $E$13)</f>
        <v>14.896000000000001</v>
      </c>
      <c r="H776" s="64">
        <f>25.3703* CHOOSE(CONTROL!$C$22, $C$13, 100%, $E$13)</f>
        <v>25.3703</v>
      </c>
      <c r="I776" s="64">
        <f>25.3703 * CHOOSE(CONTROL!$C$22, $C$13, 100%, $E$13)</f>
        <v>25.3703</v>
      </c>
      <c r="J776" s="64">
        <f>14.8959 * CHOOSE(CONTROL!$C$22, $C$13, 100%, $E$13)</f>
        <v>14.895899999999999</v>
      </c>
      <c r="K776" s="64">
        <f>14.896 * CHOOSE(CONTROL!$C$22, $C$13, 100%, $E$13)</f>
        <v>14.896000000000001</v>
      </c>
    </row>
    <row r="777" spans="1:11" ht="15">
      <c r="A777" s="13">
        <v>65136</v>
      </c>
      <c r="B777" s="63">
        <f>12.8999 * CHOOSE(CONTROL!$C$22, $C$13, 100%, $E$13)</f>
        <v>12.899900000000001</v>
      </c>
      <c r="C777" s="63">
        <f>12.8999 * CHOOSE(CONTROL!$C$22, $C$13, 100%, $E$13)</f>
        <v>12.899900000000001</v>
      </c>
      <c r="D777" s="63">
        <f>12.9084 * CHOOSE(CONTROL!$C$22, $C$13, 100%, $E$13)</f>
        <v>12.9084</v>
      </c>
      <c r="E777" s="64">
        <f>14.9784 * CHOOSE(CONTROL!$C$22, $C$13, 100%, $E$13)</f>
        <v>14.978400000000001</v>
      </c>
      <c r="F777" s="64">
        <f>14.9784 * CHOOSE(CONTROL!$C$22, $C$13, 100%, $E$13)</f>
        <v>14.978400000000001</v>
      </c>
      <c r="G777" s="64">
        <f>14.9886 * CHOOSE(CONTROL!$C$22, $C$13, 100%, $E$13)</f>
        <v>14.9886</v>
      </c>
      <c r="H777" s="64">
        <f>25.4231* CHOOSE(CONTROL!$C$22, $C$13, 100%, $E$13)</f>
        <v>25.423100000000002</v>
      </c>
      <c r="I777" s="64">
        <f>25.4333 * CHOOSE(CONTROL!$C$22, $C$13, 100%, $E$13)</f>
        <v>25.433299999999999</v>
      </c>
      <c r="J777" s="64">
        <f>14.9784 * CHOOSE(CONTROL!$C$22, $C$13, 100%, $E$13)</f>
        <v>14.978400000000001</v>
      </c>
      <c r="K777" s="64">
        <f>14.9886 * CHOOSE(CONTROL!$C$22, $C$13, 100%, $E$13)</f>
        <v>14.9886</v>
      </c>
    </row>
    <row r="778" spans="1:11" ht="15">
      <c r="A778" s="13">
        <v>65167</v>
      </c>
      <c r="B778" s="63">
        <f>12.906 * CHOOSE(CONTROL!$C$22, $C$13, 100%, $E$13)</f>
        <v>12.906000000000001</v>
      </c>
      <c r="C778" s="63">
        <f>12.906 * CHOOSE(CONTROL!$C$22, $C$13, 100%, $E$13)</f>
        <v>12.906000000000001</v>
      </c>
      <c r="D778" s="63">
        <f>12.9144 * CHOOSE(CONTROL!$C$22, $C$13, 100%, $E$13)</f>
        <v>12.914400000000001</v>
      </c>
      <c r="E778" s="64">
        <f>14.9001 * CHOOSE(CONTROL!$C$22, $C$13, 100%, $E$13)</f>
        <v>14.9001</v>
      </c>
      <c r="F778" s="64">
        <f>14.9001 * CHOOSE(CONTROL!$C$22, $C$13, 100%, $E$13)</f>
        <v>14.9001</v>
      </c>
      <c r="G778" s="64">
        <f>14.9104 * CHOOSE(CONTROL!$C$22, $C$13, 100%, $E$13)</f>
        <v>14.910399999999999</v>
      </c>
      <c r="H778" s="64">
        <f>25.4761* CHOOSE(CONTROL!$C$22, $C$13, 100%, $E$13)</f>
        <v>25.476099999999999</v>
      </c>
      <c r="I778" s="64">
        <f>25.4863 * CHOOSE(CONTROL!$C$22, $C$13, 100%, $E$13)</f>
        <v>25.4863</v>
      </c>
      <c r="J778" s="64">
        <f>14.9001 * CHOOSE(CONTROL!$C$22, $C$13, 100%, $E$13)</f>
        <v>14.9001</v>
      </c>
      <c r="K778" s="64">
        <f>14.9104 * CHOOSE(CONTROL!$C$22, $C$13, 100%, $E$13)</f>
        <v>14.910399999999999</v>
      </c>
    </row>
    <row r="779" spans="1:11" ht="15">
      <c r="A779" s="13">
        <v>65197</v>
      </c>
      <c r="B779" s="63">
        <f>13.1025 * CHOOSE(CONTROL!$C$22, $C$13, 100%, $E$13)</f>
        <v>13.102499999999999</v>
      </c>
      <c r="C779" s="63">
        <f>13.1025 * CHOOSE(CONTROL!$C$22, $C$13, 100%, $E$13)</f>
        <v>13.102499999999999</v>
      </c>
      <c r="D779" s="63">
        <f>13.111 * CHOOSE(CONTROL!$C$22, $C$13, 100%, $E$13)</f>
        <v>13.111000000000001</v>
      </c>
      <c r="E779" s="64">
        <f>15.138 * CHOOSE(CONTROL!$C$22, $C$13, 100%, $E$13)</f>
        <v>15.138</v>
      </c>
      <c r="F779" s="64">
        <f>15.138 * CHOOSE(CONTROL!$C$22, $C$13, 100%, $E$13)</f>
        <v>15.138</v>
      </c>
      <c r="G779" s="64">
        <f>15.1482 * CHOOSE(CONTROL!$C$22, $C$13, 100%, $E$13)</f>
        <v>15.148199999999999</v>
      </c>
      <c r="H779" s="64">
        <f>25.5291* CHOOSE(CONTROL!$C$22, $C$13, 100%, $E$13)</f>
        <v>25.5291</v>
      </c>
      <c r="I779" s="64">
        <f>25.5394 * CHOOSE(CONTROL!$C$22, $C$13, 100%, $E$13)</f>
        <v>25.539400000000001</v>
      </c>
      <c r="J779" s="64">
        <f>15.138 * CHOOSE(CONTROL!$C$22, $C$13, 100%, $E$13)</f>
        <v>15.138</v>
      </c>
      <c r="K779" s="64">
        <f>15.1482 * CHOOSE(CONTROL!$C$22, $C$13, 100%, $E$13)</f>
        <v>15.148199999999999</v>
      </c>
    </row>
    <row r="780" spans="1:11" ht="15">
      <c r="A780" s="13">
        <v>65228</v>
      </c>
      <c r="B780" s="63">
        <f>13.1092 * CHOOSE(CONTROL!$C$22, $C$13, 100%, $E$13)</f>
        <v>13.1092</v>
      </c>
      <c r="C780" s="63">
        <f>13.1092 * CHOOSE(CONTROL!$C$22, $C$13, 100%, $E$13)</f>
        <v>13.1092</v>
      </c>
      <c r="D780" s="63">
        <f>13.1176 * CHOOSE(CONTROL!$C$22, $C$13, 100%, $E$13)</f>
        <v>13.117599999999999</v>
      </c>
      <c r="E780" s="64">
        <f>14.8951 * CHOOSE(CONTROL!$C$22, $C$13, 100%, $E$13)</f>
        <v>14.895099999999999</v>
      </c>
      <c r="F780" s="64">
        <f>14.8951 * CHOOSE(CONTROL!$C$22, $C$13, 100%, $E$13)</f>
        <v>14.895099999999999</v>
      </c>
      <c r="G780" s="64">
        <f>14.9053 * CHOOSE(CONTROL!$C$22, $C$13, 100%, $E$13)</f>
        <v>14.9053</v>
      </c>
      <c r="H780" s="64">
        <f>25.5823* CHOOSE(CONTROL!$C$22, $C$13, 100%, $E$13)</f>
        <v>25.5823</v>
      </c>
      <c r="I780" s="64">
        <f>25.5926 * CHOOSE(CONTROL!$C$22, $C$13, 100%, $E$13)</f>
        <v>25.592600000000001</v>
      </c>
      <c r="J780" s="64">
        <f>14.8951 * CHOOSE(CONTROL!$C$22, $C$13, 100%, $E$13)</f>
        <v>14.895099999999999</v>
      </c>
      <c r="K780" s="64">
        <f>14.9053 * CHOOSE(CONTROL!$C$22, $C$13, 100%, $E$13)</f>
        <v>14.9053</v>
      </c>
    </row>
    <row r="781" spans="1:11" ht="15">
      <c r="A781" s="13">
        <v>65259</v>
      </c>
      <c r="B781" s="63">
        <f>13.1062 * CHOOSE(CONTROL!$C$22, $C$13, 100%, $E$13)</f>
        <v>13.106199999999999</v>
      </c>
      <c r="C781" s="63">
        <f>13.1062 * CHOOSE(CONTROL!$C$22, $C$13, 100%, $E$13)</f>
        <v>13.106199999999999</v>
      </c>
      <c r="D781" s="63">
        <f>13.1146 * CHOOSE(CONTROL!$C$22, $C$13, 100%, $E$13)</f>
        <v>13.114599999999999</v>
      </c>
      <c r="E781" s="64">
        <f>14.8655 * CHOOSE(CONTROL!$C$22, $C$13, 100%, $E$13)</f>
        <v>14.865500000000001</v>
      </c>
      <c r="F781" s="64">
        <f>14.8655 * CHOOSE(CONTROL!$C$22, $C$13, 100%, $E$13)</f>
        <v>14.865500000000001</v>
      </c>
      <c r="G781" s="64">
        <f>14.8757 * CHOOSE(CONTROL!$C$22, $C$13, 100%, $E$13)</f>
        <v>14.8757</v>
      </c>
      <c r="H781" s="64">
        <f>25.6356* CHOOSE(CONTROL!$C$22, $C$13, 100%, $E$13)</f>
        <v>25.6356</v>
      </c>
      <c r="I781" s="64">
        <f>25.6459 * CHOOSE(CONTROL!$C$22, $C$13, 100%, $E$13)</f>
        <v>25.645900000000001</v>
      </c>
      <c r="J781" s="64">
        <f>14.8655 * CHOOSE(CONTROL!$C$22, $C$13, 100%, $E$13)</f>
        <v>14.865500000000001</v>
      </c>
      <c r="K781" s="64">
        <f>14.8757 * CHOOSE(CONTROL!$C$22, $C$13, 100%, $E$13)</f>
        <v>14.8757</v>
      </c>
    </row>
    <row r="782" spans="1:11" ht="15">
      <c r="A782" s="13">
        <v>65289</v>
      </c>
      <c r="B782" s="63">
        <f>13.1306 * CHOOSE(CONTROL!$C$22, $C$13, 100%, $E$13)</f>
        <v>13.130599999999999</v>
      </c>
      <c r="C782" s="63">
        <f>13.1306 * CHOOSE(CONTROL!$C$22, $C$13, 100%, $E$13)</f>
        <v>13.130599999999999</v>
      </c>
      <c r="D782" s="63">
        <f>13.1306 * CHOOSE(CONTROL!$C$22, $C$13, 100%, $E$13)</f>
        <v>13.130599999999999</v>
      </c>
      <c r="E782" s="64">
        <f>14.9621 * CHOOSE(CONTROL!$C$22, $C$13, 100%, $E$13)</f>
        <v>14.9621</v>
      </c>
      <c r="F782" s="64">
        <f>14.9621 * CHOOSE(CONTROL!$C$22, $C$13, 100%, $E$13)</f>
        <v>14.9621</v>
      </c>
      <c r="G782" s="64">
        <f>14.9622 * CHOOSE(CONTROL!$C$22, $C$13, 100%, $E$13)</f>
        <v>14.962199999999999</v>
      </c>
      <c r="H782" s="64">
        <f>25.689* CHOOSE(CONTROL!$C$22, $C$13, 100%, $E$13)</f>
        <v>25.689</v>
      </c>
      <c r="I782" s="64">
        <f>25.6891 * CHOOSE(CONTROL!$C$22, $C$13, 100%, $E$13)</f>
        <v>25.6891</v>
      </c>
      <c r="J782" s="64">
        <f>14.9621 * CHOOSE(CONTROL!$C$22, $C$13, 100%, $E$13)</f>
        <v>14.9621</v>
      </c>
      <c r="K782" s="64">
        <f>14.9622 * CHOOSE(CONTROL!$C$22, $C$13, 100%, $E$13)</f>
        <v>14.962199999999999</v>
      </c>
    </row>
    <row r="783" spans="1:11" ht="15">
      <c r="A783" s="13">
        <v>65320</v>
      </c>
      <c r="B783" s="63">
        <f>13.1336 * CHOOSE(CONTROL!$C$22, $C$13, 100%, $E$13)</f>
        <v>13.133599999999999</v>
      </c>
      <c r="C783" s="63">
        <f>13.1336 * CHOOSE(CONTROL!$C$22, $C$13, 100%, $E$13)</f>
        <v>13.133599999999999</v>
      </c>
      <c r="D783" s="63">
        <f>13.1336 * CHOOSE(CONTROL!$C$22, $C$13, 100%, $E$13)</f>
        <v>13.133599999999999</v>
      </c>
      <c r="E783" s="64">
        <f>15.0192 * CHOOSE(CONTROL!$C$22, $C$13, 100%, $E$13)</f>
        <v>15.0192</v>
      </c>
      <c r="F783" s="64">
        <f>15.0192 * CHOOSE(CONTROL!$C$22, $C$13, 100%, $E$13)</f>
        <v>15.0192</v>
      </c>
      <c r="G783" s="64">
        <f>15.0193 * CHOOSE(CONTROL!$C$22, $C$13, 100%, $E$13)</f>
        <v>15.019299999999999</v>
      </c>
      <c r="H783" s="64">
        <f>25.7426* CHOOSE(CONTROL!$C$22, $C$13, 100%, $E$13)</f>
        <v>25.742599999999999</v>
      </c>
      <c r="I783" s="64">
        <f>25.7426 * CHOOSE(CONTROL!$C$22, $C$13, 100%, $E$13)</f>
        <v>25.742599999999999</v>
      </c>
      <c r="J783" s="64">
        <f>15.0192 * CHOOSE(CONTROL!$C$22, $C$13, 100%, $E$13)</f>
        <v>15.0192</v>
      </c>
      <c r="K783" s="64">
        <f>15.0193 * CHOOSE(CONTROL!$C$22, $C$13, 100%, $E$13)</f>
        <v>15.019299999999999</v>
      </c>
    </row>
    <row r="784" spans="1:11" ht="15">
      <c r="A784" s="13">
        <v>65350</v>
      </c>
      <c r="B784" s="63">
        <f>13.1336 * CHOOSE(CONTROL!$C$22, $C$13, 100%, $E$13)</f>
        <v>13.133599999999999</v>
      </c>
      <c r="C784" s="63">
        <f>13.1336 * CHOOSE(CONTROL!$C$22, $C$13, 100%, $E$13)</f>
        <v>13.133599999999999</v>
      </c>
      <c r="D784" s="63">
        <f>13.1336 * CHOOSE(CONTROL!$C$22, $C$13, 100%, $E$13)</f>
        <v>13.133599999999999</v>
      </c>
      <c r="E784" s="64">
        <f>14.8817 * CHOOSE(CONTROL!$C$22, $C$13, 100%, $E$13)</f>
        <v>14.8817</v>
      </c>
      <c r="F784" s="64">
        <f>14.8817 * CHOOSE(CONTROL!$C$22, $C$13, 100%, $E$13)</f>
        <v>14.8817</v>
      </c>
      <c r="G784" s="64">
        <f>14.8818 * CHOOSE(CONTROL!$C$22, $C$13, 100%, $E$13)</f>
        <v>14.8818</v>
      </c>
      <c r="H784" s="64">
        <f>25.7962* CHOOSE(CONTROL!$C$22, $C$13, 100%, $E$13)</f>
        <v>25.796199999999999</v>
      </c>
      <c r="I784" s="64">
        <f>25.7963 * CHOOSE(CONTROL!$C$22, $C$13, 100%, $E$13)</f>
        <v>25.796299999999999</v>
      </c>
      <c r="J784" s="64">
        <f>14.8817 * CHOOSE(CONTROL!$C$22, $C$13, 100%, $E$13)</f>
        <v>14.8817</v>
      </c>
      <c r="K784" s="64">
        <f>14.8818 * CHOOSE(CONTROL!$C$22, $C$13, 100%, $E$13)</f>
        <v>14.8818</v>
      </c>
    </row>
    <row r="785" spans="1:11" ht="15">
      <c r="A785" s="13">
        <v>65381</v>
      </c>
      <c r="B785" s="63">
        <f>13.1365 * CHOOSE(CONTROL!$C$22, $C$13, 100%, $E$13)</f>
        <v>13.1365</v>
      </c>
      <c r="C785" s="63">
        <f>13.1365 * CHOOSE(CONTROL!$C$22, $C$13, 100%, $E$13)</f>
        <v>13.1365</v>
      </c>
      <c r="D785" s="63">
        <f>13.1365 * CHOOSE(CONTROL!$C$22, $C$13, 100%, $E$13)</f>
        <v>13.1365</v>
      </c>
      <c r="E785" s="64">
        <f>14.9941 * CHOOSE(CONTROL!$C$22, $C$13, 100%, $E$13)</f>
        <v>14.9941</v>
      </c>
      <c r="F785" s="64">
        <f>14.9941 * CHOOSE(CONTROL!$C$22, $C$13, 100%, $E$13)</f>
        <v>14.9941</v>
      </c>
      <c r="G785" s="64">
        <f>14.9941 * CHOOSE(CONTROL!$C$22, $C$13, 100%, $E$13)</f>
        <v>14.9941</v>
      </c>
      <c r="H785" s="64">
        <f>25.6582* CHOOSE(CONTROL!$C$22, $C$13, 100%, $E$13)</f>
        <v>25.658200000000001</v>
      </c>
      <c r="I785" s="64">
        <f>25.6583 * CHOOSE(CONTROL!$C$22, $C$13, 100%, $E$13)</f>
        <v>25.658300000000001</v>
      </c>
      <c r="J785" s="64">
        <f>14.9941 * CHOOSE(CONTROL!$C$22, $C$13, 100%, $E$13)</f>
        <v>14.9941</v>
      </c>
      <c r="K785" s="64">
        <f>14.9941 * CHOOSE(CONTROL!$C$22, $C$13, 100%, $E$13)</f>
        <v>14.9941</v>
      </c>
    </row>
    <row r="786" spans="1:11" ht="15">
      <c r="A786" s="13">
        <v>65412</v>
      </c>
      <c r="B786" s="63">
        <f>13.1334 * CHOOSE(CONTROL!$C$22, $C$13, 100%, $E$13)</f>
        <v>13.1334</v>
      </c>
      <c r="C786" s="63">
        <f>13.1334 * CHOOSE(CONTROL!$C$22, $C$13, 100%, $E$13)</f>
        <v>13.1334</v>
      </c>
      <c r="D786" s="63">
        <f>13.1334 * CHOOSE(CONTROL!$C$22, $C$13, 100%, $E$13)</f>
        <v>13.1334</v>
      </c>
      <c r="E786" s="64">
        <f>14.7271 * CHOOSE(CONTROL!$C$22, $C$13, 100%, $E$13)</f>
        <v>14.7271</v>
      </c>
      <c r="F786" s="64">
        <f>14.7271 * CHOOSE(CONTROL!$C$22, $C$13, 100%, $E$13)</f>
        <v>14.7271</v>
      </c>
      <c r="G786" s="64">
        <f>14.7272 * CHOOSE(CONTROL!$C$22, $C$13, 100%, $E$13)</f>
        <v>14.7272</v>
      </c>
      <c r="H786" s="64">
        <f>25.7117* CHOOSE(CONTROL!$C$22, $C$13, 100%, $E$13)</f>
        <v>25.7117</v>
      </c>
      <c r="I786" s="64">
        <f>25.7118 * CHOOSE(CONTROL!$C$22, $C$13, 100%, $E$13)</f>
        <v>25.7118</v>
      </c>
      <c r="J786" s="64">
        <f>14.7271 * CHOOSE(CONTROL!$C$22, $C$13, 100%, $E$13)</f>
        <v>14.7271</v>
      </c>
      <c r="K786" s="64">
        <f>14.7272 * CHOOSE(CONTROL!$C$22, $C$13, 100%, $E$13)</f>
        <v>14.7272</v>
      </c>
    </row>
    <row r="787" spans="1:11" ht="15">
      <c r="A787" s="13">
        <v>65440</v>
      </c>
      <c r="B787" s="63">
        <f>13.1304 * CHOOSE(CONTROL!$C$22, $C$13, 100%, $E$13)</f>
        <v>13.1304</v>
      </c>
      <c r="C787" s="63">
        <f>13.1304 * CHOOSE(CONTROL!$C$22, $C$13, 100%, $E$13)</f>
        <v>13.1304</v>
      </c>
      <c r="D787" s="63">
        <f>13.1304 * CHOOSE(CONTROL!$C$22, $C$13, 100%, $E$13)</f>
        <v>13.1304</v>
      </c>
      <c r="E787" s="64">
        <f>14.9338 * CHOOSE(CONTROL!$C$22, $C$13, 100%, $E$13)</f>
        <v>14.9338</v>
      </c>
      <c r="F787" s="64">
        <f>14.9338 * CHOOSE(CONTROL!$C$22, $C$13, 100%, $E$13)</f>
        <v>14.9338</v>
      </c>
      <c r="G787" s="64">
        <f>14.9338 * CHOOSE(CONTROL!$C$22, $C$13, 100%, $E$13)</f>
        <v>14.9338</v>
      </c>
      <c r="H787" s="64">
        <f>25.7653* CHOOSE(CONTROL!$C$22, $C$13, 100%, $E$13)</f>
        <v>25.7653</v>
      </c>
      <c r="I787" s="64">
        <f>25.7653 * CHOOSE(CONTROL!$C$22, $C$13, 100%, $E$13)</f>
        <v>25.7653</v>
      </c>
      <c r="J787" s="64">
        <f>14.9338 * CHOOSE(CONTROL!$C$22, $C$13, 100%, $E$13)</f>
        <v>14.9338</v>
      </c>
      <c r="K787" s="64">
        <f>14.9338 * CHOOSE(CONTROL!$C$22, $C$13, 100%, $E$13)</f>
        <v>14.9338</v>
      </c>
    </row>
    <row r="788" spans="1:11" ht="15">
      <c r="A788" s="13">
        <v>65471</v>
      </c>
      <c r="B788" s="63">
        <f>13.1357 * CHOOSE(CONTROL!$C$22, $C$13, 100%, $E$13)</f>
        <v>13.1357</v>
      </c>
      <c r="C788" s="63">
        <f>13.1357 * CHOOSE(CONTROL!$C$22, $C$13, 100%, $E$13)</f>
        <v>13.1357</v>
      </c>
      <c r="D788" s="63">
        <f>13.1357 * CHOOSE(CONTROL!$C$22, $C$13, 100%, $E$13)</f>
        <v>13.1357</v>
      </c>
      <c r="E788" s="64">
        <f>15.1538 * CHOOSE(CONTROL!$C$22, $C$13, 100%, $E$13)</f>
        <v>15.1538</v>
      </c>
      <c r="F788" s="64">
        <f>15.1538 * CHOOSE(CONTROL!$C$22, $C$13, 100%, $E$13)</f>
        <v>15.1538</v>
      </c>
      <c r="G788" s="64">
        <f>15.1538 * CHOOSE(CONTROL!$C$22, $C$13, 100%, $E$13)</f>
        <v>15.1538</v>
      </c>
      <c r="H788" s="64">
        <f>25.8189* CHOOSE(CONTROL!$C$22, $C$13, 100%, $E$13)</f>
        <v>25.818899999999999</v>
      </c>
      <c r="I788" s="64">
        <f>25.819 * CHOOSE(CONTROL!$C$22, $C$13, 100%, $E$13)</f>
        <v>25.818999999999999</v>
      </c>
      <c r="J788" s="64">
        <f>15.1538 * CHOOSE(CONTROL!$C$22, $C$13, 100%, $E$13)</f>
        <v>15.1538</v>
      </c>
      <c r="K788" s="64">
        <f>15.1538 * CHOOSE(CONTROL!$C$22, $C$13, 100%, $E$13)</f>
        <v>15.1538</v>
      </c>
    </row>
    <row r="789" spans="1:11" ht="15">
      <c r="A789" s="13">
        <v>65501</v>
      </c>
      <c r="B789" s="63">
        <f>13.1357 * CHOOSE(CONTROL!$C$22, $C$13, 100%, $E$13)</f>
        <v>13.1357</v>
      </c>
      <c r="C789" s="63">
        <f>13.1357 * CHOOSE(CONTROL!$C$22, $C$13, 100%, $E$13)</f>
        <v>13.1357</v>
      </c>
      <c r="D789" s="63">
        <f>13.1441 * CHOOSE(CONTROL!$C$22, $C$13, 100%, $E$13)</f>
        <v>13.1441</v>
      </c>
      <c r="E789" s="64">
        <f>15.2378 * CHOOSE(CONTROL!$C$22, $C$13, 100%, $E$13)</f>
        <v>15.2378</v>
      </c>
      <c r="F789" s="64">
        <f>15.2378 * CHOOSE(CONTROL!$C$22, $C$13, 100%, $E$13)</f>
        <v>15.2378</v>
      </c>
      <c r="G789" s="64">
        <f>15.2481 * CHOOSE(CONTROL!$C$22, $C$13, 100%, $E$13)</f>
        <v>15.248100000000001</v>
      </c>
      <c r="H789" s="64">
        <f>25.8727* CHOOSE(CONTROL!$C$22, $C$13, 100%, $E$13)</f>
        <v>25.872699999999998</v>
      </c>
      <c r="I789" s="64">
        <f>25.8829 * CHOOSE(CONTROL!$C$22, $C$13, 100%, $E$13)</f>
        <v>25.882899999999999</v>
      </c>
      <c r="J789" s="64">
        <f>15.2378 * CHOOSE(CONTROL!$C$22, $C$13, 100%, $E$13)</f>
        <v>15.2378</v>
      </c>
      <c r="K789" s="64">
        <f>15.2481 * CHOOSE(CONTROL!$C$22, $C$13, 100%, $E$13)</f>
        <v>15.248100000000001</v>
      </c>
    </row>
    <row r="790" spans="1:11" ht="15">
      <c r="A790" s="13">
        <v>65532</v>
      </c>
      <c r="B790" s="63">
        <f>13.1418 * CHOOSE(CONTROL!$C$22, $C$13, 100%, $E$13)</f>
        <v>13.1418</v>
      </c>
      <c r="C790" s="63">
        <f>13.1418 * CHOOSE(CONTROL!$C$22, $C$13, 100%, $E$13)</f>
        <v>13.1418</v>
      </c>
      <c r="D790" s="63">
        <f>13.1502 * CHOOSE(CONTROL!$C$22, $C$13, 100%, $E$13)</f>
        <v>13.1502</v>
      </c>
      <c r="E790" s="64">
        <f>15.158 * CHOOSE(CONTROL!$C$22, $C$13, 100%, $E$13)</f>
        <v>15.157999999999999</v>
      </c>
      <c r="F790" s="64">
        <f>15.158 * CHOOSE(CONTROL!$C$22, $C$13, 100%, $E$13)</f>
        <v>15.157999999999999</v>
      </c>
      <c r="G790" s="64">
        <f>15.1682 * CHOOSE(CONTROL!$C$22, $C$13, 100%, $E$13)</f>
        <v>15.168200000000001</v>
      </c>
      <c r="H790" s="64">
        <f>25.9266* CHOOSE(CONTROL!$C$22, $C$13, 100%, $E$13)</f>
        <v>25.926600000000001</v>
      </c>
      <c r="I790" s="64">
        <f>25.9368 * CHOOSE(CONTROL!$C$22, $C$13, 100%, $E$13)</f>
        <v>25.936800000000002</v>
      </c>
      <c r="J790" s="64">
        <f>15.158 * CHOOSE(CONTROL!$C$22, $C$13, 100%, $E$13)</f>
        <v>15.157999999999999</v>
      </c>
      <c r="K790" s="64">
        <f>15.1682 * CHOOSE(CONTROL!$C$22, $C$13, 100%, $E$13)</f>
        <v>15.168200000000001</v>
      </c>
    </row>
    <row r="791" spans="1:11" ht="15">
      <c r="A791" s="13">
        <v>65562</v>
      </c>
      <c r="B791" s="63">
        <f>13.3417 * CHOOSE(CONTROL!$C$22, $C$13, 100%, $E$13)</f>
        <v>13.341699999999999</v>
      </c>
      <c r="C791" s="63">
        <f>13.3417 * CHOOSE(CONTROL!$C$22, $C$13, 100%, $E$13)</f>
        <v>13.341699999999999</v>
      </c>
      <c r="D791" s="63">
        <f>13.3501 * CHOOSE(CONTROL!$C$22, $C$13, 100%, $E$13)</f>
        <v>13.350099999999999</v>
      </c>
      <c r="E791" s="64">
        <f>15.3998 * CHOOSE(CONTROL!$C$22, $C$13, 100%, $E$13)</f>
        <v>15.399800000000001</v>
      </c>
      <c r="F791" s="64">
        <f>15.3998 * CHOOSE(CONTROL!$C$22, $C$13, 100%, $E$13)</f>
        <v>15.399800000000001</v>
      </c>
      <c r="G791" s="64">
        <f>15.41 * CHOOSE(CONTROL!$C$22, $C$13, 100%, $E$13)</f>
        <v>15.41</v>
      </c>
      <c r="H791" s="64">
        <f>25.9806* CHOOSE(CONTROL!$C$22, $C$13, 100%, $E$13)</f>
        <v>25.980599999999999</v>
      </c>
      <c r="I791" s="64">
        <f>25.9909 * CHOOSE(CONTROL!$C$22, $C$13, 100%, $E$13)</f>
        <v>25.9909</v>
      </c>
      <c r="J791" s="64">
        <f>15.3998 * CHOOSE(CONTROL!$C$22, $C$13, 100%, $E$13)</f>
        <v>15.399800000000001</v>
      </c>
      <c r="K791" s="64">
        <f>15.41 * CHOOSE(CONTROL!$C$22, $C$13, 100%, $E$13)</f>
        <v>15.41</v>
      </c>
    </row>
    <row r="792" spans="1:11" ht="15">
      <c r="A792" s="13">
        <v>65593</v>
      </c>
      <c r="B792" s="63">
        <f>13.3484 * CHOOSE(CONTROL!$C$22, $C$13, 100%, $E$13)</f>
        <v>13.3484</v>
      </c>
      <c r="C792" s="63">
        <f>13.3484 * CHOOSE(CONTROL!$C$22, $C$13, 100%, $E$13)</f>
        <v>13.3484</v>
      </c>
      <c r="D792" s="63">
        <f>13.3568 * CHOOSE(CONTROL!$C$22, $C$13, 100%, $E$13)</f>
        <v>13.3568</v>
      </c>
      <c r="E792" s="64">
        <f>15.1522 * CHOOSE(CONTROL!$C$22, $C$13, 100%, $E$13)</f>
        <v>15.152200000000001</v>
      </c>
      <c r="F792" s="64">
        <f>15.1522 * CHOOSE(CONTROL!$C$22, $C$13, 100%, $E$13)</f>
        <v>15.152200000000001</v>
      </c>
      <c r="G792" s="64">
        <f>15.1624 * CHOOSE(CONTROL!$C$22, $C$13, 100%, $E$13)</f>
        <v>15.1624</v>
      </c>
      <c r="H792" s="64">
        <f>26.0348* CHOOSE(CONTROL!$C$22, $C$13, 100%, $E$13)</f>
        <v>26.034800000000001</v>
      </c>
      <c r="I792" s="64">
        <f>26.045 * CHOOSE(CONTROL!$C$22, $C$13, 100%, $E$13)</f>
        <v>26.045000000000002</v>
      </c>
      <c r="J792" s="64">
        <f>15.1522 * CHOOSE(CONTROL!$C$22, $C$13, 100%, $E$13)</f>
        <v>15.152200000000001</v>
      </c>
      <c r="K792" s="64">
        <f>15.1624 * CHOOSE(CONTROL!$C$22, $C$13, 100%, $E$13)</f>
        <v>15.1624</v>
      </c>
    </row>
    <row r="793" spans="1:11" ht="15">
      <c r="A793" s="13">
        <v>65624</v>
      </c>
      <c r="B793" s="63">
        <f>13.3454 * CHOOSE(CONTROL!$C$22, $C$13, 100%, $E$13)</f>
        <v>13.3454</v>
      </c>
      <c r="C793" s="63">
        <f>13.3454 * CHOOSE(CONTROL!$C$22, $C$13, 100%, $E$13)</f>
        <v>13.3454</v>
      </c>
      <c r="D793" s="63">
        <f>13.3538 * CHOOSE(CONTROL!$C$22, $C$13, 100%, $E$13)</f>
        <v>13.3538</v>
      </c>
      <c r="E793" s="64">
        <f>15.1221 * CHOOSE(CONTROL!$C$22, $C$13, 100%, $E$13)</f>
        <v>15.1221</v>
      </c>
      <c r="F793" s="64">
        <f>15.1221 * CHOOSE(CONTROL!$C$22, $C$13, 100%, $E$13)</f>
        <v>15.1221</v>
      </c>
      <c r="G793" s="64">
        <f>15.1323 * CHOOSE(CONTROL!$C$22, $C$13, 100%, $E$13)</f>
        <v>15.132300000000001</v>
      </c>
      <c r="H793" s="64">
        <f>26.089* CHOOSE(CONTROL!$C$22, $C$13, 100%, $E$13)</f>
        <v>26.088999999999999</v>
      </c>
      <c r="I793" s="64">
        <f>26.0992 * CHOOSE(CONTROL!$C$22, $C$13, 100%, $E$13)</f>
        <v>26.0992</v>
      </c>
      <c r="J793" s="64">
        <f>15.1221 * CHOOSE(CONTROL!$C$22, $C$13, 100%, $E$13)</f>
        <v>15.1221</v>
      </c>
      <c r="K793" s="64">
        <f>15.1323 * CHOOSE(CONTROL!$C$22, $C$13, 100%, $E$13)</f>
        <v>15.132300000000001</v>
      </c>
    </row>
    <row r="794" spans="1:11" ht="15">
      <c r="A794" s="13">
        <v>65654</v>
      </c>
      <c r="B794" s="63">
        <f>13.3705 * CHOOSE(CONTROL!$C$22, $C$13, 100%, $E$13)</f>
        <v>13.3705</v>
      </c>
      <c r="C794" s="63">
        <f>13.3705 * CHOOSE(CONTROL!$C$22, $C$13, 100%, $E$13)</f>
        <v>13.3705</v>
      </c>
      <c r="D794" s="63">
        <f>13.3705 * CHOOSE(CONTROL!$C$22, $C$13, 100%, $E$13)</f>
        <v>13.3705</v>
      </c>
      <c r="E794" s="64">
        <f>15.2207 * CHOOSE(CONTROL!$C$22, $C$13, 100%, $E$13)</f>
        <v>15.220700000000001</v>
      </c>
      <c r="F794" s="64">
        <f>15.2207 * CHOOSE(CONTROL!$C$22, $C$13, 100%, $E$13)</f>
        <v>15.220700000000001</v>
      </c>
      <c r="G794" s="64">
        <f>15.2208 * CHOOSE(CONTROL!$C$22, $C$13, 100%, $E$13)</f>
        <v>15.220800000000001</v>
      </c>
      <c r="H794" s="64">
        <f>26.1434* CHOOSE(CONTROL!$C$22, $C$13, 100%, $E$13)</f>
        <v>26.1434</v>
      </c>
      <c r="I794" s="64">
        <f>26.1434 * CHOOSE(CONTROL!$C$22, $C$13, 100%, $E$13)</f>
        <v>26.1434</v>
      </c>
      <c r="J794" s="64">
        <f>15.2207 * CHOOSE(CONTROL!$C$22, $C$13, 100%, $E$13)</f>
        <v>15.220700000000001</v>
      </c>
      <c r="K794" s="64">
        <f>15.2208 * CHOOSE(CONTROL!$C$22, $C$13, 100%, $E$13)</f>
        <v>15.220800000000001</v>
      </c>
    </row>
    <row r="795" spans="1:11" ht="15">
      <c r="A795" s="13">
        <v>65685</v>
      </c>
      <c r="B795" s="63">
        <f>13.3736 * CHOOSE(CONTROL!$C$22, $C$13, 100%, $E$13)</f>
        <v>13.3736</v>
      </c>
      <c r="C795" s="63">
        <f>13.3736 * CHOOSE(CONTROL!$C$22, $C$13, 100%, $E$13)</f>
        <v>13.3736</v>
      </c>
      <c r="D795" s="63">
        <f>13.3736 * CHOOSE(CONTROL!$C$22, $C$13, 100%, $E$13)</f>
        <v>13.3736</v>
      </c>
      <c r="E795" s="64">
        <f>15.2789 * CHOOSE(CONTROL!$C$22, $C$13, 100%, $E$13)</f>
        <v>15.2789</v>
      </c>
      <c r="F795" s="64">
        <f>15.2789 * CHOOSE(CONTROL!$C$22, $C$13, 100%, $E$13)</f>
        <v>15.2789</v>
      </c>
      <c r="G795" s="64">
        <f>15.279 * CHOOSE(CONTROL!$C$22, $C$13, 100%, $E$13)</f>
        <v>15.279</v>
      </c>
      <c r="H795" s="64">
        <f>26.1978* CHOOSE(CONTROL!$C$22, $C$13, 100%, $E$13)</f>
        <v>26.197800000000001</v>
      </c>
      <c r="I795" s="64">
        <f>26.1979 * CHOOSE(CONTROL!$C$22, $C$13, 100%, $E$13)</f>
        <v>26.197900000000001</v>
      </c>
      <c r="J795" s="64">
        <f>15.2789 * CHOOSE(CONTROL!$C$22, $C$13, 100%, $E$13)</f>
        <v>15.2789</v>
      </c>
      <c r="K795" s="64">
        <f>15.279 * CHOOSE(CONTROL!$C$22, $C$13, 100%, $E$13)</f>
        <v>15.279</v>
      </c>
    </row>
    <row r="796" spans="1:11" ht="15">
      <c r="A796" s="13">
        <v>65715</v>
      </c>
      <c r="B796" s="63">
        <f>13.3736 * CHOOSE(CONTROL!$C$22, $C$13, 100%, $E$13)</f>
        <v>13.3736</v>
      </c>
      <c r="C796" s="63">
        <f>13.3736 * CHOOSE(CONTROL!$C$22, $C$13, 100%, $E$13)</f>
        <v>13.3736</v>
      </c>
      <c r="D796" s="63">
        <f>13.3736 * CHOOSE(CONTROL!$C$22, $C$13, 100%, $E$13)</f>
        <v>13.3736</v>
      </c>
      <c r="E796" s="64">
        <f>15.1388 * CHOOSE(CONTROL!$C$22, $C$13, 100%, $E$13)</f>
        <v>15.1388</v>
      </c>
      <c r="F796" s="64">
        <f>15.1388 * CHOOSE(CONTROL!$C$22, $C$13, 100%, $E$13)</f>
        <v>15.1388</v>
      </c>
      <c r="G796" s="64">
        <f>15.1389 * CHOOSE(CONTROL!$C$22, $C$13, 100%, $E$13)</f>
        <v>15.1389</v>
      </c>
      <c r="H796" s="64">
        <f>26.2524* CHOOSE(CONTROL!$C$22, $C$13, 100%, $E$13)</f>
        <v>26.252400000000002</v>
      </c>
      <c r="I796" s="64">
        <f>26.2525 * CHOOSE(CONTROL!$C$22, $C$13, 100%, $E$13)</f>
        <v>26.252500000000001</v>
      </c>
      <c r="J796" s="64">
        <f>15.1388 * CHOOSE(CONTROL!$C$22, $C$13, 100%, $E$13)</f>
        <v>15.1388</v>
      </c>
      <c r="K796" s="64">
        <f>15.1389 * CHOOSE(CONTROL!$C$22, $C$13, 100%, $E$13)</f>
        <v>15.1389</v>
      </c>
    </row>
    <row r="797" spans="1:11" ht="15">
      <c r="A797" s="13">
        <v>65746</v>
      </c>
      <c r="B797" s="63">
        <f>13.372 * CHOOSE(CONTROL!$C$22, $C$13, 100%, $E$13)</f>
        <v>13.372</v>
      </c>
      <c r="C797" s="63">
        <f>13.372 * CHOOSE(CONTROL!$C$22, $C$13, 100%, $E$13)</f>
        <v>13.372</v>
      </c>
      <c r="D797" s="63">
        <f>13.372 * CHOOSE(CONTROL!$C$22, $C$13, 100%, $E$13)</f>
        <v>13.372</v>
      </c>
      <c r="E797" s="64">
        <f>15.2488 * CHOOSE(CONTROL!$C$22, $C$13, 100%, $E$13)</f>
        <v>15.248799999999999</v>
      </c>
      <c r="F797" s="64">
        <f>15.2488 * CHOOSE(CONTROL!$C$22, $C$13, 100%, $E$13)</f>
        <v>15.248799999999999</v>
      </c>
      <c r="G797" s="64">
        <f>15.2489 * CHOOSE(CONTROL!$C$22, $C$13, 100%, $E$13)</f>
        <v>15.248900000000001</v>
      </c>
      <c r="H797" s="64">
        <f>26.1041* CHOOSE(CONTROL!$C$22, $C$13, 100%, $E$13)</f>
        <v>26.104099999999999</v>
      </c>
      <c r="I797" s="64">
        <f>26.1042 * CHOOSE(CONTROL!$C$22, $C$13, 100%, $E$13)</f>
        <v>26.104199999999999</v>
      </c>
      <c r="J797" s="64">
        <f>15.2488 * CHOOSE(CONTROL!$C$22, $C$13, 100%, $E$13)</f>
        <v>15.248799999999999</v>
      </c>
      <c r="K797" s="64">
        <f>15.2489 * CHOOSE(CONTROL!$C$22, $C$13, 100%, $E$13)</f>
        <v>15.248900000000001</v>
      </c>
    </row>
    <row r="798" spans="1:11" ht="15">
      <c r="A798" s="13">
        <v>65777</v>
      </c>
      <c r="B798" s="63">
        <f>13.369 * CHOOSE(CONTROL!$C$22, $C$13, 100%, $E$13)</f>
        <v>13.369</v>
      </c>
      <c r="C798" s="63">
        <f>13.369 * CHOOSE(CONTROL!$C$22, $C$13, 100%, $E$13)</f>
        <v>13.369</v>
      </c>
      <c r="D798" s="63">
        <f>13.369 * CHOOSE(CONTROL!$C$22, $C$13, 100%, $E$13)</f>
        <v>13.369</v>
      </c>
      <c r="E798" s="64">
        <f>14.9769 * CHOOSE(CONTROL!$C$22, $C$13, 100%, $E$13)</f>
        <v>14.976900000000001</v>
      </c>
      <c r="F798" s="64">
        <f>14.9769 * CHOOSE(CONTROL!$C$22, $C$13, 100%, $E$13)</f>
        <v>14.976900000000001</v>
      </c>
      <c r="G798" s="64">
        <f>14.977 * CHOOSE(CONTROL!$C$22, $C$13, 100%, $E$13)</f>
        <v>14.977</v>
      </c>
      <c r="H798" s="64">
        <f>26.1585* CHOOSE(CONTROL!$C$22, $C$13, 100%, $E$13)</f>
        <v>26.1585</v>
      </c>
      <c r="I798" s="64">
        <f>26.1586 * CHOOSE(CONTROL!$C$22, $C$13, 100%, $E$13)</f>
        <v>26.1586</v>
      </c>
      <c r="J798" s="64">
        <f>14.9769 * CHOOSE(CONTROL!$C$22, $C$13, 100%, $E$13)</f>
        <v>14.976900000000001</v>
      </c>
      <c r="K798" s="64">
        <f>14.977 * CHOOSE(CONTROL!$C$22, $C$13, 100%, $E$13)</f>
        <v>14.977</v>
      </c>
    </row>
    <row r="799" spans="1:11" ht="15">
      <c r="A799" s="13">
        <v>65806</v>
      </c>
      <c r="B799" s="63">
        <f>13.3659 * CHOOSE(CONTROL!$C$22, $C$13, 100%, $E$13)</f>
        <v>13.3659</v>
      </c>
      <c r="C799" s="63">
        <f>13.3659 * CHOOSE(CONTROL!$C$22, $C$13, 100%, $E$13)</f>
        <v>13.3659</v>
      </c>
      <c r="D799" s="63">
        <f>13.366 * CHOOSE(CONTROL!$C$22, $C$13, 100%, $E$13)</f>
        <v>13.366</v>
      </c>
      <c r="E799" s="64">
        <f>15.1874 * CHOOSE(CONTROL!$C$22, $C$13, 100%, $E$13)</f>
        <v>15.1874</v>
      </c>
      <c r="F799" s="64">
        <f>15.1874 * CHOOSE(CONTROL!$C$22, $C$13, 100%, $E$13)</f>
        <v>15.1874</v>
      </c>
      <c r="G799" s="64">
        <f>15.1875 * CHOOSE(CONTROL!$C$22, $C$13, 100%, $E$13)</f>
        <v>15.1875</v>
      </c>
      <c r="H799" s="64">
        <f>26.213* CHOOSE(CONTROL!$C$22, $C$13, 100%, $E$13)</f>
        <v>26.213000000000001</v>
      </c>
      <c r="I799" s="64">
        <f>26.2131 * CHOOSE(CONTROL!$C$22, $C$13, 100%, $E$13)</f>
        <v>26.213100000000001</v>
      </c>
      <c r="J799" s="64">
        <f>15.1874 * CHOOSE(CONTROL!$C$22, $C$13, 100%, $E$13)</f>
        <v>15.1874</v>
      </c>
      <c r="K799" s="64">
        <f>15.1875 * CHOOSE(CONTROL!$C$22, $C$13, 100%, $E$13)</f>
        <v>15.1875</v>
      </c>
    </row>
    <row r="800" spans="1:11" ht="15">
      <c r="A800" s="13">
        <v>65837</v>
      </c>
      <c r="B800" s="63">
        <f>13.3715 * CHOOSE(CONTROL!$C$22, $C$13, 100%, $E$13)</f>
        <v>13.371499999999999</v>
      </c>
      <c r="C800" s="63">
        <f>13.3715 * CHOOSE(CONTROL!$C$22, $C$13, 100%, $E$13)</f>
        <v>13.371499999999999</v>
      </c>
      <c r="D800" s="63">
        <f>13.3715 * CHOOSE(CONTROL!$C$22, $C$13, 100%, $E$13)</f>
        <v>13.371499999999999</v>
      </c>
      <c r="E800" s="64">
        <f>15.4116 * CHOOSE(CONTROL!$C$22, $C$13, 100%, $E$13)</f>
        <v>15.4116</v>
      </c>
      <c r="F800" s="64">
        <f>15.4116 * CHOOSE(CONTROL!$C$22, $C$13, 100%, $E$13)</f>
        <v>15.4116</v>
      </c>
      <c r="G800" s="64">
        <f>15.4117 * CHOOSE(CONTROL!$C$22, $C$13, 100%, $E$13)</f>
        <v>15.4117</v>
      </c>
      <c r="H800" s="64">
        <f>26.2676* CHOOSE(CONTROL!$C$22, $C$13, 100%, $E$13)</f>
        <v>26.267600000000002</v>
      </c>
      <c r="I800" s="64">
        <f>26.2677 * CHOOSE(CONTROL!$C$22, $C$13, 100%, $E$13)</f>
        <v>26.267700000000001</v>
      </c>
      <c r="J800" s="64">
        <f>15.4116 * CHOOSE(CONTROL!$C$22, $C$13, 100%, $E$13)</f>
        <v>15.4116</v>
      </c>
      <c r="K800" s="64">
        <f>15.4117 * CHOOSE(CONTROL!$C$22, $C$13, 100%, $E$13)</f>
        <v>15.4117</v>
      </c>
    </row>
    <row r="801" spans="1:11" ht="15">
      <c r="A801" s="13">
        <v>65867</v>
      </c>
      <c r="B801" s="63">
        <f>13.3715 * CHOOSE(CONTROL!$C$22, $C$13, 100%, $E$13)</f>
        <v>13.371499999999999</v>
      </c>
      <c r="C801" s="63">
        <f>13.3715 * CHOOSE(CONTROL!$C$22, $C$13, 100%, $E$13)</f>
        <v>13.371499999999999</v>
      </c>
      <c r="D801" s="63">
        <f>13.3799 * CHOOSE(CONTROL!$C$22, $C$13, 100%, $E$13)</f>
        <v>13.379899999999999</v>
      </c>
      <c r="E801" s="64">
        <f>15.4973 * CHOOSE(CONTROL!$C$22, $C$13, 100%, $E$13)</f>
        <v>15.497299999999999</v>
      </c>
      <c r="F801" s="64">
        <f>15.4973 * CHOOSE(CONTROL!$C$22, $C$13, 100%, $E$13)</f>
        <v>15.497299999999999</v>
      </c>
      <c r="G801" s="64">
        <f>15.5075 * CHOOSE(CONTROL!$C$22, $C$13, 100%, $E$13)</f>
        <v>15.5075</v>
      </c>
      <c r="H801" s="64">
        <f>26.3223* CHOOSE(CONTROL!$C$22, $C$13, 100%, $E$13)</f>
        <v>26.322299999999998</v>
      </c>
      <c r="I801" s="64">
        <f>26.3326 * CHOOSE(CONTROL!$C$22, $C$13, 100%, $E$13)</f>
        <v>26.332599999999999</v>
      </c>
      <c r="J801" s="64">
        <f>15.4973 * CHOOSE(CONTROL!$C$22, $C$13, 100%, $E$13)</f>
        <v>15.497299999999999</v>
      </c>
      <c r="K801" s="64">
        <f>15.5075 * CHOOSE(CONTROL!$C$22, $C$13, 100%, $E$13)</f>
        <v>15.5075</v>
      </c>
    </row>
    <row r="802" spans="1:11" ht="15">
      <c r="A802" s="13">
        <v>65898</v>
      </c>
      <c r="B802" s="63">
        <f>13.3775 * CHOOSE(CONTROL!$C$22, $C$13, 100%, $E$13)</f>
        <v>13.3775</v>
      </c>
      <c r="C802" s="63">
        <f>13.3775 * CHOOSE(CONTROL!$C$22, $C$13, 100%, $E$13)</f>
        <v>13.3775</v>
      </c>
      <c r="D802" s="63">
        <f>13.386 * CHOOSE(CONTROL!$C$22, $C$13, 100%, $E$13)</f>
        <v>13.385999999999999</v>
      </c>
      <c r="E802" s="64">
        <f>15.4159 * CHOOSE(CONTROL!$C$22, $C$13, 100%, $E$13)</f>
        <v>15.415900000000001</v>
      </c>
      <c r="F802" s="64">
        <f>15.4159 * CHOOSE(CONTROL!$C$22, $C$13, 100%, $E$13)</f>
        <v>15.415900000000001</v>
      </c>
      <c r="G802" s="64">
        <f>15.4261 * CHOOSE(CONTROL!$C$22, $C$13, 100%, $E$13)</f>
        <v>15.4261</v>
      </c>
      <c r="H802" s="64">
        <f>26.3772* CHOOSE(CONTROL!$C$22, $C$13, 100%, $E$13)</f>
        <v>26.377199999999998</v>
      </c>
      <c r="I802" s="64">
        <f>26.3874 * CHOOSE(CONTROL!$C$22, $C$13, 100%, $E$13)</f>
        <v>26.3874</v>
      </c>
      <c r="J802" s="64">
        <f>15.4159 * CHOOSE(CONTROL!$C$22, $C$13, 100%, $E$13)</f>
        <v>15.415900000000001</v>
      </c>
      <c r="K802" s="64">
        <f>15.4261 * CHOOSE(CONTROL!$C$22, $C$13, 100%, $E$13)</f>
        <v>15.4261</v>
      </c>
    </row>
    <row r="803" spans="1:11" ht="15">
      <c r="A803" s="13">
        <v>65928</v>
      </c>
      <c r="B803" s="63">
        <f>13.5809 * CHOOSE(CONTROL!$C$22, $C$13, 100%, $E$13)</f>
        <v>13.5809</v>
      </c>
      <c r="C803" s="63">
        <f>13.5809 * CHOOSE(CONTROL!$C$22, $C$13, 100%, $E$13)</f>
        <v>13.5809</v>
      </c>
      <c r="D803" s="63">
        <f>13.5893 * CHOOSE(CONTROL!$C$22, $C$13, 100%, $E$13)</f>
        <v>13.5893</v>
      </c>
      <c r="E803" s="64">
        <f>15.6616 * CHOOSE(CONTROL!$C$22, $C$13, 100%, $E$13)</f>
        <v>15.6616</v>
      </c>
      <c r="F803" s="64">
        <f>15.6616 * CHOOSE(CONTROL!$C$22, $C$13, 100%, $E$13)</f>
        <v>15.6616</v>
      </c>
      <c r="G803" s="64">
        <f>15.6718 * CHOOSE(CONTROL!$C$22, $C$13, 100%, $E$13)</f>
        <v>15.671799999999999</v>
      </c>
      <c r="H803" s="64">
        <f>26.4321* CHOOSE(CONTROL!$C$22, $C$13, 100%, $E$13)</f>
        <v>26.432099999999998</v>
      </c>
      <c r="I803" s="64">
        <f>26.4424 * CHOOSE(CONTROL!$C$22, $C$13, 100%, $E$13)</f>
        <v>26.442399999999999</v>
      </c>
      <c r="J803" s="64">
        <f>15.6616 * CHOOSE(CONTROL!$C$22, $C$13, 100%, $E$13)</f>
        <v>15.6616</v>
      </c>
      <c r="K803" s="64">
        <f>15.6718 * CHOOSE(CONTROL!$C$22, $C$13, 100%, $E$13)</f>
        <v>15.671799999999999</v>
      </c>
    </row>
    <row r="804" spans="1:11" ht="15">
      <c r="A804" s="13">
        <v>65959</v>
      </c>
      <c r="B804" s="63">
        <f>13.5876 * CHOOSE(CONTROL!$C$22, $C$13, 100%, $E$13)</f>
        <v>13.5876</v>
      </c>
      <c r="C804" s="63">
        <f>13.5876 * CHOOSE(CONTROL!$C$22, $C$13, 100%, $E$13)</f>
        <v>13.5876</v>
      </c>
      <c r="D804" s="63">
        <f>13.596 * CHOOSE(CONTROL!$C$22, $C$13, 100%, $E$13)</f>
        <v>13.596</v>
      </c>
      <c r="E804" s="64">
        <f>15.4093 * CHOOSE(CONTROL!$C$22, $C$13, 100%, $E$13)</f>
        <v>15.4093</v>
      </c>
      <c r="F804" s="64">
        <f>15.4093 * CHOOSE(CONTROL!$C$22, $C$13, 100%, $E$13)</f>
        <v>15.4093</v>
      </c>
      <c r="G804" s="64">
        <f>15.4195 * CHOOSE(CONTROL!$C$22, $C$13, 100%, $E$13)</f>
        <v>15.419499999999999</v>
      </c>
      <c r="H804" s="64">
        <f>26.4872* CHOOSE(CONTROL!$C$22, $C$13, 100%, $E$13)</f>
        <v>26.487200000000001</v>
      </c>
      <c r="I804" s="64">
        <f>26.4974 * CHOOSE(CONTROL!$C$22, $C$13, 100%, $E$13)</f>
        <v>26.497399999999999</v>
      </c>
      <c r="J804" s="64">
        <f>15.4093 * CHOOSE(CONTROL!$C$22, $C$13, 100%, $E$13)</f>
        <v>15.4093</v>
      </c>
      <c r="K804" s="64">
        <f>15.4195 * CHOOSE(CONTROL!$C$22, $C$13, 100%, $E$13)</f>
        <v>15.419499999999999</v>
      </c>
    </row>
    <row r="805" spans="1:11" ht="15">
      <c r="A805" s="13">
        <v>65990</v>
      </c>
      <c r="B805" s="63">
        <f>13.5845 * CHOOSE(CONTROL!$C$22, $C$13, 100%, $E$13)</f>
        <v>13.5845</v>
      </c>
      <c r="C805" s="63">
        <f>13.5845 * CHOOSE(CONTROL!$C$22, $C$13, 100%, $E$13)</f>
        <v>13.5845</v>
      </c>
      <c r="D805" s="63">
        <f>13.593 * CHOOSE(CONTROL!$C$22, $C$13, 100%, $E$13)</f>
        <v>13.593</v>
      </c>
      <c r="E805" s="64">
        <f>15.3786 * CHOOSE(CONTROL!$C$22, $C$13, 100%, $E$13)</f>
        <v>15.3786</v>
      </c>
      <c r="F805" s="64">
        <f>15.3786 * CHOOSE(CONTROL!$C$22, $C$13, 100%, $E$13)</f>
        <v>15.3786</v>
      </c>
      <c r="G805" s="64">
        <f>15.3888 * CHOOSE(CONTROL!$C$22, $C$13, 100%, $E$13)</f>
        <v>15.3888</v>
      </c>
      <c r="H805" s="64">
        <f>26.5424* CHOOSE(CONTROL!$C$22, $C$13, 100%, $E$13)</f>
        <v>26.542400000000001</v>
      </c>
      <c r="I805" s="64">
        <f>26.5526 * CHOOSE(CONTROL!$C$22, $C$13, 100%, $E$13)</f>
        <v>26.552600000000002</v>
      </c>
      <c r="J805" s="64">
        <f>15.3786 * CHOOSE(CONTROL!$C$22, $C$13, 100%, $E$13)</f>
        <v>15.3786</v>
      </c>
      <c r="K805" s="64">
        <f>15.3888 * CHOOSE(CONTROL!$C$22, $C$13, 100%, $E$13)</f>
        <v>15.3888</v>
      </c>
    </row>
    <row r="806" spans="1:11" ht="15">
      <c r="A806" s="13">
        <v>66020</v>
      </c>
      <c r="B806" s="63">
        <f>13.6105 * CHOOSE(CONTROL!$C$22, $C$13, 100%, $E$13)</f>
        <v>13.6105</v>
      </c>
      <c r="C806" s="63">
        <f>13.6105 * CHOOSE(CONTROL!$C$22, $C$13, 100%, $E$13)</f>
        <v>13.6105</v>
      </c>
      <c r="D806" s="63">
        <f>13.6105 * CHOOSE(CONTROL!$C$22, $C$13, 100%, $E$13)</f>
        <v>13.6105</v>
      </c>
      <c r="E806" s="64">
        <f>15.4794 * CHOOSE(CONTROL!$C$22, $C$13, 100%, $E$13)</f>
        <v>15.4794</v>
      </c>
      <c r="F806" s="64">
        <f>15.4794 * CHOOSE(CONTROL!$C$22, $C$13, 100%, $E$13)</f>
        <v>15.4794</v>
      </c>
      <c r="G806" s="64">
        <f>15.4795 * CHOOSE(CONTROL!$C$22, $C$13, 100%, $E$13)</f>
        <v>15.4795</v>
      </c>
      <c r="H806" s="64">
        <f>26.5977* CHOOSE(CONTROL!$C$22, $C$13, 100%, $E$13)</f>
        <v>26.5977</v>
      </c>
      <c r="I806" s="64">
        <f>26.5978 * CHOOSE(CONTROL!$C$22, $C$13, 100%, $E$13)</f>
        <v>26.597799999999999</v>
      </c>
      <c r="J806" s="64">
        <f>15.4794 * CHOOSE(CONTROL!$C$22, $C$13, 100%, $E$13)</f>
        <v>15.4794</v>
      </c>
      <c r="K806" s="64">
        <f>15.4795 * CHOOSE(CONTROL!$C$22, $C$13, 100%, $E$13)</f>
        <v>15.4795</v>
      </c>
    </row>
    <row r="807" spans="1:11" ht="15">
      <c r="A807" s="13">
        <v>66051</v>
      </c>
      <c r="B807" s="63">
        <f>13.6135 * CHOOSE(CONTROL!$C$22, $C$13, 100%, $E$13)</f>
        <v>13.6135</v>
      </c>
      <c r="C807" s="63">
        <f>13.6135 * CHOOSE(CONTROL!$C$22, $C$13, 100%, $E$13)</f>
        <v>13.6135</v>
      </c>
      <c r="D807" s="63">
        <f>13.6135 * CHOOSE(CONTROL!$C$22, $C$13, 100%, $E$13)</f>
        <v>13.6135</v>
      </c>
      <c r="E807" s="64">
        <f>15.5386 * CHOOSE(CONTROL!$C$22, $C$13, 100%, $E$13)</f>
        <v>15.538600000000001</v>
      </c>
      <c r="F807" s="64">
        <f>15.5386 * CHOOSE(CONTROL!$C$22, $C$13, 100%, $E$13)</f>
        <v>15.538600000000001</v>
      </c>
      <c r="G807" s="64">
        <f>15.5387 * CHOOSE(CONTROL!$C$22, $C$13, 100%, $E$13)</f>
        <v>15.5387</v>
      </c>
      <c r="H807" s="64">
        <f>26.6531* CHOOSE(CONTROL!$C$22, $C$13, 100%, $E$13)</f>
        <v>26.653099999999998</v>
      </c>
      <c r="I807" s="64">
        <f>26.6532 * CHOOSE(CONTROL!$C$22, $C$13, 100%, $E$13)</f>
        <v>26.653199999999998</v>
      </c>
      <c r="J807" s="64">
        <f>15.5386 * CHOOSE(CONTROL!$C$22, $C$13, 100%, $E$13)</f>
        <v>15.538600000000001</v>
      </c>
      <c r="K807" s="64">
        <f>15.5387 * CHOOSE(CONTROL!$C$22, $C$13, 100%, $E$13)</f>
        <v>15.5387</v>
      </c>
    </row>
    <row r="808" spans="1:11" ht="15">
      <c r="A808" s="13">
        <v>66081</v>
      </c>
      <c r="B808" s="63">
        <f>13.6135 * CHOOSE(CONTROL!$C$22, $C$13, 100%, $E$13)</f>
        <v>13.6135</v>
      </c>
      <c r="C808" s="63">
        <f>13.6135 * CHOOSE(CONTROL!$C$22, $C$13, 100%, $E$13)</f>
        <v>13.6135</v>
      </c>
      <c r="D808" s="63">
        <f>13.6135 * CHOOSE(CONTROL!$C$22, $C$13, 100%, $E$13)</f>
        <v>13.6135</v>
      </c>
      <c r="E808" s="64">
        <f>15.3959 * CHOOSE(CONTROL!$C$22, $C$13, 100%, $E$13)</f>
        <v>15.395899999999999</v>
      </c>
      <c r="F808" s="64">
        <f>15.3959 * CHOOSE(CONTROL!$C$22, $C$13, 100%, $E$13)</f>
        <v>15.395899999999999</v>
      </c>
      <c r="G808" s="64">
        <f>15.3959 * CHOOSE(CONTROL!$C$22, $C$13, 100%, $E$13)</f>
        <v>15.395899999999999</v>
      </c>
      <c r="H808" s="64">
        <f>26.7086* CHOOSE(CONTROL!$C$22, $C$13, 100%, $E$13)</f>
        <v>26.708600000000001</v>
      </c>
      <c r="I808" s="64">
        <f>26.7087 * CHOOSE(CONTROL!$C$22, $C$13, 100%, $E$13)</f>
        <v>26.7087</v>
      </c>
      <c r="J808" s="64">
        <f>15.3959 * CHOOSE(CONTROL!$C$22, $C$13, 100%, $E$13)</f>
        <v>15.395899999999999</v>
      </c>
      <c r="K808" s="64">
        <f>15.3959 * CHOOSE(CONTROL!$C$22, $C$13, 100%, $E$13)</f>
        <v>15.395899999999999</v>
      </c>
    </row>
    <row r="809" spans="1:11" ht="15">
      <c r="A809" s="13">
        <v>66112</v>
      </c>
      <c r="B809" s="63">
        <f>13.6076 * CHOOSE(CONTROL!$C$22, $C$13, 100%, $E$13)</f>
        <v>13.6076</v>
      </c>
      <c r="C809" s="63">
        <f>13.6076 * CHOOSE(CONTROL!$C$22, $C$13, 100%, $E$13)</f>
        <v>13.6076</v>
      </c>
      <c r="D809" s="63">
        <f>13.6076 * CHOOSE(CONTROL!$C$22, $C$13, 100%, $E$13)</f>
        <v>13.6076</v>
      </c>
      <c r="E809" s="64">
        <f>15.5035 * CHOOSE(CONTROL!$C$22, $C$13, 100%, $E$13)</f>
        <v>15.503500000000001</v>
      </c>
      <c r="F809" s="64">
        <f>15.5035 * CHOOSE(CONTROL!$C$22, $C$13, 100%, $E$13)</f>
        <v>15.503500000000001</v>
      </c>
      <c r="G809" s="64">
        <f>15.5036 * CHOOSE(CONTROL!$C$22, $C$13, 100%, $E$13)</f>
        <v>15.5036</v>
      </c>
      <c r="H809" s="64">
        <f>26.55* CHOOSE(CONTROL!$C$22, $C$13, 100%, $E$13)</f>
        <v>26.55</v>
      </c>
      <c r="I809" s="64">
        <f>26.5501 * CHOOSE(CONTROL!$C$22, $C$13, 100%, $E$13)</f>
        <v>26.5501</v>
      </c>
      <c r="J809" s="64">
        <f>15.5035 * CHOOSE(CONTROL!$C$22, $C$13, 100%, $E$13)</f>
        <v>15.503500000000001</v>
      </c>
      <c r="K809" s="64">
        <f>15.5036 * CHOOSE(CONTROL!$C$22, $C$13, 100%, $E$13)</f>
        <v>15.5036</v>
      </c>
    </row>
    <row r="810" spans="1:11" ht="15">
      <c r="A810" s="13">
        <v>66143</v>
      </c>
      <c r="B810" s="63">
        <f>13.6046 * CHOOSE(CONTROL!$C$22, $C$13, 100%, $E$13)</f>
        <v>13.6046</v>
      </c>
      <c r="C810" s="63">
        <f>13.6046 * CHOOSE(CONTROL!$C$22, $C$13, 100%, $E$13)</f>
        <v>13.6046</v>
      </c>
      <c r="D810" s="63">
        <f>13.6046 * CHOOSE(CONTROL!$C$22, $C$13, 100%, $E$13)</f>
        <v>13.6046</v>
      </c>
      <c r="E810" s="64">
        <f>15.2267 * CHOOSE(CONTROL!$C$22, $C$13, 100%, $E$13)</f>
        <v>15.226699999999999</v>
      </c>
      <c r="F810" s="64">
        <f>15.2267 * CHOOSE(CONTROL!$C$22, $C$13, 100%, $E$13)</f>
        <v>15.226699999999999</v>
      </c>
      <c r="G810" s="64">
        <f>15.2268 * CHOOSE(CONTROL!$C$22, $C$13, 100%, $E$13)</f>
        <v>15.226800000000001</v>
      </c>
      <c r="H810" s="64">
        <f>26.6053* CHOOSE(CONTROL!$C$22, $C$13, 100%, $E$13)</f>
        <v>26.6053</v>
      </c>
      <c r="I810" s="64">
        <f>26.6054 * CHOOSE(CONTROL!$C$22, $C$13, 100%, $E$13)</f>
        <v>26.605399999999999</v>
      </c>
      <c r="J810" s="64">
        <f>15.2267 * CHOOSE(CONTROL!$C$22, $C$13, 100%, $E$13)</f>
        <v>15.226699999999999</v>
      </c>
      <c r="K810" s="64">
        <f>15.2268 * CHOOSE(CONTROL!$C$22, $C$13, 100%, $E$13)</f>
        <v>15.226800000000001</v>
      </c>
    </row>
    <row r="811" spans="1:11" ht="15">
      <c r="A811" s="13">
        <v>66171</v>
      </c>
      <c r="B811" s="63">
        <f>13.6015 * CHOOSE(CONTROL!$C$22, $C$13, 100%, $E$13)</f>
        <v>13.6015</v>
      </c>
      <c r="C811" s="63">
        <f>13.6015 * CHOOSE(CONTROL!$C$22, $C$13, 100%, $E$13)</f>
        <v>13.6015</v>
      </c>
      <c r="D811" s="63">
        <f>13.6015 * CHOOSE(CONTROL!$C$22, $C$13, 100%, $E$13)</f>
        <v>13.6015</v>
      </c>
      <c r="E811" s="64">
        <f>15.4411 * CHOOSE(CONTROL!$C$22, $C$13, 100%, $E$13)</f>
        <v>15.4411</v>
      </c>
      <c r="F811" s="64">
        <f>15.4411 * CHOOSE(CONTROL!$C$22, $C$13, 100%, $E$13)</f>
        <v>15.4411</v>
      </c>
      <c r="G811" s="64">
        <f>15.4412 * CHOOSE(CONTROL!$C$22, $C$13, 100%, $E$13)</f>
        <v>15.4412</v>
      </c>
      <c r="H811" s="64">
        <f>26.6608* CHOOSE(CONTROL!$C$22, $C$13, 100%, $E$13)</f>
        <v>26.660799999999998</v>
      </c>
      <c r="I811" s="64">
        <f>26.6608 * CHOOSE(CONTROL!$C$22, $C$13, 100%, $E$13)</f>
        <v>26.660799999999998</v>
      </c>
      <c r="J811" s="64">
        <f>15.4411 * CHOOSE(CONTROL!$C$22, $C$13, 100%, $E$13)</f>
        <v>15.4411</v>
      </c>
      <c r="K811" s="64">
        <f>15.4412 * CHOOSE(CONTROL!$C$22, $C$13, 100%, $E$13)</f>
        <v>15.4412</v>
      </c>
    </row>
    <row r="812" spans="1:11" ht="15">
      <c r="A812" s="13">
        <v>66202</v>
      </c>
      <c r="B812" s="63">
        <f>13.6072 * CHOOSE(CONTROL!$C$22, $C$13, 100%, $E$13)</f>
        <v>13.607200000000001</v>
      </c>
      <c r="C812" s="63">
        <f>13.6072 * CHOOSE(CONTROL!$C$22, $C$13, 100%, $E$13)</f>
        <v>13.607200000000001</v>
      </c>
      <c r="D812" s="63">
        <f>13.6072 * CHOOSE(CONTROL!$C$22, $C$13, 100%, $E$13)</f>
        <v>13.607200000000001</v>
      </c>
      <c r="E812" s="64">
        <f>15.6695 * CHOOSE(CONTROL!$C$22, $C$13, 100%, $E$13)</f>
        <v>15.669499999999999</v>
      </c>
      <c r="F812" s="64">
        <f>15.6695 * CHOOSE(CONTROL!$C$22, $C$13, 100%, $E$13)</f>
        <v>15.669499999999999</v>
      </c>
      <c r="G812" s="64">
        <f>15.6696 * CHOOSE(CONTROL!$C$22, $C$13, 100%, $E$13)</f>
        <v>15.669600000000001</v>
      </c>
      <c r="H812" s="64">
        <f>26.7163* CHOOSE(CONTROL!$C$22, $C$13, 100%, $E$13)</f>
        <v>26.7163</v>
      </c>
      <c r="I812" s="64">
        <f>26.7164 * CHOOSE(CONTROL!$C$22, $C$13, 100%, $E$13)</f>
        <v>26.7164</v>
      </c>
      <c r="J812" s="64">
        <f>15.6695 * CHOOSE(CONTROL!$C$22, $C$13, 100%, $E$13)</f>
        <v>15.669499999999999</v>
      </c>
      <c r="K812" s="64">
        <f>15.6696 * CHOOSE(CONTROL!$C$22, $C$13, 100%, $E$13)</f>
        <v>15.669600000000001</v>
      </c>
    </row>
    <row r="813" spans="1:11" ht="15">
      <c r="A813" s="13">
        <v>66232</v>
      </c>
      <c r="B813" s="63">
        <f>13.6072 * CHOOSE(CONTROL!$C$22, $C$13, 100%, $E$13)</f>
        <v>13.607200000000001</v>
      </c>
      <c r="C813" s="63">
        <f>13.6072 * CHOOSE(CONTROL!$C$22, $C$13, 100%, $E$13)</f>
        <v>13.607200000000001</v>
      </c>
      <c r="D813" s="63">
        <f>13.6157 * CHOOSE(CONTROL!$C$22, $C$13, 100%, $E$13)</f>
        <v>13.6157</v>
      </c>
      <c r="E813" s="64">
        <f>15.7567 * CHOOSE(CONTROL!$C$22, $C$13, 100%, $E$13)</f>
        <v>15.7567</v>
      </c>
      <c r="F813" s="64">
        <f>15.7567 * CHOOSE(CONTROL!$C$22, $C$13, 100%, $E$13)</f>
        <v>15.7567</v>
      </c>
      <c r="G813" s="64">
        <f>15.7669 * CHOOSE(CONTROL!$C$22, $C$13, 100%, $E$13)</f>
        <v>15.7669</v>
      </c>
      <c r="H813" s="64">
        <f>26.772* CHOOSE(CONTROL!$C$22, $C$13, 100%, $E$13)</f>
        <v>26.771999999999998</v>
      </c>
      <c r="I813" s="64">
        <f>26.7822 * CHOOSE(CONTROL!$C$22, $C$13, 100%, $E$13)</f>
        <v>26.7822</v>
      </c>
      <c r="J813" s="64">
        <f>15.7567 * CHOOSE(CONTROL!$C$22, $C$13, 100%, $E$13)</f>
        <v>15.7567</v>
      </c>
      <c r="K813" s="64">
        <f>15.7669 * CHOOSE(CONTROL!$C$22, $C$13, 100%, $E$13)</f>
        <v>15.7669</v>
      </c>
    </row>
    <row r="814" spans="1:11" ht="15">
      <c r="A814" s="13">
        <v>66263</v>
      </c>
      <c r="B814" s="63">
        <f>13.6133 * CHOOSE(CONTROL!$C$22, $C$13, 100%, $E$13)</f>
        <v>13.613300000000001</v>
      </c>
      <c r="C814" s="63">
        <f>13.6133 * CHOOSE(CONTROL!$C$22, $C$13, 100%, $E$13)</f>
        <v>13.613300000000001</v>
      </c>
      <c r="D814" s="63">
        <f>13.6217 * CHOOSE(CONTROL!$C$22, $C$13, 100%, $E$13)</f>
        <v>13.621700000000001</v>
      </c>
      <c r="E814" s="64">
        <f>15.6737 * CHOOSE(CONTROL!$C$22, $C$13, 100%, $E$13)</f>
        <v>15.6737</v>
      </c>
      <c r="F814" s="64">
        <f>15.6737 * CHOOSE(CONTROL!$C$22, $C$13, 100%, $E$13)</f>
        <v>15.6737</v>
      </c>
      <c r="G814" s="64">
        <f>15.6839 * CHOOSE(CONTROL!$C$22, $C$13, 100%, $E$13)</f>
        <v>15.6839</v>
      </c>
      <c r="H814" s="64">
        <f>26.8277* CHOOSE(CONTROL!$C$22, $C$13, 100%, $E$13)</f>
        <v>26.8277</v>
      </c>
      <c r="I814" s="64">
        <f>26.838 * CHOOSE(CONTROL!$C$22, $C$13, 100%, $E$13)</f>
        <v>26.838000000000001</v>
      </c>
      <c r="J814" s="64">
        <f>15.6737 * CHOOSE(CONTROL!$C$22, $C$13, 100%, $E$13)</f>
        <v>15.6737</v>
      </c>
      <c r="K814" s="64">
        <f>15.6839 * CHOOSE(CONTROL!$C$22, $C$13, 100%, $E$13)</f>
        <v>15.6839</v>
      </c>
    </row>
    <row r="815" spans="1:11" ht="15">
      <c r="A815" s="13">
        <v>66293</v>
      </c>
      <c r="B815" s="63">
        <f>13.8201 * CHOOSE(CONTROL!$C$22, $C$13, 100%, $E$13)</f>
        <v>13.8201</v>
      </c>
      <c r="C815" s="63">
        <f>13.8201 * CHOOSE(CONTROL!$C$22, $C$13, 100%, $E$13)</f>
        <v>13.8201</v>
      </c>
      <c r="D815" s="63">
        <f>13.8285 * CHOOSE(CONTROL!$C$22, $C$13, 100%, $E$13)</f>
        <v>13.8285</v>
      </c>
      <c r="E815" s="64">
        <f>15.9233 * CHOOSE(CONTROL!$C$22, $C$13, 100%, $E$13)</f>
        <v>15.923299999999999</v>
      </c>
      <c r="F815" s="64">
        <f>15.9233 * CHOOSE(CONTROL!$C$22, $C$13, 100%, $E$13)</f>
        <v>15.923299999999999</v>
      </c>
      <c r="G815" s="64">
        <f>15.9336 * CHOOSE(CONTROL!$C$22, $C$13, 100%, $E$13)</f>
        <v>15.9336</v>
      </c>
      <c r="H815" s="64">
        <f>26.8836* CHOOSE(CONTROL!$C$22, $C$13, 100%, $E$13)</f>
        <v>26.883600000000001</v>
      </c>
      <c r="I815" s="64">
        <f>26.8939 * CHOOSE(CONTROL!$C$22, $C$13, 100%, $E$13)</f>
        <v>26.893899999999999</v>
      </c>
      <c r="J815" s="64">
        <f>15.9233 * CHOOSE(CONTROL!$C$22, $C$13, 100%, $E$13)</f>
        <v>15.923299999999999</v>
      </c>
      <c r="K815" s="64">
        <f>15.9336 * CHOOSE(CONTROL!$C$22, $C$13, 100%, $E$13)</f>
        <v>15.9336</v>
      </c>
    </row>
    <row r="816" spans="1:11" ht="15">
      <c r="A816" s="13">
        <v>66324</v>
      </c>
      <c r="B816" s="63">
        <f>13.8268 * CHOOSE(CONTROL!$C$22, $C$13, 100%, $E$13)</f>
        <v>13.8268</v>
      </c>
      <c r="C816" s="63">
        <f>13.8268 * CHOOSE(CONTROL!$C$22, $C$13, 100%, $E$13)</f>
        <v>13.8268</v>
      </c>
      <c r="D816" s="63">
        <f>13.8352 * CHOOSE(CONTROL!$C$22, $C$13, 100%, $E$13)</f>
        <v>13.8352</v>
      </c>
      <c r="E816" s="64">
        <f>15.6663 * CHOOSE(CONTROL!$C$22, $C$13, 100%, $E$13)</f>
        <v>15.6663</v>
      </c>
      <c r="F816" s="64">
        <f>15.6663 * CHOOSE(CONTROL!$C$22, $C$13, 100%, $E$13)</f>
        <v>15.6663</v>
      </c>
      <c r="G816" s="64">
        <f>15.6766 * CHOOSE(CONTROL!$C$22, $C$13, 100%, $E$13)</f>
        <v>15.676600000000001</v>
      </c>
      <c r="H816" s="64">
        <f>26.9396* CHOOSE(CONTROL!$C$22, $C$13, 100%, $E$13)</f>
        <v>26.939599999999999</v>
      </c>
      <c r="I816" s="64">
        <f>26.9499 * CHOOSE(CONTROL!$C$22, $C$13, 100%, $E$13)</f>
        <v>26.9499</v>
      </c>
      <c r="J816" s="64">
        <f>15.6663 * CHOOSE(CONTROL!$C$22, $C$13, 100%, $E$13)</f>
        <v>15.6663</v>
      </c>
      <c r="K816" s="64">
        <f>15.6766 * CHOOSE(CONTROL!$C$22, $C$13, 100%, $E$13)</f>
        <v>15.676600000000001</v>
      </c>
    </row>
    <row r="817" spans="1:11" ht="15">
      <c r="A817" s="13">
        <v>66355</v>
      </c>
      <c r="B817" s="63">
        <f>13.8237 * CHOOSE(CONTROL!$C$22, $C$13, 100%, $E$13)</f>
        <v>13.823700000000001</v>
      </c>
      <c r="C817" s="63">
        <f>13.8237 * CHOOSE(CONTROL!$C$22, $C$13, 100%, $E$13)</f>
        <v>13.823700000000001</v>
      </c>
      <c r="D817" s="63">
        <f>13.8321 * CHOOSE(CONTROL!$C$22, $C$13, 100%, $E$13)</f>
        <v>13.832100000000001</v>
      </c>
      <c r="E817" s="64">
        <f>15.6351 * CHOOSE(CONTROL!$C$22, $C$13, 100%, $E$13)</f>
        <v>15.6351</v>
      </c>
      <c r="F817" s="64">
        <f>15.6351 * CHOOSE(CONTROL!$C$22, $C$13, 100%, $E$13)</f>
        <v>15.6351</v>
      </c>
      <c r="G817" s="64">
        <f>15.6454 * CHOOSE(CONTROL!$C$22, $C$13, 100%, $E$13)</f>
        <v>15.6454</v>
      </c>
      <c r="H817" s="64">
        <f>26.9958* CHOOSE(CONTROL!$C$22, $C$13, 100%, $E$13)</f>
        <v>26.995799999999999</v>
      </c>
      <c r="I817" s="64">
        <f>27.006 * CHOOSE(CONTROL!$C$22, $C$13, 100%, $E$13)</f>
        <v>27.006</v>
      </c>
      <c r="J817" s="64">
        <f>15.6351 * CHOOSE(CONTROL!$C$22, $C$13, 100%, $E$13)</f>
        <v>15.6351</v>
      </c>
      <c r="K817" s="64">
        <f>15.6454 * CHOOSE(CONTROL!$C$22, $C$13, 100%, $E$13)</f>
        <v>15.6454</v>
      </c>
    </row>
    <row r="818" spans="1:11" ht="15">
      <c r="A818" s="13">
        <v>66385</v>
      </c>
      <c r="B818" s="63">
        <f>13.8504 * CHOOSE(CONTROL!$C$22, $C$13, 100%, $E$13)</f>
        <v>13.8504</v>
      </c>
      <c r="C818" s="63">
        <f>13.8504 * CHOOSE(CONTROL!$C$22, $C$13, 100%, $E$13)</f>
        <v>13.8504</v>
      </c>
      <c r="D818" s="63">
        <f>13.8504 * CHOOSE(CONTROL!$C$22, $C$13, 100%, $E$13)</f>
        <v>13.8504</v>
      </c>
      <c r="E818" s="64">
        <f>15.738 * CHOOSE(CONTROL!$C$22, $C$13, 100%, $E$13)</f>
        <v>15.738</v>
      </c>
      <c r="F818" s="64">
        <f>15.738 * CHOOSE(CONTROL!$C$22, $C$13, 100%, $E$13)</f>
        <v>15.738</v>
      </c>
      <c r="G818" s="64">
        <f>15.7381 * CHOOSE(CONTROL!$C$22, $C$13, 100%, $E$13)</f>
        <v>15.738099999999999</v>
      </c>
      <c r="H818" s="64">
        <f>27.052* CHOOSE(CONTROL!$C$22, $C$13, 100%, $E$13)</f>
        <v>27.052</v>
      </c>
      <c r="I818" s="64">
        <f>27.0521 * CHOOSE(CONTROL!$C$22, $C$13, 100%, $E$13)</f>
        <v>27.052099999999999</v>
      </c>
      <c r="J818" s="64">
        <f>15.738 * CHOOSE(CONTROL!$C$22, $C$13, 100%, $E$13)</f>
        <v>15.738</v>
      </c>
      <c r="K818" s="64">
        <f>15.7381 * CHOOSE(CONTROL!$C$22, $C$13, 100%, $E$13)</f>
        <v>15.738099999999999</v>
      </c>
    </row>
    <row r="819" spans="1:11" ht="15">
      <c r="A819" s="13">
        <v>66416</v>
      </c>
      <c r="B819" s="63">
        <f>13.8535 * CHOOSE(CONTROL!$C$22, $C$13, 100%, $E$13)</f>
        <v>13.8535</v>
      </c>
      <c r="C819" s="63">
        <f>13.8535 * CHOOSE(CONTROL!$C$22, $C$13, 100%, $E$13)</f>
        <v>13.8535</v>
      </c>
      <c r="D819" s="63">
        <f>13.8535 * CHOOSE(CONTROL!$C$22, $C$13, 100%, $E$13)</f>
        <v>13.8535</v>
      </c>
      <c r="E819" s="64">
        <f>15.7983 * CHOOSE(CONTROL!$C$22, $C$13, 100%, $E$13)</f>
        <v>15.798299999999999</v>
      </c>
      <c r="F819" s="64">
        <f>15.7983 * CHOOSE(CONTROL!$C$22, $C$13, 100%, $E$13)</f>
        <v>15.798299999999999</v>
      </c>
      <c r="G819" s="64">
        <f>15.7984 * CHOOSE(CONTROL!$C$22, $C$13, 100%, $E$13)</f>
        <v>15.798400000000001</v>
      </c>
      <c r="H819" s="64">
        <f>27.1084* CHOOSE(CONTROL!$C$22, $C$13, 100%, $E$13)</f>
        <v>27.1084</v>
      </c>
      <c r="I819" s="64">
        <f>27.1084 * CHOOSE(CONTROL!$C$22, $C$13, 100%, $E$13)</f>
        <v>27.1084</v>
      </c>
      <c r="J819" s="64">
        <f>15.7983 * CHOOSE(CONTROL!$C$22, $C$13, 100%, $E$13)</f>
        <v>15.798299999999999</v>
      </c>
      <c r="K819" s="64">
        <f>15.7984 * CHOOSE(CONTROL!$C$22, $C$13, 100%, $E$13)</f>
        <v>15.798400000000001</v>
      </c>
    </row>
    <row r="820" spans="1:11" ht="15">
      <c r="A820" s="13">
        <v>66446</v>
      </c>
      <c r="B820" s="63">
        <f>13.8535 * CHOOSE(CONTROL!$C$22, $C$13, 100%, $E$13)</f>
        <v>13.8535</v>
      </c>
      <c r="C820" s="63">
        <f>13.8535 * CHOOSE(CONTROL!$C$22, $C$13, 100%, $E$13)</f>
        <v>13.8535</v>
      </c>
      <c r="D820" s="63">
        <f>13.8535 * CHOOSE(CONTROL!$C$22, $C$13, 100%, $E$13)</f>
        <v>13.8535</v>
      </c>
      <c r="E820" s="64">
        <f>15.6529 * CHOOSE(CONTROL!$C$22, $C$13, 100%, $E$13)</f>
        <v>15.652900000000001</v>
      </c>
      <c r="F820" s="64">
        <f>15.6529 * CHOOSE(CONTROL!$C$22, $C$13, 100%, $E$13)</f>
        <v>15.652900000000001</v>
      </c>
      <c r="G820" s="64">
        <f>15.653 * CHOOSE(CONTROL!$C$22, $C$13, 100%, $E$13)</f>
        <v>15.653</v>
      </c>
      <c r="H820" s="64">
        <f>27.1648* CHOOSE(CONTROL!$C$22, $C$13, 100%, $E$13)</f>
        <v>27.1648</v>
      </c>
      <c r="I820" s="64">
        <f>27.1649 * CHOOSE(CONTROL!$C$22, $C$13, 100%, $E$13)</f>
        <v>27.164899999999999</v>
      </c>
      <c r="J820" s="64">
        <f>15.6529 * CHOOSE(CONTROL!$C$22, $C$13, 100%, $E$13)</f>
        <v>15.652900000000001</v>
      </c>
      <c r="K820" s="64">
        <f>15.653 * CHOOSE(CONTROL!$C$22, $C$13, 100%, $E$13)</f>
        <v>15.653</v>
      </c>
    </row>
    <row r="821" spans="1:11" ht="15">
      <c r="A821" s="13">
        <v>66477</v>
      </c>
      <c r="B821" s="63">
        <f>13.8432 * CHOOSE(CONTROL!$C$22, $C$13, 100%, $E$13)</f>
        <v>13.8432</v>
      </c>
      <c r="C821" s="63">
        <f>13.8432 * CHOOSE(CONTROL!$C$22, $C$13, 100%, $E$13)</f>
        <v>13.8432</v>
      </c>
      <c r="D821" s="63">
        <f>13.8432 * CHOOSE(CONTROL!$C$22, $C$13, 100%, $E$13)</f>
        <v>13.8432</v>
      </c>
      <c r="E821" s="64">
        <f>15.7582 * CHOOSE(CONTROL!$C$22, $C$13, 100%, $E$13)</f>
        <v>15.7582</v>
      </c>
      <c r="F821" s="64">
        <f>15.7582 * CHOOSE(CONTROL!$C$22, $C$13, 100%, $E$13)</f>
        <v>15.7582</v>
      </c>
      <c r="G821" s="64">
        <f>15.7583 * CHOOSE(CONTROL!$C$22, $C$13, 100%, $E$13)</f>
        <v>15.7583</v>
      </c>
      <c r="H821" s="64">
        <f>26.9959* CHOOSE(CONTROL!$C$22, $C$13, 100%, $E$13)</f>
        <v>26.995899999999999</v>
      </c>
      <c r="I821" s="64">
        <f>26.996 * CHOOSE(CONTROL!$C$22, $C$13, 100%, $E$13)</f>
        <v>26.995999999999999</v>
      </c>
      <c r="J821" s="64">
        <f>15.7582 * CHOOSE(CONTROL!$C$22, $C$13, 100%, $E$13)</f>
        <v>15.7582</v>
      </c>
      <c r="K821" s="64">
        <f>15.7583 * CHOOSE(CONTROL!$C$22, $C$13, 100%, $E$13)</f>
        <v>15.7583</v>
      </c>
    </row>
    <row r="822" spans="1:11" ht="15">
      <c r="A822" s="13">
        <v>66508</v>
      </c>
      <c r="B822" s="63">
        <f>13.8401 * CHOOSE(CONTROL!$C$22, $C$13, 100%, $E$13)</f>
        <v>13.8401</v>
      </c>
      <c r="C822" s="63">
        <f>13.8401 * CHOOSE(CONTROL!$C$22, $C$13, 100%, $E$13)</f>
        <v>13.8401</v>
      </c>
      <c r="D822" s="63">
        <f>13.8401 * CHOOSE(CONTROL!$C$22, $C$13, 100%, $E$13)</f>
        <v>13.8401</v>
      </c>
      <c r="E822" s="64">
        <f>15.4765 * CHOOSE(CONTROL!$C$22, $C$13, 100%, $E$13)</f>
        <v>15.4765</v>
      </c>
      <c r="F822" s="64">
        <f>15.4765 * CHOOSE(CONTROL!$C$22, $C$13, 100%, $E$13)</f>
        <v>15.4765</v>
      </c>
      <c r="G822" s="64">
        <f>15.4765 * CHOOSE(CONTROL!$C$22, $C$13, 100%, $E$13)</f>
        <v>15.4765</v>
      </c>
      <c r="H822" s="64">
        <f>27.0522* CHOOSE(CONTROL!$C$22, $C$13, 100%, $E$13)</f>
        <v>27.052199999999999</v>
      </c>
      <c r="I822" s="64">
        <f>27.0522 * CHOOSE(CONTROL!$C$22, $C$13, 100%, $E$13)</f>
        <v>27.052199999999999</v>
      </c>
      <c r="J822" s="64">
        <f>15.4765 * CHOOSE(CONTROL!$C$22, $C$13, 100%, $E$13)</f>
        <v>15.4765</v>
      </c>
      <c r="K822" s="64">
        <f>15.4765 * CHOOSE(CONTROL!$C$22, $C$13, 100%, $E$13)</f>
        <v>15.4765</v>
      </c>
    </row>
    <row r="823" spans="1:11" ht="15">
      <c r="A823" s="13">
        <v>66536</v>
      </c>
      <c r="B823" s="63">
        <f>13.8371 * CHOOSE(CONTROL!$C$22, $C$13, 100%, $E$13)</f>
        <v>13.8371</v>
      </c>
      <c r="C823" s="63">
        <f>13.8371 * CHOOSE(CONTROL!$C$22, $C$13, 100%, $E$13)</f>
        <v>13.8371</v>
      </c>
      <c r="D823" s="63">
        <f>13.8371 * CHOOSE(CONTROL!$C$22, $C$13, 100%, $E$13)</f>
        <v>13.8371</v>
      </c>
      <c r="E823" s="64">
        <f>15.6948 * CHOOSE(CONTROL!$C$22, $C$13, 100%, $E$13)</f>
        <v>15.694800000000001</v>
      </c>
      <c r="F823" s="64">
        <f>15.6948 * CHOOSE(CONTROL!$C$22, $C$13, 100%, $E$13)</f>
        <v>15.694800000000001</v>
      </c>
      <c r="G823" s="64">
        <f>15.6949 * CHOOSE(CONTROL!$C$22, $C$13, 100%, $E$13)</f>
        <v>15.694900000000001</v>
      </c>
      <c r="H823" s="64">
        <f>27.1085* CHOOSE(CONTROL!$C$22, $C$13, 100%, $E$13)</f>
        <v>27.108499999999999</v>
      </c>
      <c r="I823" s="64">
        <f>27.1086 * CHOOSE(CONTROL!$C$22, $C$13, 100%, $E$13)</f>
        <v>27.108599999999999</v>
      </c>
      <c r="J823" s="64">
        <f>15.6948 * CHOOSE(CONTROL!$C$22, $C$13, 100%, $E$13)</f>
        <v>15.694800000000001</v>
      </c>
      <c r="K823" s="64">
        <f>15.6949 * CHOOSE(CONTROL!$C$22, $C$13, 100%, $E$13)</f>
        <v>15.694900000000001</v>
      </c>
    </row>
    <row r="824" spans="1:11" ht="15">
      <c r="A824" s="13">
        <v>66567</v>
      </c>
      <c r="B824" s="63">
        <f>13.843 * CHOOSE(CONTROL!$C$22, $C$13, 100%, $E$13)</f>
        <v>13.843</v>
      </c>
      <c r="C824" s="63">
        <f>13.843 * CHOOSE(CONTROL!$C$22, $C$13, 100%, $E$13)</f>
        <v>13.843</v>
      </c>
      <c r="D824" s="63">
        <f>13.843 * CHOOSE(CONTROL!$C$22, $C$13, 100%, $E$13)</f>
        <v>13.843</v>
      </c>
      <c r="E824" s="64">
        <f>15.9273 * CHOOSE(CONTROL!$C$22, $C$13, 100%, $E$13)</f>
        <v>15.927300000000001</v>
      </c>
      <c r="F824" s="64">
        <f>15.9273 * CHOOSE(CONTROL!$C$22, $C$13, 100%, $E$13)</f>
        <v>15.927300000000001</v>
      </c>
      <c r="G824" s="64">
        <f>15.9274 * CHOOSE(CONTROL!$C$22, $C$13, 100%, $E$13)</f>
        <v>15.9274</v>
      </c>
      <c r="H824" s="64">
        <f>27.165* CHOOSE(CONTROL!$C$22, $C$13, 100%, $E$13)</f>
        <v>27.164999999999999</v>
      </c>
      <c r="I824" s="64">
        <f>27.1651 * CHOOSE(CONTROL!$C$22, $C$13, 100%, $E$13)</f>
        <v>27.165099999999999</v>
      </c>
      <c r="J824" s="64">
        <f>15.9273 * CHOOSE(CONTROL!$C$22, $C$13, 100%, $E$13)</f>
        <v>15.927300000000001</v>
      </c>
      <c r="K824" s="64">
        <f>15.9274 * CHOOSE(CONTROL!$C$22, $C$13, 100%, $E$13)</f>
        <v>15.9274</v>
      </c>
    </row>
    <row r="825" spans="1:11" ht="15">
      <c r="A825" s="13">
        <v>66597</v>
      </c>
      <c r="B825" s="63">
        <f>13.843 * CHOOSE(CONTROL!$C$22, $C$13, 100%, $E$13)</f>
        <v>13.843</v>
      </c>
      <c r="C825" s="63">
        <f>13.843 * CHOOSE(CONTROL!$C$22, $C$13, 100%, $E$13)</f>
        <v>13.843</v>
      </c>
      <c r="D825" s="63">
        <f>13.8514 * CHOOSE(CONTROL!$C$22, $C$13, 100%, $E$13)</f>
        <v>13.8514</v>
      </c>
      <c r="E825" s="64">
        <f>16.0161 * CHOOSE(CONTROL!$C$22, $C$13, 100%, $E$13)</f>
        <v>16.016100000000002</v>
      </c>
      <c r="F825" s="64">
        <f>16.0161 * CHOOSE(CONTROL!$C$22, $C$13, 100%, $E$13)</f>
        <v>16.016100000000002</v>
      </c>
      <c r="G825" s="64">
        <f>16.0264 * CHOOSE(CONTROL!$C$22, $C$13, 100%, $E$13)</f>
        <v>16.026399999999999</v>
      </c>
      <c r="H825" s="64">
        <f>27.2216* CHOOSE(CONTROL!$C$22, $C$13, 100%, $E$13)</f>
        <v>27.221599999999999</v>
      </c>
      <c r="I825" s="64">
        <f>27.2318 * CHOOSE(CONTROL!$C$22, $C$13, 100%, $E$13)</f>
        <v>27.2318</v>
      </c>
      <c r="J825" s="64">
        <f>16.0161 * CHOOSE(CONTROL!$C$22, $C$13, 100%, $E$13)</f>
        <v>16.016100000000002</v>
      </c>
      <c r="K825" s="64">
        <f>16.0264 * CHOOSE(CONTROL!$C$22, $C$13, 100%, $E$13)</f>
        <v>16.026399999999999</v>
      </c>
    </row>
    <row r="826" spans="1:11" ht="15">
      <c r="A826" s="13">
        <v>66628</v>
      </c>
      <c r="B826" s="63">
        <f>13.8491 * CHOOSE(CONTROL!$C$22, $C$13, 100%, $E$13)</f>
        <v>13.8491</v>
      </c>
      <c r="C826" s="63">
        <f>13.8491 * CHOOSE(CONTROL!$C$22, $C$13, 100%, $E$13)</f>
        <v>13.8491</v>
      </c>
      <c r="D826" s="63">
        <f>13.8575 * CHOOSE(CONTROL!$C$22, $C$13, 100%, $E$13)</f>
        <v>13.8575</v>
      </c>
      <c r="E826" s="64">
        <f>15.9316 * CHOOSE(CONTROL!$C$22, $C$13, 100%, $E$13)</f>
        <v>15.9316</v>
      </c>
      <c r="F826" s="64">
        <f>15.9316 * CHOOSE(CONTROL!$C$22, $C$13, 100%, $E$13)</f>
        <v>15.9316</v>
      </c>
      <c r="G826" s="64">
        <f>15.9418 * CHOOSE(CONTROL!$C$22, $C$13, 100%, $E$13)</f>
        <v>15.941800000000001</v>
      </c>
      <c r="H826" s="64">
        <f>27.2783* CHOOSE(CONTROL!$C$22, $C$13, 100%, $E$13)</f>
        <v>27.278300000000002</v>
      </c>
      <c r="I826" s="64">
        <f>27.2885 * CHOOSE(CONTROL!$C$22, $C$13, 100%, $E$13)</f>
        <v>27.288499999999999</v>
      </c>
      <c r="J826" s="64">
        <f>15.9316 * CHOOSE(CONTROL!$C$22, $C$13, 100%, $E$13)</f>
        <v>15.9316</v>
      </c>
      <c r="K826" s="64">
        <f>15.9418 * CHOOSE(CONTROL!$C$22, $C$13, 100%, $E$13)</f>
        <v>15.941800000000001</v>
      </c>
    </row>
    <row r="827" spans="1:11" ht="15">
      <c r="A827" s="13">
        <v>66658</v>
      </c>
      <c r="B827" s="63">
        <f>14.0592 * CHOOSE(CONTROL!$C$22, $C$13, 100%, $E$13)</f>
        <v>14.059200000000001</v>
      </c>
      <c r="C827" s="63">
        <f>14.0592 * CHOOSE(CONTROL!$C$22, $C$13, 100%, $E$13)</f>
        <v>14.059200000000001</v>
      </c>
      <c r="D827" s="63">
        <f>14.0677 * CHOOSE(CONTROL!$C$22, $C$13, 100%, $E$13)</f>
        <v>14.0677</v>
      </c>
      <c r="E827" s="64">
        <f>16.1851 * CHOOSE(CONTROL!$C$22, $C$13, 100%, $E$13)</f>
        <v>16.185099999999998</v>
      </c>
      <c r="F827" s="64">
        <f>16.1851 * CHOOSE(CONTROL!$C$22, $C$13, 100%, $E$13)</f>
        <v>16.185099999999998</v>
      </c>
      <c r="G827" s="64">
        <f>16.1953 * CHOOSE(CONTROL!$C$22, $C$13, 100%, $E$13)</f>
        <v>16.1953</v>
      </c>
      <c r="H827" s="64">
        <f>27.3351* CHOOSE(CONTROL!$C$22, $C$13, 100%, $E$13)</f>
        <v>27.335100000000001</v>
      </c>
      <c r="I827" s="64">
        <f>27.3453 * CHOOSE(CONTROL!$C$22, $C$13, 100%, $E$13)</f>
        <v>27.345300000000002</v>
      </c>
      <c r="J827" s="64">
        <f>16.1851 * CHOOSE(CONTROL!$C$22, $C$13, 100%, $E$13)</f>
        <v>16.185099999999998</v>
      </c>
      <c r="K827" s="64">
        <f>16.1953 * CHOOSE(CONTROL!$C$22, $C$13, 100%, $E$13)</f>
        <v>16.1953</v>
      </c>
    </row>
    <row r="828" spans="1:11" ht="15">
      <c r="A828" s="13">
        <v>66689</v>
      </c>
      <c r="B828" s="63">
        <f>14.0659 * CHOOSE(CONTROL!$C$22, $C$13, 100%, $E$13)</f>
        <v>14.065899999999999</v>
      </c>
      <c r="C828" s="63">
        <f>14.0659 * CHOOSE(CONTROL!$C$22, $C$13, 100%, $E$13)</f>
        <v>14.065899999999999</v>
      </c>
      <c r="D828" s="63">
        <f>14.0744 * CHOOSE(CONTROL!$C$22, $C$13, 100%, $E$13)</f>
        <v>14.074400000000001</v>
      </c>
      <c r="E828" s="64">
        <f>15.9234 * CHOOSE(CONTROL!$C$22, $C$13, 100%, $E$13)</f>
        <v>15.923400000000001</v>
      </c>
      <c r="F828" s="64">
        <f>15.9234 * CHOOSE(CONTROL!$C$22, $C$13, 100%, $E$13)</f>
        <v>15.923400000000001</v>
      </c>
      <c r="G828" s="64">
        <f>15.9336 * CHOOSE(CONTROL!$C$22, $C$13, 100%, $E$13)</f>
        <v>15.9336</v>
      </c>
      <c r="H828" s="64">
        <f>27.3921* CHOOSE(CONTROL!$C$22, $C$13, 100%, $E$13)</f>
        <v>27.392099999999999</v>
      </c>
      <c r="I828" s="64">
        <f>27.4023 * CHOOSE(CONTROL!$C$22, $C$13, 100%, $E$13)</f>
        <v>27.4023</v>
      </c>
      <c r="J828" s="64">
        <f>15.9234 * CHOOSE(CONTROL!$C$22, $C$13, 100%, $E$13)</f>
        <v>15.923400000000001</v>
      </c>
      <c r="K828" s="64">
        <f>15.9336 * CHOOSE(CONTROL!$C$22, $C$13, 100%, $E$13)</f>
        <v>15.9336</v>
      </c>
    </row>
    <row r="829" spans="1:11" ht="15">
      <c r="A829" s="13">
        <v>66720</v>
      </c>
      <c r="B829" s="63">
        <f>14.0629 * CHOOSE(CONTROL!$C$22, $C$13, 100%, $E$13)</f>
        <v>14.062900000000001</v>
      </c>
      <c r="C829" s="63">
        <f>14.0629 * CHOOSE(CONTROL!$C$22, $C$13, 100%, $E$13)</f>
        <v>14.062900000000001</v>
      </c>
      <c r="D829" s="63">
        <f>14.0713 * CHOOSE(CONTROL!$C$22, $C$13, 100%, $E$13)</f>
        <v>14.071300000000001</v>
      </c>
      <c r="E829" s="64">
        <f>15.8917 * CHOOSE(CONTROL!$C$22, $C$13, 100%, $E$13)</f>
        <v>15.8917</v>
      </c>
      <c r="F829" s="64">
        <f>15.8917 * CHOOSE(CONTROL!$C$22, $C$13, 100%, $E$13)</f>
        <v>15.8917</v>
      </c>
      <c r="G829" s="64">
        <f>15.9019 * CHOOSE(CONTROL!$C$22, $C$13, 100%, $E$13)</f>
        <v>15.901899999999999</v>
      </c>
      <c r="H829" s="64">
        <f>27.4491* CHOOSE(CONTROL!$C$22, $C$13, 100%, $E$13)</f>
        <v>27.449100000000001</v>
      </c>
      <c r="I829" s="64">
        <f>27.4594 * CHOOSE(CONTROL!$C$22, $C$13, 100%, $E$13)</f>
        <v>27.459399999999999</v>
      </c>
      <c r="J829" s="64">
        <f>15.8917 * CHOOSE(CONTROL!$C$22, $C$13, 100%, $E$13)</f>
        <v>15.8917</v>
      </c>
      <c r="K829" s="64">
        <f>15.9019 * CHOOSE(CONTROL!$C$22, $C$13, 100%, $E$13)</f>
        <v>15.901899999999999</v>
      </c>
    </row>
    <row r="830" spans="1:11" ht="15">
      <c r="A830" s="13">
        <v>66750</v>
      </c>
      <c r="B830" s="63">
        <f>14.0904 * CHOOSE(CONTROL!$C$22, $C$13, 100%, $E$13)</f>
        <v>14.090400000000001</v>
      </c>
      <c r="C830" s="63">
        <f>14.0904 * CHOOSE(CONTROL!$C$22, $C$13, 100%, $E$13)</f>
        <v>14.090400000000001</v>
      </c>
      <c r="D830" s="63">
        <f>14.0904 * CHOOSE(CONTROL!$C$22, $C$13, 100%, $E$13)</f>
        <v>14.090400000000001</v>
      </c>
      <c r="E830" s="64">
        <f>15.9967 * CHOOSE(CONTROL!$C$22, $C$13, 100%, $E$13)</f>
        <v>15.996700000000001</v>
      </c>
      <c r="F830" s="64">
        <f>15.9967 * CHOOSE(CONTROL!$C$22, $C$13, 100%, $E$13)</f>
        <v>15.996700000000001</v>
      </c>
      <c r="G830" s="64">
        <f>15.9967 * CHOOSE(CONTROL!$C$22, $C$13, 100%, $E$13)</f>
        <v>15.996700000000001</v>
      </c>
      <c r="H830" s="64">
        <f>27.5063* CHOOSE(CONTROL!$C$22, $C$13, 100%, $E$13)</f>
        <v>27.5063</v>
      </c>
      <c r="I830" s="64">
        <f>27.5064 * CHOOSE(CONTROL!$C$22, $C$13, 100%, $E$13)</f>
        <v>27.506399999999999</v>
      </c>
      <c r="J830" s="64">
        <f>15.9967 * CHOOSE(CONTROL!$C$22, $C$13, 100%, $E$13)</f>
        <v>15.996700000000001</v>
      </c>
      <c r="K830" s="64">
        <f>15.9967 * CHOOSE(CONTROL!$C$22, $C$13, 100%, $E$13)</f>
        <v>15.996700000000001</v>
      </c>
    </row>
    <row r="831" spans="1:11" ht="15">
      <c r="A831" s="13">
        <v>66781</v>
      </c>
      <c r="B831" s="63">
        <f>14.0934 * CHOOSE(CONTROL!$C$22, $C$13, 100%, $E$13)</f>
        <v>14.093400000000001</v>
      </c>
      <c r="C831" s="63">
        <f>14.0934 * CHOOSE(CONTROL!$C$22, $C$13, 100%, $E$13)</f>
        <v>14.093400000000001</v>
      </c>
      <c r="D831" s="63">
        <f>14.0934 * CHOOSE(CONTROL!$C$22, $C$13, 100%, $E$13)</f>
        <v>14.093400000000001</v>
      </c>
      <c r="E831" s="64">
        <f>16.058 * CHOOSE(CONTROL!$C$22, $C$13, 100%, $E$13)</f>
        <v>16.058</v>
      </c>
      <c r="F831" s="64">
        <f>16.058 * CHOOSE(CONTROL!$C$22, $C$13, 100%, $E$13)</f>
        <v>16.058</v>
      </c>
      <c r="G831" s="64">
        <f>16.0581 * CHOOSE(CONTROL!$C$22, $C$13, 100%, $E$13)</f>
        <v>16.0581</v>
      </c>
      <c r="H831" s="64">
        <f>27.5636* CHOOSE(CONTROL!$C$22, $C$13, 100%, $E$13)</f>
        <v>27.563600000000001</v>
      </c>
      <c r="I831" s="64">
        <f>27.5637 * CHOOSE(CONTROL!$C$22, $C$13, 100%, $E$13)</f>
        <v>27.563700000000001</v>
      </c>
      <c r="J831" s="64">
        <f>16.058 * CHOOSE(CONTROL!$C$22, $C$13, 100%, $E$13)</f>
        <v>16.058</v>
      </c>
      <c r="K831" s="64">
        <f>16.0581 * CHOOSE(CONTROL!$C$22, $C$13, 100%, $E$13)</f>
        <v>16.0581</v>
      </c>
    </row>
    <row r="832" spans="1:11" ht="15">
      <c r="A832" s="13">
        <v>66811</v>
      </c>
      <c r="B832" s="63">
        <f>14.0934 * CHOOSE(CONTROL!$C$22, $C$13, 100%, $E$13)</f>
        <v>14.093400000000001</v>
      </c>
      <c r="C832" s="63">
        <f>14.0934 * CHOOSE(CONTROL!$C$22, $C$13, 100%, $E$13)</f>
        <v>14.093400000000001</v>
      </c>
      <c r="D832" s="63">
        <f>14.0934 * CHOOSE(CONTROL!$C$22, $C$13, 100%, $E$13)</f>
        <v>14.093400000000001</v>
      </c>
      <c r="E832" s="64">
        <f>15.91 * CHOOSE(CONTROL!$C$22, $C$13, 100%, $E$13)</f>
        <v>15.91</v>
      </c>
      <c r="F832" s="64">
        <f>15.91 * CHOOSE(CONTROL!$C$22, $C$13, 100%, $E$13)</f>
        <v>15.91</v>
      </c>
      <c r="G832" s="64">
        <f>15.9101 * CHOOSE(CONTROL!$C$22, $C$13, 100%, $E$13)</f>
        <v>15.9101</v>
      </c>
      <c r="H832" s="64">
        <f>27.6211* CHOOSE(CONTROL!$C$22, $C$13, 100%, $E$13)</f>
        <v>27.621099999999998</v>
      </c>
      <c r="I832" s="64">
        <f>27.6211 * CHOOSE(CONTROL!$C$22, $C$13, 100%, $E$13)</f>
        <v>27.621099999999998</v>
      </c>
      <c r="J832" s="64">
        <f>15.91 * CHOOSE(CONTROL!$C$22, $C$13, 100%, $E$13)</f>
        <v>15.91</v>
      </c>
      <c r="K832" s="64">
        <f>15.9101 * CHOOSE(CONTROL!$C$22, $C$13, 100%, $E$13)</f>
        <v>15.9101</v>
      </c>
    </row>
    <row r="833" spans="1:11" ht="15">
      <c r="A833" s="13">
        <v>66842</v>
      </c>
      <c r="B833" s="63">
        <f>14.0787 * CHOOSE(CONTROL!$C$22, $C$13, 100%, $E$13)</f>
        <v>14.0787</v>
      </c>
      <c r="C833" s="63">
        <f>14.0787 * CHOOSE(CONTROL!$C$22, $C$13, 100%, $E$13)</f>
        <v>14.0787</v>
      </c>
      <c r="D833" s="63">
        <f>14.0787 * CHOOSE(CONTROL!$C$22, $C$13, 100%, $E$13)</f>
        <v>14.0787</v>
      </c>
      <c r="E833" s="64">
        <f>16.013 * CHOOSE(CONTROL!$C$22, $C$13, 100%, $E$13)</f>
        <v>16.013000000000002</v>
      </c>
      <c r="F833" s="64">
        <f>16.013 * CHOOSE(CONTROL!$C$22, $C$13, 100%, $E$13)</f>
        <v>16.013000000000002</v>
      </c>
      <c r="G833" s="64">
        <f>16.013 * CHOOSE(CONTROL!$C$22, $C$13, 100%, $E$13)</f>
        <v>16.013000000000002</v>
      </c>
      <c r="H833" s="64">
        <f>27.4418* CHOOSE(CONTROL!$C$22, $C$13, 100%, $E$13)</f>
        <v>27.441800000000001</v>
      </c>
      <c r="I833" s="64">
        <f>27.4419 * CHOOSE(CONTROL!$C$22, $C$13, 100%, $E$13)</f>
        <v>27.4419</v>
      </c>
      <c r="J833" s="64">
        <f>16.013 * CHOOSE(CONTROL!$C$22, $C$13, 100%, $E$13)</f>
        <v>16.013000000000002</v>
      </c>
      <c r="K833" s="64">
        <f>16.013 * CHOOSE(CONTROL!$C$22, $C$13, 100%, $E$13)</f>
        <v>16.013000000000002</v>
      </c>
    </row>
    <row r="834" spans="1:11" ht="15">
      <c r="A834" s="13">
        <v>66873</v>
      </c>
      <c r="B834" s="63">
        <f>14.0757 * CHOOSE(CONTROL!$C$22, $C$13, 100%, $E$13)</f>
        <v>14.075699999999999</v>
      </c>
      <c r="C834" s="63">
        <f>14.0757 * CHOOSE(CONTROL!$C$22, $C$13, 100%, $E$13)</f>
        <v>14.075699999999999</v>
      </c>
      <c r="D834" s="63">
        <f>14.0757 * CHOOSE(CONTROL!$C$22, $C$13, 100%, $E$13)</f>
        <v>14.075699999999999</v>
      </c>
      <c r="E834" s="64">
        <f>15.7262 * CHOOSE(CONTROL!$C$22, $C$13, 100%, $E$13)</f>
        <v>15.7262</v>
      </c>
      <c r="F834" s="64">
        <f>15.7262 * CHOOSE(CONTROL!$C$22, $C$13, 100%, $E$13)</f>
        <v>15.7262</v>
      </c>
      <c r="G834" s="64">
        <f>15.7263 * CHOOSE(CONTROL!$C$22, $C$13, 100%, $E$13)</f>
        <v>15.7263</v>
      </c>
      <c r="H834" s="64">
        <f>27.499* CHOOSE(CONTROL!$C$22, $C$13, 100%, $E$13)</f>
        <v>27.498999999999999</v>
      </c>
      <c r="I834" s="64">
        <f>27.4991 * CHOOSE(CONTROL!$C$22, $C$13, 100%, $E$13)</f>
        <v>27.499099999999999</v>
      </c>
      <c r="J834" s="64">
        <f>15.7262 * CHOOSE(CONTROL!$C$22, $C$13, 100%, $E$13)</f>
        <v>15.7262</v>
      </c>
      <c r="K834" s="64">
        <f>15.7263 * CHOOSE(CONTROL!$C$22, $C$13, 100%, $E$13)</f>
        <v>15.7263</v>
      </c>
    </row>
    <row r="835" spans="1:11" ht="15">
      <c r="A835" s="13">
        <v>66901</v>
      </c>
      <c r="B835" s="63">
        <f>14.0727 * CHOOSE(CONTROL!$C$22, $C$13, 100%, $E$13)</f>
        <v>14.072699999999999</v>
      </c>
      <c r="C835" s="63">
        <f>14.0727 * CHOOSE(CONTROL!$C$22, $C$13, 100%, $E$13)</f>
        <v>14.072699999999999</v>
      </c>
      <c r="D835" s="63">
        <f>14.0727 * CHOOSE(CONTROL!$C$22, $C$13, 100%, $E$13)</f>
        <v>14.072699999999999</v>
      </c>
      <c r="E835" s="64">
        <f>15.9485 * CHOOSE(CONTROL!$C$22, $C$13, 100%, $E$13)</f>
        <v>15.948499999999999</v>
      </c>
      <c r="F835" s="64">
        <f>15.9485 * CHOOSE(CONTROL!$C$22, $C$13, 100%, $E$13)</f>
        <v>15.948499999999999</v>
      </c>
      <c r="G835" s="64">
        <f>15.9486 * CHOOSE(CONTROL!$C$22, $C$13, 100%, $E$13)</f>
        <v>15.948600000000001</v>
      </c>
      <c r="H835" s="64">
        <f>27.5563* CHOOSE(CONTROL!$C$22, $C$13, 100%, $E$13)</f>
        <v>27.5563</v>
      </c>
      <c r="I835" s="64">
        <f>27.5563 * CHOOSE(CONTROL!$C$22, $C$13, 100%, $E$13)</f>
        <v>27.5563</v>
      </c>
      <c r="J835" s="64">
        <f>15.9485 * CHOOSE(CONTROL!$C$22, $C$13, 100%, $E$13)</f>
        <v>15.948499999999999</v>
      </c>
      <c r="K835" s="64">
        <f>15.9486 * CHOOSE(CONTROL!$C$22, $C$13, 100%, $E$13)</f>
        <v>15.948600000000001</v>
      </c>
    </row>
    <row r="836" spans="1:11" ht="15">
      <c r="A836" s="13">
        <v>66932</v>
      </c>
      <c r="B836" s="63">
        <f>14.0787 * CHOOSE(CONTROL!$C$22, $C$13, 100%, $E$13)</f>
        <v>14.0787</v>
      </c>
      <c r="C836" s="63">
        <f>14.0787 * CHOOSE(CONTROL!$C$22, $C$13, 100%, $E$13)</f>
        <v>14.0787</v>
      </c>
      <c r="D836" s="63">
        <f>14.0788 * CHOOSE(CONTROL!$C$22, $C$13, 100%, $E$13)</f>
        <v>14.078799999999999</v>
      </c>
      <c r="E836" s="64">
        <f>16.1852 * CHOOSE(CONTROL!$C$22, $C$13, 100%, $E$13)</f>
        <v>16.185199999999998</v>
      </c>
      <c r="F836" s="64">
        <f>16.1852 * CHOOSE(CONTROL!$C$22, $C$13, 100%, $E$13)</f>
        <v>16.185199999999998</v>
      </c>
      <c r="G836" s="64">
        <f>16.1853 * CHOOSE(CONTROL!$C$22, $C$13, 100%, $E$13)</f>
        <v>16.185300000000002</v>
      </c>
      <c r="H836" s="64">
        <f>27.6137* CHOOSE(CONTROL!$C$22, $C$13, 100%, $E$13)</f>
        <v>27.613700000000001</v>
      </c>
      <c r="I836" s="64">
        <f>27.6138 * CHOOSE(CONTROL!$C$22, $C$13, 100%, $E$13)</f>
        <v>27.613800000000001</v>
      </c>
      <c r="J836" s="64">
        <f>16.1852 * CHOOSE(CONTROL!$C$22, $C$13, 100%, $E$13)</f>
        <v>16.185199999999998</v>
      </c>
      <c r="K836" s="64">
        <f>16.1853 * CHOOSE(CONTROL!$C$22, $C$13, 100%, $E$13)</f>
        <v>16.185300000000002</v>
      </c>
    </row>
    <row r="837" spans="1:11" ht="15">
      <c r="A837" s="13">
        <v>66962</v>
      </c>
      <c r="B837" s="63">
        <f>14.0787 * CHOOSE(CONTROL!$C$22, $C$13, 100%, $E$13)</f>
        <v>14.0787</v>
      </c>
      <c r="C837" s="63">
        <f>14.0787 * CHOOSE(CONTROL!$C$22, $C$13, 100%, $E$13)</f>
        <v>14.0787</v>
      </c>
      <c r="D837" s="63">
        <f>14.0872 * CHOOSE(CONTROL!$C$22, $C$13, 100%, $E$13)</f>
        <v>14.087199999999999</v>
      </c>
      <c r="E837" s="64">
        <f>16.2756 * CHOOSE(CONTROL!$C$22, $C$13, 100%, $E$13)</f>
        <v>16.275600000000001</v>
      </c>
      <c r="F837" s="64">
        <f>16.2756 * CHOOSE(CONTROL!$C$22, $C$13, 100%, $E$13)</f>
        <v>16.275600000000001</v>
      </c>
      <c r="G837" s="64">
        <f>16.2858 * CHOOSE(CONTROL!$C$22, $C$13, 100%, $E$13)</f>
        <v>16.285799999999998</v>
      </c>
      <c r="H837" s="64">
        <f>27.6712* CHOOSE(CONTROL!$C$22, $C$13, 100%, $E$13)</f>
        <v>27.671199999999999</v>
      </c>
      <c r="I837" s="64">
        <f>27.6814 * CHOOSE(CONTROL!$C$22, $C$13, 100%, $E$13)</f>
        <v>27.6814</v>
      </c>
      <c r="J837" s="64">
        <f>16.2756 * CHOOSE(CONTROL!$C$22, $C$13, 100%, $E$13)</f>
        <v>16.275600000000001</v>
      </c>
      <c r="K837" s="64">
        <f>16.2858 * CHOOSE(CONTROL!$C$22, $C$13, 100%, $E$13)</f>
        <v>16.285799999999998</v>
      </c>
    </row>
    <row r="838" spans="1:11" ht="15">
      <c r="A838" s="13">
        <v>66993</v>
      </c>
      <c r="B838" s="63">
        <f>14.0848 * CHOOSE(CONTROL!$C$22, $C$13, 100%, $E$13)</f>
        <v>14.0848</v>
      </c>
      <c r="C838" s="63">
        <f>14.0848 * CHOOSE(CONTROL!$C$22, $C$13, 100%, $E$13)</f>
        <v>14.0848</v>
      </c>
      <c r="D838" s="63">
        <f>14.0933 * CHOOSE(CONTROL!$C$22, $C$13, 100%, $E$13)</f>
        <v>14.093299999999999</v>
      </c>
      <c r="E838" s="64">
        <f>16.1894 * CHOOSE(CONTROL!$C$22, $C$13, 100%, $E$13)</f>
        <v>16.189399999999999</v>
      </c>
      <c r="F838" s="64">
        <f>16.1894 * CHOOSE(CONTROL!$C$22, $C$13, 100%, $E$13)</f>
        <v>16.189399999999999</v>
      </c>
      <c r="G838" s="64">
        <f>16.1997 * CHOOSE(CONTROL!$C$22, $C$13, 100%, $E$13)</f>
        <v>16.1997</v>
      </c>
      <c r="H838" s="64">
        <f>27.7288* CHOOSE(CONTROL!$C$22, $C$13, 100%, $E$13)</f>
        <v>27.7288</v>
      </c>
      <c r="I838" s="64">
        <f>27.7391 * CHOOSE(CONTROL!$C$22, $C$13, 100%, $E$13)</f>
        <v>27.739100000000001</v>
      </c>
      <c r="J838" s="64">
        <f>16.1894 * CHOOSE(CONTROL!$C$22, $C$13, 100%, $E$13)</f>
        <v>16.189399999999999</v>
      </c>
      <c r="K838" s="64">
        <f>16.1997 * CHOOSE(CONTROL!$C$22, $C$13, 100%, $E$13)</f>
        <v>16.1997</v>
      </c>
    </row>
    <row r="839" spans="1:11" ht="15">
      <c r="A839" s="13">
        <v>67023</v>
      </c>
      <c r="B839" s="63">
        <f>14.2984 * CHOOSE(CONTROL!$C$22, $C$13, 100%, $E$13)</f>
        <v>14.298400000000001</v>
      </c>
      <c r="C839" s="63">
        <f>14.2984 * CHOOSE(CONTROL!$C$22, $C$13, 100%, $E$13)</f>
        <v>14.298400000000001</v>
      </c>
      <c r="D839" s="63">
        <f>14.3069 * CHOOSE(CONTROL!$C$22, $C$13, 100%, $E$13)</f>
        <v>14.306900000000001</v>
      </c>
      <c r="E839" s="64">
        <f>16.4469 * CHOOSE(CONTROL!$C$22, $C$13, 100%, $E$13)</f>
        <v>16.446899999999999</v>
      </c>
      <c r="F839" s="64">
        <f>16.4469 * CHOOSE(CONTROL!$C$22, $C$13, 100%, $E$13)</f>
        <v>16.446899999999999</v>
      </c>
      <c r="G839" s="64">
        <f>16.4571 * CHOOSE(CONTROL!$C$22, $C$13, 100%, $E$13)</f>
        <v>16.457100000000001</v>
      </c>
      <c r="H839" s="64">
        <f>27.7866* CHOOSE(CONTROL!$C$22, $C$13, 100%, $E$13)</f>
        <v>27.7866</v>
      </c>
      <c r="I839" s="64">
        <f>27.7968 * CHOOSE(CONTROL!$C$22, $C$13, 100%, $E$13)</f>
        <v>27.796800000000001</v>
      </c>
      <c r="J839" s="64">
        <f>16.4469 * CHOOSE(CONTROL!$C$22, $C$13, 100%, $E$13)</f>
        <v>16.446899999999999</v>
      </c>
      <c r="K839" s="64">
        <f>16.4571 * CHOOSE(CONTROL!$C$22, $C$13, 100%, $E$13)</f>
        <v>16.457100000000001</v>
      </c>
    </row>
    <row r="840" spans="1:11" ht="15">
      <c r="A840" s="13">
        <v>67054</v>
      </c>
      <c r="B840" s="63">
        <f>14.3051 * CHOOSE(CONTROL!$C$22, $C$13, 100%, $E$13)</f>
        <v>14.305099999999999</v>
      </c>
      <c r="C840" s="63">
        <f>14.3051 * CHOOSE(CONTROL!$C$22, $C$13, 100%, $E$13)</f>
        <v>14.305099999999999</v>
      </c>
      <c r="D840" s="63">
        <f>14.3135 * CHOOSE(CONTROL!$C$22, $C$13, 100%, $E$13)</f>
        <v>14.313499999999999</v>
      </c>
      <c r="E840" s="64">
        <f>16.1805 * CHOOSE(CONTROL!$C$22, $C$13, 100%, $E$13)</f>
        <v>16.180499999999999</v>
      </c>
      <c r="F840" s="64">
        <f>16.1805 * CHOOSE(CONTROL!$C$22, $C$13, 100%, $E$13)</f>
        <v>16.180499999999999</v>
      </c>
      <c r="G840" s="64">
        <f>16.1907 * CHOOSE(CONTROL!$C$22, $C$13, 100%, $E$13)</f>
        <v>16.1907</v>
      </c>
      <c r="H840" s="64">
        <f>27.8445* CHOOSE(CONTROL!$C$22, $C$13, 100%, $E$13)</f>
        <v>27.8445</v>
      </c>
      <c r="I840" s="64">
        <f>27.8547 * CHOOSE(CONTROL!$C$22, $C$13, 100%, $E$13)</f>
        <v>27.854700000000001</v>
      </c>
      <c r="J840" s="64">
        <f>16.1805 * CHOOSE(CONTROL!$C$22, $C$13, 100%, $E$13)</f>
        <v>16.180499999999999</v>
      </c>
      <c r="K840" s="64">
        <f>16.1907 * CHOOSE(CONTROL!$C$22, $C$13, 100%, $E$13)</f>
        <v>16.1907</v>
      </c>
    </row>
    <row r="841" spans="1:11" ht="15">
      <c r="A841" s="13">
        <v>67085</v>
      </c>
      <c r="B841" s="63">
        <f>14.3021 * CHOOSE(CONTROL!$C$22, $C$13, 100%, $E$13)</f>
        <v>14.302099999999999</v>
      </c>
      <c r="C841" s="63">
        <f>14.3021 * CHOOSE(CONTROL!$C$22, $C$13, 100%, $E$13)</f>
        <v>14.302099999999999</v>
      </c>
      <c r="D841" s="63">
        <f>14.3105 * CHOOSE(CONTROL!$C$22, $C$13, 100%, $E$13)</f>
        <v>14.310499999999999</v>
      </c>
      <c r="E841" s="64">
        <f>16.1482 * CHOOSE(CONTROL!$C$22, $C$13, 100%, $E$13)</f>
        <v>16.148199999999999</v>
      </c>
      <c r="F841" s="64">
        <f>16.1482 * CHOOSE(CONTROL!$C$22, $C$13, 100%, $E$13)</f>
        <v>16.148199999999999</v>
      </c>
      <c r="G841" s="64">
        <f>16.1585 * CHOOSE(CONTROL!$C$22, $C$13, 100%, $E$13)</f>
        <v>16.1585</v>
      </c>
      <c r="H841" s="64">
        <f>27.9025* CHOOSE(CONTROL!$C$22, $C$13, 100%, $E$13)</f>
        <v>27.9025</v>
      </c>
      <c r="I841" s="64">
        <f>27.9127 * CHOOSE(CONTROL!$C$22, $C$13, 100%, $E$13)</f>
        <v>27.912700000000001</v>
      </c>
      <c r="J841" s="64">
        <f>16.1482 * CHOOSE(CONTROL!$C$22, $C$13, 100%, $E$13)</f>
        <v>16.148199999999999</v>
      </c>
      <c r="K841" s="64">
        <f>16.1585 * CHOOSE(CONTROL!$C$22, $C$13, 100%, $E$13)</f>
        <v>16.1585</v>
      </c>
    </row>
    <row r="842" spans="1:11" ht="15">
      <c r="A842" s="13">
        <v>67115</v>
      </c>
      <c r="B842" s="63">
        <f>14.3303 * CHOOSE(CONTROL!$C$22, $C$13, 100%, $E$13)</f>
        <v>14.330299999999999</v>
      </c>
      <c r="C842" s="63">
        <f>14.3303 * CHOOSE(CONTROL!$C$22, $C$13, 100%, $E$13)</f>
        <v>14.330299999999999</v>
      </c>
      <c r="D842" s="63">
        <f>14.3303 * CHOOSE(CONTROL!$C$22, $C$13, 100%, $E$13)</f>
        <v>14.330299999999999</v>
      </c>
      <c r="E842" s="64">
        <f>16.2553 * CHOOSE(CONTROL!$C$22, $C$13, 100%, $E$13)</f>
        <v>16.255299999999998</v>
      </c>
      <c r="F842" s="64">
        <f>16.2553 * CHOOSE(CONTROL!$C$22, $C$13, 100%, $E$13)</f>
        <v>16.255299999999998</v>
      </c>
      <c r="G842" s="64">
        <f>16.2554 * CHOOSE(CONTROL!$C$22, $C$13, 100%, $E$13)</f>
        <v>16.255400000000002</v>
      </c>
      <c r="H842" s="64">
        <f>27.9606* CHOOSE(CONTROL!$C$22, $C$13, 100%, $E$13)</f>
        <v>27.960599999999999</v>
      </c>
      <c r="I842" s="64">
        <f>27.9607 * CHOOSE(CONTROL!$C$22, $C$13, 100%, $E$13)</f>
        <v>27.960699999999999</v>
      </c>
      <c r="J842" s="64">
        <f>16.2553 * CHOOSE(CONTROL!$C$22, $C$13, 100%, $E$13)</f>
        <v>16.255299999999998</v>
      </c>
      <c r="K842" s="64">
        <f>16.2554 * CHOOSE(CONTROL!$C$22, $C$13, 100%, $E$13)</f>
        <v>16.255400000000002</v>
      </c>
    </row>
    <row r="843" spans="1:11" ht="15">
      <c r="A843" s="13">
        <v>67146</v>
      </c>
      <c r="B843" s="63">
        <f>14.3333 * CHOOSE(CONTROL!$C$22, $C$13, 100%, $E$13)</f>
        <v>14.333299999999999</v>
      </c>
      <c r="C843" s="63">
        <f>14.3333 * CHOOSE(CONTROL!$C$22, $C$13, 100%, $E$13)</f>
        <v>14.333299999999999</v>
      </c>
      <c r="D843" s="63">
        <f>14.3333 * CHOOSE(CONTROL!$C$22, $C$13, 100%, $E$13)</f>
        <v>14.333299999999999</v>
      </c>
      <c r="E843" s="64">
        <f>16.3177 * CHOOSE(CONTROL!$C$22, $C$13, 100%, $E$13)</f>
        <v>16.317699999999999</v>
      </c>
      <c r="F843" s="64">
        <f>16.3177 * CHOOSE(CONTROL!$C$22, $C$13, 100%, $E$13)</f>
        <v>16.317699999999999</v>
      </c>
      <c r="G843" s="64">
        <f>16.3177 * CHOOSE(CONTROL!$C$22, $C$13, 100%, $E$13)</f>
        <v>16.317699999999999</v>
      </c>
      <c r="H843" s="64">
        <f>28.0189* CHOOSE(CONTROL!$C$22, $C$13, 100%, $E$13)</f>
        <v>28.018899999999999</v>
      </c>
      <c r="I843" s="64">
        <f>28.019 * CHOOSE(CONTROL!$C$22, $C$13, 100%, $E$13)</f>
        <v>28.018999999999998</v>
      </c>
      <c r="J843" s="64">
        <f>16.3177 * CHOOSE(CONTROL!$C$22, $C$13, 100%, $E$13)</f>
        <v>16.317699999999999</v>
      </c>
      <c r="K843" s="64">
        <f>16.3177 * CHOOSE(CONTROL!$C$22, $C$13, 100%, $E$13)</f>
        <v>16.317699999999999</v>
      </c>
    </row>
    <row r="844" spans="1:11" ht="15">
      <c r="A844" s="13">
        <v>67176</v>
      </c>
      <c r="B844" s="63">
        <f>14.3333 * CHOOSE(CONTROL!$C$22, $C$13, 100%, $E$13)</f>
        <v>14.333299999999999</v>
      </c>
      <c r="C844" s="63">
        <f>14.3333 * CHOOSE(CONTROL!$C$22, $C$13, 100%, $E$13)</f>
        <v>14.333299999999999</v>
      </c>
      <c r="D844" s="63">
        <f>14.3333 * CHOOSE(CONTROL!$C$22, $C$13, 100%, $E$13)</f>
        <v>14.333299999999999</v>
      </c>
      <c r="E844" s="64">
        <f>16.1671 * CHOOSE(CONTROL!$C$22, $C$13, 100%, $E$13)</f>
        <v>16.167100000000001</v>
      </c>
      <c r="F844" s="64">
        <f>16.1671 * CHOOSE(CONTROL!$C$22, $C$13, 100%, $E$13)</f>
        <v>16.167100000000001</v>
      </c>
      <c r="G844" s="64">
        <f>16.1671 * CHOOSE(CONTROL!$C$22, $C$13, 100%, $E$13)</f>
        <v>16.167100000000001</v>
      </c>
      <c r="H844" s="64">
        <f>28.0773* CHOOSE(CONTROL!$C$22, $C$13, 100%, $E$13)</f>
        <v>28.077300000000001</v>
      </c>
      <c r="I844" s="64">
        <f>28.0774 * CHOOSE(CONTROL!$C$22, $C$13, 100%, $E$13)</f>
        <v>28.077400000000001</v>
      </c>
      <c r="J844" s="64">
        <f>16.1671 * CHOOSE(CONTROL!$C$22, $C$13, 100%, $E$13)</f>
        <v>16.167100000000001</v>
      </c>
      <c r="K844" s="64">
        <f>16.1671 * CHOOSE(CONTROL!$C$22, $C$13, 100%, $E$13)</f>
        <v>16.167100000000001</v>
      </c>
    </row>
    <row r="845" spans="1:11" ht="15">
      <c r="A845" s="13">
        <v>67207</v>
      </c>
      <c r="B845" s="63">
        <f>14.3143 * CHOOSE(CONTROL!$C$22, $C$13, 100%, $E$13)</f>
        <v>14.314299999999999</v>
      </c>
      <c r="C845" s="63">
        <f>14.3143 * CHOOSE(CONTROL!$C$22, $C$13, 100%, $E$13)</f>
        <v>14.314299999999999</v>
      </c>
      <c r="D845" s="63">
        <f>14.3143 * CHOOSE(CONTROL!$C$22, $C$13, 100%, $E$13)</f>
        <v>14.314299999999999</v>
      </c>
      <c r="E845" s="64">
        <f>16.2677 * CHOOSE(CONTROL!$C$22, $C$13, 100%, $E$13)</f>
        <v>16.267700000000001</v>
      </c>
      <c r="F845" s="64">
        <f>16.2677 * CHOOSE(CONTROL!$C$22, $C$13, 100%, $E$13)</f>
        <v>16.267700000000001</v>
      </c>
      <c r="G845" s="64">
        <f>16.2678 * CHOOSE(CONTROL!$C$22, $C$13, 100%, $E$13)</f>
        <v>16.267800000000001</v>
      </c>
      <c r="H845" s="64">
        <f>27.8877* CHOOSE(CONTROL!$C$22, $C$13, 100%, $E$13)</f>
        <v>27.887699999999999</v>
      </c>
      <c r="I845" s="64">
        <f>27.8878 * CHOOSE(CONTROL!$C$22, $C$13, 100%, $E$13)</f>
        <v>27.887799999999999</v>
      </c>
      <c r="J845" s="64">
        <f>16.2677 * CHOOSE(CONTROL!$C$22, $C$13, 100%, $E$13)</f>
        <v>16.267700000000001</v>
      </c>
      <c r="K845" s="64">
        <f>16.2678 * CHOOSE(CONTROL!$C$22, $C$13, 100%, $E$13)</f>
        <v>16.267800000000001</v>
      </c>
    </row>
    <row r="846" spans="1:11" ht="15">
      <c r="A846" s="13">
        <v>67238</v>
      </c>
      <c r="B846" s="63">
        <f>14.3113 * CHOOSE(CONTROL!$C$22, $C$13, 100%, $E$13)</f>
        <v>14.311299999999999</v>
      </c>
      <c r="C846" s="63">
        <f>14.3113 * CHOOSE(CONTROL!$C$22, $C$13, 100%, $E$13)</f>
        <v>14.311299999999999</v>
      </c>
      <c r="D846" s="63">
        <f>14.3113 * CHOOSE(CONTROL!$C$22, $C$13, 100%, $E$13)</f>
        <v>14.311299999999999</v>
      </c>
      <c r="E846" s="64">
        <f>15.976 * CHOOSE(CONTROL!$C$22, $C$13, 100%, $E$13)</f>
        <v>15.976000000000001</v>
      </c>
      <c r="F846" s="64">
        <f>15.976 * CHOOSE(CONTROL!$C$22, $C$13, 100%, $E$13)</f>
        <v>15.976000000000001</v>
      </c>
      <c r="G846" s="64">
        <f>15.9761 * CHOOSE(CONTROL!$C$22, $C$13, 100%, $E$13)</f>
        <v>15.976100000000001</v>
      </c>
      <c r="H846" s="64">
        <f>27.9458* CHOOSE(CONTROL!$C$22, $C$13, 100%, $E$13)</f>
        <v>27.945799999999998</v>
      </c>
      <c r="I846" s="64">
        <f>27.9459 * CHOOSE(CONTROL!$C$22, $C$13, 100%, $E$13)</f>
        <v>27.945900000000002</v>
      </c>
      <c r="J846" s="64">
        <f>15.976 * CHOOSE(CONTROL!$C$22, $C$13, 100%, $E$13)</f>
        <v>15.976000000000001</v>
      </c>
      <c r="K846" s="64">
        <f>15.9761 * CHOOSE(CONTROL!$C$22, $C$13, 100%, $E$13)</f>
        <v>15.976100000000001</v>
      </c>
    </row>
    <row r="847" spans="1:11" ht="15">
      <c r="A847" s="13">
        <v>67267</v>
      </c>
      <c r="B847" s="63">
        <f>14.3082 * CHOOSE(CONTROL!$C$22, $C$13, 100%, $E$13)</f>
        <v>14.308199999999999</v>
      </c>
      <c r="C847" s="63">
        <f>14.3082 * CHOOSE(CONTROL!$C$22, $C$13, 100%, $E$13)</f>
        <v>14.308199999999999</v>
      </c>
      <c r="D847" s="63">
        <f>14.3082 * CHOOSE(CONTROL!$C$22, $C$13, 100%, $E$13)</f>
        <v>14.308199999999999</v>
      </c>
      <c r="E847" s="64">
        <f>16.2022 * CHOOSE(CONTROL!$C$22, $C$13, 100%, $E$13)</f>
        <v>16.202200000000001</v>
      </c>
      <c r="F847" s="64">
        <f>16.2022 * CHOOSE(CONTROL!$C$22, $C$13, 100%, $E$13)</f>
        <v>16.202200000000001</v>
      </c>
      <c r="G847" s="64">
        <f>16.2022 * CHOOSE(CONTROL!$C$22, $C$13, 100%, $E$13)</f>
        <v>16.202200000000001</v>
      </c>
      <c r="H847" s="64">
        <f>28.004* CHOOSE(CONTROL!$C$22, $C$13, 100%, $E$13)</f>
        <v>28.004000000000001</v>
      </c>
      <c r="I847" s="64">
        <f>28.0041 * CHOOSE(CONTROL!$C$22, $C$13, 100%, $E$13)</f>
        <v>28.004100000000001</v>
      </c>
      <c r="J847" s="64">
        <f>16.2022 * CHOOSE(CONTROL!$C$22, $C$13, 100%, $E$13)</f>
        <v>16.202200000000001</v>
      </c>
      <c r="K847" s="64">
        <f>16.2022 * CHOOSE(CONTROL!$C$22, $C$13, 100%, $E$13)</f>
        <v>16.202200000000001</v>
      </c>
    </row>
    <row r="848" spans="1:11" ht="15">
      <c r="A848" s="13">
        <v>67298</v>
      </c>
      <c r="B848" s="63">
        <f>14.3145 * CHOOSE(CONTROL!$C$22, $C$13, 100%, $E$13)</f>
        <v>14.314500000000001</v>
      </c>
      <c r="C848" s="63">
        <f>14.3145 * CHOOSE(CONTROL!$C$22, $C$13, 100%, $E$13)</f>
        <v>14.314500000000001</v>
      </c>
      <c r="D848" s="63">
        <f>14.3145 * CHOOSE(CONTROL!$C$22, $C$13, 100%, $E$13)</f>
        <v>14.314500000000001</v>
      </c>
      <c r="E848" s="64">
        <f>16.4431 * CHOOSE(CONTROL!$C$22, $C$13, 100%, $E$13)</f>
        <v>16.443100000000001</v>
      </c>
      <c r="F848" s="64">
        <f>16.4431 * CHOOSE(CONTROL!$C$22, $C$13, 100%, $E$13)</f>
        <v>16.443100000000001</v>
      </c>
      <c r="G848" s="64">
        <f>16.4431 * CHOOSE(CONTROL!$C$22, $C$13, 100%, $E$13)</f>
        <v>16.443100000000001</v>
      </c>
      <c r="H848" s="64">
        <f>28.0624* CHOOSE(CONTROL!$C$22, $C$13, 100%, $E$13)</f>
        <v>28.0624</v>
      </c>
      <c r="I848" s="64">
        <f>28.0624 * CHOOSE(CONTROL!$C$22, $C$13, 100%, $E$13)</f>
        <v>28.0624</v>
      </c>
      <c r="J848" s="64">
        <f>16.4431 * CHOOSE(CONTROL!$C$22, $C$13, 100%, $E$13)</f>
        <v>16.443100000000001</v>
      </c>
      <c r="K848" s="64">
        <f>16.4431 * CHOOSE(CONTROL!$C$22, $C$13, 100%, $E$13)</f>
        <v>16.443100000000001</v>
      </c>
    </row>
    <row r="849" spans="1:11" ht="15">
      <c r="A849" s="13">
        <v>67328</v>
      </c>
      <c r="B849" s="63">
        <f>14.3145 * CHOOSE(CONTROL!$C$22, $C$13, 100%, $E$13)</f>
        <v>14.314500000000001</v>
      </c>
      <c r="C849" s="63">
        <f>14.3145 * CHOOSE(CONTROL!$C$22, $C$13, 100%, $E$13)</f>
        <v>14.314500000000001</v>
      </c>
      <c r="D849" s="63">
        <f>14.3229 * CHOOSE(CONTROL!$C$22, $C$13, 100%, $E$13)</f>
        <v>14.322900000000001</v>
      </c>
      <c r="E849" s="64">
        <f>16.535 * CHOOSE(CONTROL!$C$22, $C$13, 100%, $E$13)</f>
        <v>16.535</v>
      </c>
      <c r="F849" s="64">
        <f>16.535 * CHOOSE(CONTROL!$C$22, $C$13, 100%, $E$13)</f>
        <v>16.535</v>
      </c>
      <c r="G849" s="64">
        <f>16.5452 * CHOOSE(CONTROL!$C$22, $C$13, 100%, $E$13)</f>
        <v>16.545200000000001</v>
      </c>
      <c r="H849" s="64">
        <f>28.1208* CHOOSE(CONTROL!$C$22, $C$13, 100%, $E$13)</f>
        <v>28.120799999999999</v>
      </c>
      <c r="I849" s="64">
        <f>28.131 * CHOOSE(CONTROL!$C$22, $C$13, 100%, $E$13)</f>
        <v>28.131</v>
      </c>
      <c r="J849" s="64">
        <f>16.535 * CHOOSE(CONTROL!$C$22, $C$13, 100%, $E$13)</f>
        <v>16.535</v>
      </c>
      <c r="K849" s="64">
        <f>16.5452 * CHOOSE(CONTROL!$C$22, $C$13, 100%, $E$13)</f>
        <v>16.545200000000001</v>
      </c>
    </row>
    <row r="850" spans="1:11" ht="15">
      <c r="A850" s="13">
        <v>67359</v>
      </c>
      <c r="B850" s="63">
        <f>14.3206 * CHOOSE(CONTROL!$C$22, $C$13, 100%, $E$13)</f>
        <v>14.320600000000001</v>
      </c>
      <c r="C850" s="63">
        <f>14.3206 * CHOOSE(CONTROL!$C$22, $C$13, 100%, $E$13)</f>
        <v>14.320600000000001</v>
      </c>
      <c r="D850" s="63">
        <f>14.329 * CHOOSE(CONTROL!$C$22, $C$13, 100%, $E$13)</f>
        <v>14.329000000000001</v>
      </c>
      <c r="E850" s="64">
        <f>16.4473 * CHOOSE(CONTROL!$C$22, $C$13, 100%, $E$13)</f>
        <v>16.447299999999998</v>
      </c>
      <c r="F850" s="64">
        <f>16.4473 * CHOOSE(CONTROL!$C$22, $C$13, 100%, $E$13)</f>
        <v>16.447299999999998</v>
      </c>
      <c r="G850" s="64">
        <f>16.4575 * CHOOSE(CONTROL!$C$22, $C$13, 100%, $E$13)</f>
        <v>16.4575</v>
      </c>
      <c r="H850" s="64">
        <f>28.1794* CHOOSE(CONTROL!$C$22, $C$13, 100%, $E$13)</f>
        <v>28.179400000000001</v>
      </c>
      <c r="I850" s="64">
        <f>28.1896 * CHOOSE(CONTROL!$C$22, $C$13, 100%, $E$13)</f>
        <v>28.189599999999999</v>
      </c>
      <c r="J850" s="64">
        <f>16.4473 * CHOOSE(CONTROL!$C$22, $C$13, 100%, $E$13)</f>
        <v>16.447299999999998</v>
      </c>
      <c r="K850" s="64">
        <f>16.4575 * CHOOSE(CONTROL!$C$22, $C$13, 100%, $E$13)</f>
        <v>16.4575</v>
      </c>
    </row>
    <row r="851" spans="1:11" ht="15">
      <c r="A851" s="13">
        <v>67389</v>
      </c>
      <c r="B851" s="63">
        <f>14.5376 * CHOOSE(CONTROL!$C$22, $C$13, 100%, $E$13)</f>
        <v>14.537599999999999</v>
      </c>
      <c r="C851" s="63">
        <f>14.5376 * CHOOSE(CONTROL!$C$22, $C$13, 100%, $E$13)</f>
        <v>14.537599999999999</v>
      </c>
      <c r="D851" s="63">
        <f>14.546 * CHOOSE(CONTROL!$C$22, $C$13, 100%, $E$13)</f>
        <v>14.545999999999999</v>
      </c>
      <c r="E851" s="64">
        <f>16.7087 * CHOOSE(CONTROL!$C$22, $C$13, 100%, $E$13)</f>
        <v>16.7087</v>
      </c>
      <c r="F851" s="64">
        <f>16.7087 * CHOOSE(CONTROL!$C$22, $C$13, 100%, $E$13)</f>
        <v>16.7087</v>
      </c>
      <c r="G851" s="64">
        <f>16.7189 * CHOOSE(CONTROL!$C$22, $C$13, 100%, $E$13)</f>
        <v>16.718900000000001</v>
      </c>
      <c r="H851" s="64">
        <f>28.2381* CHOOSE(CONTROL!$C$22, $C$13, 100%, $E$13)</f>
        <v>28.238099999999999</v>
      </c>
      <c r="I851" s="64">
        <f>28.2483 * CHOOSE(CONTROL!$C$22, $C$13, 100%, $E$13)</f>
        <v>28.2483</v>
      </c>
      <c r="J851" s="64">
        <f>16.7087 * CHOOSE(CONTROL!$C$22, $C$13, 100%, $E$13)</f>
        <v>16.7087</v>
      </c>
      <c r="K851" s="64">
        <f>16.7189 * CHOOSE(CONTROL!$C$22, $C$13, 100%, $E$13)</f>
        <v>16.718900000000001</v>
      </c>
    </row>
    <row r="852" spans="1:11" ht="15">
      <c r="A852" s="13">
        <v>67420</v>
      </c>
      <c r="B852" s="63">
        <f>14.5443 * CHOOSE(CONTROL!$C$22, $C$13, 100%, $E$13)</f>
        <v>14.5443</v>
      </c>
      <c r="C852" s="63">
        <f>14.5443 * CHOOSE(CONTROL!$C$22, $C$13, 100%, $E$13)</f>
        <v>14.5443</v>
      </c>
      <c r="D852" s="63">
        <f>14.5527 * CHOOSE(CONTROL!$C$22, $C$13, 100%, $E$13)</f>
        <v>14.5527</v>
      </c>
      <c r="E852" s="64">
        <f>16.4375 * CHOOSE(CONTROL!$C$22, $C$13, 100%, $E$13)</f>
        <v>16.4375</v>
      </c>
      <c r="F852" s="64">
        <f>16.4375 * CHOOSE(CONTROL!$C$22, $C$13, 100%, $E$13)</f>
        <v>16.4375</v>
      </c>
      <c r="G852" s="64">
        <f>16.4478 * CHOOSE(CONTROL!$C$22, $C$13, 100%, $E$13)</f>
        <v>16.447800000000001</v>
      </c>
      <c r="H852" s="64">
        <f>28.2969* CHOOSE(CONTROL!$C$22, $C$13, 100%, $E$13)</f>
        <v>28.296900000000001</v>
      </c>
      <c r="I852" s="64">
        <f>28.3072 * CHOOSE(CONTROL!$C$22, $C$13, 100%, $E$13)</f>
        <v>28.307200000000002</v>
      </c>
      <c r="J852" s="64">
        <f>16.4375 * CHOOSE(CONTROL!$C$22, $C$13, 100%, $E$13)</f>
        <v>16.4375</v>
      </c>
      <c r="K852" s="64">
        <f>16.4478 * CHOOSE(CONTROL!$C$22, $C$13, 100%, $E$13)</f>
        <v>16.447800000000001</v>
      </c>
    </row>
    <row r="853" spans="1:11" ht="15">
      <c r="A853" s="13">
        <v>67451</v>
      </c>
      <c r="B853" s="63">
        <f>14.5412 * CHOOSE(CONTROL!$C$22, $C$13, 100%, $E$13)</f>
        <v>14.5412</v>
      </c>
      <c r="C853" s="63">
        <f>14.5412 * CHOOSE(CONTROL!$C$22, $C$13, 100%, $E$13)</f>
        <v>14.5412</v>
      </c>
      <c r="D853" s="63">
        <f>14.5497 * CHOOSE(CONTROL!$C$22, $C$13, 100%, $E$13)</f>
        <v>14.5497</v>
      </c>
      <c r="E853" s="64">
        <f>16.4048 * CHOOSE(CONTROL!$C$22, $C$13, 100%, $E$13)</f>
        <v>16.404800000000002</v>
      </c>
      <c r="F853" s="64">
        <f>16.4048 * CHOOSE(CONTROL!$C$22, $C$13, 100%, $E$13)</f>
        <v>16.404800000000002</v>
      </c>
      <c r="G853" s="64">
        <f>16.415 * CHOOSE(CONTROL!$C$22, $C$13, 100%, $E$13)</f>
        <v>16.414999999999999</v>
      </c>
      <c r="H853" s="64">
        <f>28.3559* CHOOSE(CONTROL!$C$22, $C$13, 100%, $E$13)</f>
        <v>28.355899999999998</v>
      </c>
      <c r="I853" s="64">
        <f>28.3661 * CHOOSE(CONTROL!$C$22, $C$13, 100%, $E$13)</f>
        <v>28.366099999999999</v>
      </c>
      <c r="J853" s="64">
        <f>16.4048 * CHOOSE(CONTROL!$C$22, $C$13, 100%, $E$13)</f>
        <v>16.404800000000002</v>
      </c>
      <c r="K853" s="64">
        <f>16.415 * CHOOSE(CONTROL!$C$22, $C$13, 100%, $E$13)</f>
        <v>16.414999999999999</v>
      </c>
    </row>
    <row r="854" spans="1:11" ht="15">
      <c r="A854" s="13">
        <v>67481</v>
      </c>
      <c r="B854" s="63">
        <f>14.5702 * CHOOSE(CONTROL!$C$22, $C$13, 100%, $E$13)</f>
        <v>14.5702</v>
      </c>
      <c r="C854" s="63">
        <f>14.5702 * CHOOSE(CONTROL!$C$22, $C$13, 100%, $E$13)</f>
        <v>14.5702</v>
      </c>
      <c r="D854" s="63">
        <f>14.5702 * CHOOSE(CONTROL!$C$22, $C$13, 100%, $E$13)</f>
        <v>14.5702</v>
      </c>
      <c r="E854" s="64">
        <f>16.5139 * CHOOSE(CONTROL!$C$22, $C$13, 100%, $E$13)</f>
        <v>16.5139</v>
      </c>
      <c r="F854" s="64">
        <f>16.5139 * CHOOSE(CONTROL!$C$22, $C$13, 100%, $E$13)</f>
        <v>16.5139</v>
      </c>
      <c r="G854" s="64">
        <f>16.514 * CHOOSE(CONTROL!$C$22, $C$13, 100%, $E$13)</f>
        <v>16.513999999999999</v>
      </c>
      <c r="H854" s="64">
        <f>28.415* CHOOSE(CONTROL!$C$22, $C$13, 100%, $E$13)</f>
        <v>28.414999999999999</v>
      </c>
      <c r="I854" s="64">
        <f>28.415 * CHOOSE(CONTROL!$C$22, $C$13, 100%, $E$13)</f>
        <v>28.414999999999999</v>
      </c>
      <c r="J854" s="64">
        <f>16.5139 * CHOOSE(CONTROL!$C$22, $C$13, 100%, $E$13)</f>
        <v>16.5139</v>
      </c>
      <c r="K854" s="64">
        <f>16.514 * CHOOSE(CONTROL!$C$22, $C$13, 100%, $E$13)</f>
        <v>16.513999999999999</v>
      </c>
    </row>
    <row r="855" spans="1:11" ht="15">
      <c r="A855" s="13">
        <v>67512</v>
      </c>
      <c r="B855" s="63">
        <f>14.5733 * CHOOSE(CONTROL!$C$22, $C$13, 100%, $E$13)</f>
        <v>14.5733</v>
      </c>
      <c r="C855" s="63">
        <f>14.5733 * CHOOSE(CONTROL!$C$22, $C$13, 100%, $E$13)</f>
        <v>14.5733</v>
      </c>
      <c r="D855" s="63">
        <f>14.5733 * CHOOSE(CONTROL!$C$22, $C$13, 100%, $E$13)</f>
        <v>14.5733</v>
      </c>
      <c r="E855" s="64">
        <f>16.5773 * CHOOSE(CONTROL!$C$22, $C$13, 100%, $E$13)</f>
        <v>16.577300000000001</v>
      </c>
      <c r="F855" s="64">
        <f>16.5773 * CHOOSE(CONTROL!$C$22, $C$13, 100%, $E$13)</f>
        <v>16.577300000000001</v>
      </c>
      <c r="G855" s="64">
        <f>16.5774 * CHOOSE(CONTROL!$C$22, $C$13, 100%, $E$13)</f>
        <v>16.577400000000001</v>
      </c>
      <c r="H855" s="64">
        <f>28.4742* CHOOSE(CONTROL!$C$22, $C$13, 100%, $E$13)</f>
        <v>28.4742</v>
      </c>
      <c r="I855" s="64">
        <f>28.4742 * CHOOSE(CONTROL!$C$22, $C$13, 100%, $E$13)</f>
        <v>28.4742</v>
      </c>
      <c r="J855" s="64">
        <f>16.5773 * CHOOSE(CONTROL!$C$22, $C$13, 100%, $E$13)</f>
        <v>16.577300000000001</v>
      </c>
      <c r="K855" s="64">
        <f>16.5774 * CHOOSE(CONTROL!$C$22, $C$13, 100%, $E$13)</f>
        <v>16.577400000000001</v>
      </c>
    </row>
    <row r="856" spans="1:11" ht="15">
      <c r="A856" s="13">
        <v>67542</v>
      </c>
      <c r="B856" s="63">
        <f>14.5733 * CHOOSE(CONTROL!$C$22, $C$13, 100%, $E$13)</f>
        <v>14.5733</v>
      </c>
      <c r="C856" s="63">
        <f>14.5733 * CHOOSE(CONTROL!$C$22, $C$13, 100%, $E$13)</f>
        <v>14.5733</v>
      </c>
      <c r="D856" s="63">
        <f>14.5733 * CHOOSE(CONTROL!$C$22, $C$13, 100%, $E$13)</f>
        <v>14.5733</v>
      </c>
      <c r="E856" s="64">
        <f>16.4241 * CHOOSE(CONTROL!$C$22, $C$13, 100%, $E$13)</f>
        <v>16.424099999999999</v>
      </c>
      <c r="F856" s="64">
        <f>16.4241 * CHOOSE(CONTROL!$C$22, $C$13, 100%, $E$13)</f>
        <v>16.424099999999999</v>
      </c>
      <c r="G856" s="64">
        <f>16.4242 * CHOOSE(CONTROL!$C$22, $C$13, 100%, $E$13)</f>
        <v>16.424199999999999</v>
      </c>
      <c r="H856" s="64">
        <f>28.5335* CHOOSE(CONTROL!$C$22, $C$13, 100%, $E$13)</f>
        <v>28.5335</v>
      </c>
      <c r="I856" s="64">
        <f>28.5336 * CHOOSE(CONTROL!$C$22, $C$13, 100%, $E$13)</f>
        <v>28.5336</v>
      </c>
      <c r="J856" s="64">
        <f>16.4241 * CHOOSE(CONTROL!$C$22, $C$13, 100%, $E$13)</f>
        <v>16.424099999999999</v>
      </c>
      <c r="K856" s="64">
        <f>16.4242 * CHOOSE(CONTROL!$C$22, $C$13, 100%, $E$13)</f>
        <v>16.424199999999999</v>
      </c>
    </row>
    <row r="857" spans="1:11" ht="15">
      <c r="A857" s="13">
        <v>67573</v>
      </c>
      <c r="B857" s="63">
        <f>14.5499 * CHOOSE(CONTROL!$C$22, $C$13, 100%, $E$13)</f>
        <v>14.549899999999999</v>
      </c>
      <c r="C857" s="63">
        <f>14.5499 * CHOOSE(CONTROL!$C$22, $C$13, 100%, $E$13)</f>
        <v>14.549899999999999</v>
      </c>
      <c r="D857" s="63">
        <f>14.5499 * CHOOSE(CONTROL!$C$22, $C$13, 100%, $E$13)</f>
        <v>14.549899999999999</v>
      </c>
      <c r="E857" s="64">
        <f>16.5224 * CHOOSE(CONTROL!$C$22, $C$13, 100%, $E$13)</f>
        <v>16.522400000000001</v>
      </c>
      <c r="F857" s="64">
        <f>16.5224 * CHOOSE(CONTROL!$C$22, $C$13, 100%, $E$13)</f>
        <v>16.522400000000001</v>
      </c>
      <c r="G857" s="64">
        <f>16.5225 * CHOOSE(CONTROL!$C$22, $C$13, 100%, $E$13)</f>
        <v>16.522500000000001</v>
      </c>
      <c r="H857" s="64">
        <f>28.3336* CHOOSE(CONTROL!$C$22, $C$13, 100%, $E$13)</f>
        <v>28.333600000000001</v>
      </c>
      <c r="I857" s="64">
        <f>28.3337 * CHOOSE(CONTROL!$C$22, $C$13, 100%, $E$13)</f>
        <v>28.3337</v>
      </c>
      <c r="J857" s="64">
        <f>16.5224 * CHOOSE(CONTROL!$C$22, $C$13, 100%, $E$13)</f>
        <v>16.522400000000001</v>
      </c>
      <c r="K857" s="64">
        <f>16.5225 * CHOOSE(CONTROL!$C$22, $C$13, 100%, $E$13)</f>
        <v>16.522500000000001</v>
      </c>
    </row>
    <row r="858" spans="1:11" ht="15">
      <c r="A858" s="13">
        <v>67604</v>
      </c>
      <c r="B858" s="63">
        <f>14.5468 * CHOOSE(CONTROL!$C$22, $C$13, 100%, $E$13)</f>
        <v>14.546799999999999</v>
      </c>
      <c r="C858" s="63">
        <f>14.5468 * CHOOSE(CONTROL!$C$22, $C$13, 100%, $E$13)</f>
        <v>14.546799999999999</v>
      </c>
      <c r="D858" s="63">
        <f>14.5468 * CHOOSE(CONTROL!$C$22, $C$13, 100%, $E$13)</f>
        <v>14.546799999999999</v>
      </c>
      <c r="E858" s="64">
        <f>16.2258 * CHOOSE(CONTROL!$C$22, $C$13, 100%, $E$13)</f>
        <v>16.2258</v>
      </c>
      <c r="F858" s="64">
        <f>16.2258 * CHOOSE(CONTROL!$C$22, $C$13, 100%, $E$13)</f>
        <v>16.2258</v>
      </c>
      <c r="G858" s="64">
        <f>16.2259 * CHOOSE(CONTROL!$C$22, $C$13, 100%, $E$13)</f>
        <v>16.225899999999999</v>
      </c>
      <c r="H858" s="64">
        <f>28.3926* CHOOSE(CONTROL!$C$22, $C$13, 100%, $E$13)</f>
        <v>28.392600000000002</v>
      </c>
      <c r="I858" s="64">
        <f>28.3927 * CHOOSE(CONTROL!$C$22, $C$13, 100%, $E$13)</f>
        <v>28.392700000000001</v>
      </c>
      <c r="J858" s="64">
        <f>16.2258 * CHOOSE(CONTROL!$C$22, $C$13, 100%, $E$13)</f>
        <v>16.2258</v>
      </c>
      <c r="K858" s="64">
        <f>16.2259 * CHOOSE(CONTROL!$C$22, $C$13, 100%, $E$13)</f>
        <v>16.225899999999999</v>
      </c>
    </row>
    <row r="859" spans="1:11" ht="15">
      <c r="A859" s="13">
        <v>67632</v>
      </c>
      <c r="B859" s="63">
        <f>14.5438 * CHOOSE(CONTROL!$C$22, $C$13, 100%, $E$13)</f>
        <v>14.543799999999999</v>
      </c>
      <c r="C859" s="63">
        <f>14.5438 * CHOOSE(CONTROL!$C$22, $C$13, 100%, $E$13)</f>
        <v>14.543799999999999</v>
      </c>
      <c r="D859" s="63">
        <f>14.5438 * CHOOSE(CONTROL!$C$22, $C$13, 100%, $E$13)</f>
        <v>14.543799999999999</v>
      </c>
      <c r="E859" s="64">
        <f>16.4558 * CHOOSE(CONTROL!$C$22, $C$13, 100%, $E$13)</f>
        <v>16.4558</v>
      </c>
      <c r="F859" s="64">
        <f>16.4558 * CHOOSE(CONTROL!$C$22, $C$13, 100%, $E$13)</f>
        <v>16.4558</v>
      </c>
      <c r="G859" s="64">
        <f>16.4559 * CHOOSE(CONTROL!$C$22, $C$13, 100%, $E$13)</f>
        <v>16.4559</v>
      </c>
      <c r="H859" s="64">
        <f>28.4518* CHOOSE(CONTROL!$C$22, $C$13, 100%, $E$13)</f>
        <v>28.451799999999999</v>
      </c>
      <c r="I859" s="64">
        <f>28.4518 * CHOOSE(CONTROL!$C$22, $C$13, 100%, $E$13)</f>
        <v>28.451799999999999</v>
      </c>
      <c r="J859" s="64">
        <f>16.4558 * CHOOSE(CONTROL!$C$22, $C$13, 100%, $E$13)</f>
        <v>16.4558</v>
      </c>
      <c r="K859" s="64">
        <f>16.4559 * CHOOSE(CONTROL!$C$22, $C$13, 100%, $E$13)</f>
        <v>16.4559</v>
      </c>
    </row>
    <row r="860" spans="1:11" ht="15">
      <c r="A860" s="13">
        <v>67663</v>
      </c>
      <c r="B860" s="63">
        <f>14.5503 * CHOOSE(CONTROL!$C$22, $C$13, 100%, $E$13)</f>
        <v>14.5503</v>
      </c>
      <c r="C860" s="63">
        <f>14.5503 * CHOOSE(CONTROL!$C$22, $C$13, 100%, $E$13)</f>
        <v>14.5503</v>
      </c>
      <c r="D860" s="63">
        <f>14.5503 * CHOOSE(CONTROL!$C$22, $C$13, 100%, $E$13)</f>
        <v>14.5503</v>
      </c>
      <c r="E860" s="64">
        <f>16.7009 * CHOOSE(CONTROL!$C$22, $C$13, 100%, $E$13)</f>
        <v>16.700900000000001</v>
      </c>
      <c r="F860" s="64">
        <f>16.7009 * CHOOSE(CONTROL!$C$22, $C$13, 100%, $E$13)</f>
        <v>16.700900000000001</v>
      </c>
      <c r="G860" s="64">
        <f>16.701 * CHOOSE(CONTROL!$C$22, $C$13, 100%, $E$13)</f>
        <v>16.701000000000001</v>
      </c>
      <c r="H860" s="64">
        <f>28.511* CHOOSE(CONTROL!$C$22, $C$13, 100%, $E$13)</f>
        <v>28.510999999999999</v>
      </c>
      <c r="I860" s="64">
        <f>28.5111 * CHOOSE(CONTROL!$C$22, $C$13, 100%, $E$13)</f>
        <v>28.511099999999999</v>
      </c>
      <c r="J860" s="64">
        <f>16.7009 * CHOOSE(CONTROL!$C$22, $C$13, 100%, $E$13)</f>
        <v>16.700900000000001</v>
      </c>
      <c r="K860" s="64">
        <f>16.701 * CHOOSE(CONTROL!$C$22, $C$13, 100%, $E$13)</f>
        <v>16.701000000000001</v>
      </c>
    </row>
    <row r="861" spans="1:11" ht="15">
      <c r="A861" s="13">
        <v>67693</v>
      </c>
      <c r="B861" s="63">
        <f>14.5503 * CHOOSE(CONTROL!$C$22, $C$13, 100%, $E$13)</f>
        <v>14.5503</v>
      </c>
      <c r="C861" s="63">
        <f>14.5503 * CHOOSE(CONTROL!$C$22, $C$13, 100%, $E$13)</f>
        <v>14.5503</v>
      </c>
      <c r="D861" s="63">
        <f>14.5587 * CHOOSE(CONTROL!$C$22, $C$13, 100%, $E$13)</f>
        <v>14.5587</v>
      </c>
      <c r="E861" s="64">
        <f>16.7944 * CHOOSE(CONTROL!$C$22, $C$13, 100%, $E$13)</f>
        <v>16.7944</v>
      </c>
      <c r="F861" s="64">
        <f>16.7944 * CHOOSE(CONTROL!$C$22, $C$13, 100%, $E$13)</f>
        <v>16.7944</v>
      </c>
      <c r="G861" s="64">
        <f>16.8046 * CHOOSE(CONTROL!$C$22, $C$13, 100%, $E$13)</f>
        <v>16.804600000000001</v>
      </c>
      <c r="H861" s="64">
        <f>28.5704* CHOOSE(CONTROL!$C$22, $C$13, 100%, $E$13)</f>
        <v>28.570399999999999</v>
      </c>
      <c r="I861" s="64">
        <f>28.5807 * CHOOSE(CONTROL!$C$22, $C$13, 100%, $E$13)</f>
        <v>28.5807</v>
      </c>
      <c r="J861" s="64">
        <f>16.7944 * CHOOSE(CONTROL!$C$22, $C$13, 100%, $E$13)</f>
        <v>16.7944</v>
      </c>
      <c r="K861" s="64">
        <f>16.8046 * CHOOSE(CONTROL!$C$22, $C$13, 100%, $E$13)</f>
        <v>16.804600000000001</v>
      </c>
    </row>
    <row r="862" spans="1:11" ht="15">
      <c r="A862" s="13">
        <v>67724</v>
      </c>
      <c r="B862" s="63">
        <f>14.5564 * CHOOSE(CONTROL!$C$22, $C$13, 100%, $E$13)</f>
        <v>14.5564</v>
      </c>
      <c r="C862" s="63">
        <f>14.5564 * CHOOSE(CONTROL!$C$22, $C$13, 100%, $E$13)</f>
        <v>14.5564</v>
      </c>
      <c r="D862" s="63">
        <f>14.5648 * CHOOSE(CONTROL!$C$22, $C$13, 100%, $E$13)</f>
        <v>14.5648</v>
      </c>
      <c r="E862" s="64">
        <f>16.7052 * CHOOSE(CONTROL!$C$22, $C$13, 100%, $E$13)</f>
        <v>16.705200000000001</v>
      </c>
      <c r="F862" s="64">
        <f>16.7052 * CHOOSE(CONTROL!$C$22, $C$13, 100%, $E$13)</f>
        <v>16.705200000000001</v>
      </c>
      <c r="G862" s="64">
        <f>16.7154 * CHOOSE(CONTROL!$C$22, $C$13, 100%, $E$13)</f>
        <v>16.715399999999999</v>
      </c>
      <c r="H862" s="64">
        <f>28.63* CHOOSE(CONTROL!$C$22, $C$13, 100%, $E$13)</f>
        <v>28.63</v>
      </c>
      <c r="I862" s="64">
        <f>28.6402 * CHOOSE(CONTROL!$C$22, $C$13, 100%, $E$13)</f>
        <v>28.6402</v>
      </c>
      <c r="J862" s="64">
        <f>16.7052 * CHOOSE(CONTROL!$C$22, $C$13, 100%, $E$13)</f>
        <v>16.705200000000001</v>
      </c>
      <c r="K862" s="64">
        <f>16.7154 * CHOOSE(CONTROL!$C$22, $C$13, 100%, $E$13)</f>
        <v>16.715399999999999</v>
      </c>
    </row>
    <row r="863" spans="1:11" ht="15">
      <c r="A863" s="13">
        <v>67754</v>
      </c>
      <c r="B863" s="63">
        <f>14.7768 * CHOOSE(CONTROL!$C$22, $C$13, 100%, $E$13)</f>
        <v>14.7768</v>
      </c>
      <c r="C863" s="63">
        <f>14.7768 * CHOOSE(CONTROL!$C$22, $C$13, 100%, $E$13)</f>
        <v>14.7768</v>
      </c>
      <c r="D863" s="63">
        <f>14.7852 * CHOOSE(CONTROL!$C$22, $C$13, 100%, $E$13)</f>
        <v>14.7852</v>
      </c>
      <c r="E863" s="64">
        <f>16.9704 * CHOOSE(CONTROL!$C$22, $C$13, 100%, $E$13)</f>
        <v>16.970400000000001</v>
      </c>
      <c r="F863" s="64">
        <f>16.9704 * CHOOSE(CONTROL!$C$22, $C$13, 100%, $E$13)</f>
        <v>16.970400000000001</v>
      </c>
      <c r="G863" s="64">
        <f>16.9807 * CHOOSE(CONTROL!$C$22, $C$13, 100%, $E$13)</f>
        <v>16.980699999999999</v>
      </c>
      <c r="H863" s="64">
        <f>28.6896* CHOOSE(CONTROL!$C$22, $C$13, 100%, $E$13)</f>
        <v>28.689599999999999</v>
      </c>
      <c r="I863" s="64">
        <f>28.6998 * CHOOSE(CONTROL!$C$22, $C$13, 100%, $E$13)</f>
        <v>28.6998</v>
      </c>
      <c r="J863" s="64">
        <f>16.9704 * CHOOSE(CONTROL!$C$22, $C$13, 100%, $E$13)</f>
        <v>16.970400000000001</v>
      </c>
      <c r="K863" s="64">
        <f>16.9807 * CHOOSE(CONTROL!$C$22, $C$13, 100%, $E$13)</f>
        <v>16.980699999999999</v>
      </c>
    </row>
    <row r="864" spans="1:11" ht="15">
      <c r="A864" s="13">
        <v>67785</v>
      </c>
      <c r="B864" s="63">
        <f>14.7835 * CHOOSE(CONTROL!$C$22, $C$13, 100%, $E$13)</f>
        <v>14.7835</v>
      </c>
      <c r="C864" s="63">
        <f>14.7835 * CHOOSE(CONTROL!$C$22, $C$13, 100%, $E$13)</f>
        <v>14.7835</v>
      </c>
      <c r="D864" s="63">
        <f>14.7919 * CHOOSE(CONTROL!$C$22, $C$13, 100%, $E$13)</f>
        <v>14.7919</v>
      </c>
      <c r="E864" s="64">
        <f>16.6946 * CHOOSE(CONTROL!$C$22, $C$13, 100%, $E$13)</f>
        <v>16.694600000000001</v>
      </c>
      <c r="F864" s="64">
        <f>16.6946 * CHOOSE(CONTROL!$C$22, $C$13, 100%, $E$13)</f>
        <v>16.694600000000001</v>
      </c>
      <c r="G864" s="64">
        <f>16.7048 * CHOOSE(CONTROL!$C$22, $C$13, 100%, $E$13)</f>
        <v>16.704799999999999</v>
      </c>
      <c r="H864" s="64">
        <f>28.7494* CHOOSE(CONTROL!$C$22, $C$13, 100%, $E$13)</f>
        <v>28.749400000000001</v>
      </c>
      <c r="I864" s="64">
        <f>28.7596 * CHOOSE(CONTROL!$C$22, $C$13, 100%, $E$13)</f>
        <v>28.759599999999999</v>
      </c>
      <c r="J864" s="64">
        <f>16.6946 * CHOOSE(CONTROL!$C$22, $C$13, 100%, $E$13)</f>
        <v>16.694600000000001</v>
      </c>
      <c r="K864" s="64">
        <f>16.7048 * CHOOSE(CONTROL!$C$22, $C$13, 100%, $E$13)</f>
        <v>16.704799999999999</v>
      </c>
    </row>
    <row r="865" spans="1:11" ht="15">
      <c r="A865" s="13">
        <v>67816</v>
      </c>
      <c r="B865" s="63">
        <f>14.7804 * CHOOSE(CONTROL!$C$22, $C$13, 100%, $E$13)</f>
        <v>14.7804</v>
      </c>
      <c r="C865" s="63">
        <f>14.7804 * CHOOSE(CONTROL!$C$22, $C$13, 100%, $E$13)</f>
        <v>14.7804</v>
      </c>
      <c r="D865" s="63">
        <f>14.7889 * CHOOSE(CONTROL!$C$22, $C$13, 100%, $E$13)</f>
        <v>14.7889</v>
      </c>
      <c r="E865" s="64">
        <f>16.6613 * CHOOSE(CONTROL!$C$22, $C$13, 100%, $E$13)</f>
        <v>16.661300000000001</v>
      </c>
      <c r="F865" s="64">
        <f>16.6613 * CHOOSE(CONTROL!$C$22, $C$13, 100%, $E$13)</f>
        <v>16.661300000000001</v>
      </c>
      <c r="G865" s="64">
        <f>16.6716 * CHOOSE(CONTROL!$C$22, $C$13, 100%, $E$13)</f>
        <v>16.671600000000002</v>
      </c>
      <c r="H865" s="64">
        <f>28.8093* CHOOSE(CONTROL!$C$22, $C$13, 100%, $E$13)</f>
        <v>28.8093</v>
      </c>
      <c r="I865" s="64">
        <f>28.8195 * CHOOSE(CONTROL!$C$22, $C$13, 100%, $E$13)</f>
        <v>28.819500000000001</v>
      </c>
      <c r="J865" s="64">
        <f>16.6613 * CHOOSE(CONTROL!$C$22, $C$13, 100%, $E$13)</f>
        <v>16.661300000000001</v>
      </c>
      <c r="K865" s="64">
        <f>16.6716 * CHOOSE(CONTROL!$C$22, $C$13, 100%, $E$13)</f>
        <v>16.671600000000002</v>
      </c>
    </row>
    <row r="866" spans="1:11" ht="15">
      <c r="A866" s="13">
        <v>67846</v>
      </c>
      <c r="B866" s="63">
        <f>14.8102 * CHOOSE(CONTROL!$C$22, $C$13, 100%, $E$13)</f>
        <v>14.8102</v>
      </c>
      <c r="C866" s="63">
        <f>14.8102 * CHOOSE(CONTROL!$C$22, $C$13, 100%, $E$13)</f>
        <v>14.8102</v>
      </c>
      <c r="D866" s="63">
        <f>14.8102 * CHOOSE(CONTROL!$C$22, $C$13, 100%, $E$13)</f>
        <v>14.8102</v>
      </c>
      <c r="E866" s="64">
        <f>16.7726 * CHOOSE(CONTROL!$C$22, $C$13, 100%, $E$13)</f>
        <v>16.772600000000001</v>
      </c>
      <c r="F866" s="64">
        <f>16.7726 * CHOOSE(CONTROL!$C$22, $C$13, 100%, $E$13)</f>
        <v>16.772600000000001</v>
      </c>
      <c r="G866" s="64">
        <f>16.7727 * CHOOSE(CONTROL!$C$22, $C$13, 100%, $E$13)</f>
        <v>16.7727</v>
      </c>
      <c r="H866" s="64">
        <f>28.8693* CHOOSE(CONTROL!$C$22, $C$13, 100%, $E$13)</f>
        <v>28.869299999999999</v>
      </c>
      <c r="I866" s="64">
        <f>28.8694 * CHOOSE(CONTROL!$C$22, $C$13, 100%, $E$13)</f>
        <v>28.869399999999999</v>
      </c>
      <c r="J866" s="64">
        <f>16.7726 * CHOOSE(CONTROL!$C$22, $C$13, 100%, $E$13)</f>
        <v>16.772600000000001</v>
      </c>
      <c r="K866" s="64">
        <f>16.7727 * CHOOSE(CONTROL!$C$22, $C$13, 100%, $E$13)</f>
        <v>16.7727</v>
      </c>
    </row>
    <row r="867" spans="1:11" ht="15">
      <c r="A867" s="13">
        <v>67877</v>
      </c>
      <c r="B867" s="63">
        <f>14.8132 * CHOOSE(CONTROL!$C$22, $C$13, 100%, $E$13)</f>
        <v>14.8132</v>
      </c>
      <c r="C867" s="63">
        <f>14.8132 * CHOOSE(CONTROL!$C$22, $C$13, 100%, $E$13)</f>
        <v>14.8132</v>
      </c>
      <c r="D867" s="63">
        <f>14.8132 * CHOOSE(CONTROL!$C$22, $C$13, 100%, $E$13)</f>
        <v>14.8132</v>
      </c>
      <c r="E867" s="64">
        <f>16.837 * CHOOSE(CONTROL!$C$22, $C$13, 100%, $E$13)</f>
        <v>16.837</v>
      </c>
      <c r="F867" s="64">
        <f>16.837 * CHOOSE(CONTROL!$C$22, $C$13, 100%, $E$13)</f>
        <v>16.837</v>
      </c>
      <c r="G867" s="64">
        <f>16.8371 * CHOOSE(CONTROL!$C$22, $C$13, 100%, $E$13)</f>
        <v>16.8371</v>
      </c>
      <c r="H867" s="64">
        <f>28.9294* CHOOSE(CONTROL!$C$22, $C$13, 100%, $E$13)</f>
        <v>28.929400000000001</v>
      </c>
      <c r="I867" s="64">
        <f>28.9295 * CHOOSE(CONTROL!$C$22, $C$13, 100%, $E$13)</f>
        <v>28.929500000000001</v>
      </c>
      <c r="J867" s="64">
        <f>16.837 * CHOOSE(CONTROL!$C$22, $C$13, 100%, $E$13)</f>
        <v>16.837</v>
      </c>
      <c r="K867" s="64">
        <f>16.8371 * CHOOSE(CONTROL!$C$22, $C$13, 100%, $E$13)</f>
        <v>16.8371</v>
      </c>
    </row>
    <row r="868" spans="1:11" ht="15">
      <c r="A868" s="13">
        <v>67907</v>
      </c>
      <c r="B868" s="63">
        <f>14.8132 * CHOOSE(CONTROL!$C$22, $C$13, 100%, $E$13)</f>
        <v>14.8132</v>
      </c>
      <c r="C868" s="63">
        <f>14.8132 * CHOOSE(CONTROL!$C$22, $C$13, 100%, $E$13)</f>
        <v>14.8132</v>
      </c>
      <c r="D868" s="63">
        <f>14.8132 * CHOOSE(CONTROL!$C$22, $C$13, 100%, $E$13)</f>
        <v>14.8132</v>
      </c>
      <c r="E868" s="64">
        <f>16.6812 * CHOOSE(CONTROL!$C$22, $C$13, 100%, $E$13)</f>
        <v>16.6812</v>
      </c>
      <c r="F868" s="64">
        <f>16.6812 * CHOOSE(CONTROL!$C$22, $C$13, 100%, $E$13)</f>
        <v>16.6812</v>
      </c>
      <c r="G868" s="64">
        <f>16.6813 * CHOOSE(CONTROL!$C$22, $C$13, 100%, $E$13)</f>
        <v>16.6813</v>
      </c>
      <c r="H868" s="64">
        <f>28.9897* CHOOSE(CONTROL!$C$22, $C$13, 100%, $E$13)</f>
        <v>28.989699999999999</v>
      </c>
      <c r="I868" s="64">
        <f>28.9898 * CHOOSE(CONTROL!$C$22, $C$13, 100%, $E$13)</f>
        <v>28.989799999999999</v>
      </c>
      <c r="J868" s="64">
        <f>16.6812 * CHOOSE(CONTROL!$C$22, $C$13, 100%, $E$13)</f>
        <v>16.6812</v>
      </c>
      <c r="K868" s="64">
        <f>16.6813 * CHOOSE(CONTROL!$C$22, $C$13, 100%, $E$13)</f>
        <v>16.6813</v>
      </c>
    </row>
    <row r="869" spans="1:11" ht="15">
      <c r="A869" s="13">
        <v>67938</v>
      </c>
      <c r="B869" s="63">
        <f>14.7854 * CHOOSE(CONTROL!$C$22, $C$13, 100%, $E$13)</f>
        <v>14.785399999999999</v>
      </c>
      <c r="C869" s="63">
        <f>14.7854 * CHOOSE(CONTROL!$C$22, $C$13, 100%, $E$13)</f>
        <v>14.785399999999999</v>
      </c>
      <c r="D869" s="63">
        <f>14.7855 * CHOOSE(CONTROL!$C$22, $C$13, 100%, $E$13)</f>
        <v>14.785500000000001</v>
      </c>
      <c r="E869" s="64">
        <f>16.7771 * CHOOSE(CONTROL!$C$22, $C$13, 100%, $E$13)</f>
        <v>16.777100000000001</v>
      </c>
      <c r="F869" s="64">
        <f>16.7771 * CHOOSE(CONTROL!$C$22, $C$13, 100%, $E$13)</f>
        <v>16.777100000000001</v>
      </c>
      <c r="G869" s="64">
        <f>16.7772 * CHOOSE(CONTROL!$C$22, $C$13, 100%, $E$13)</f>
        <v>16.777200000000001</v>
      </c>
      <c r="H869" s="64">
        <f>28.7795* CHOOSE(CONTROL!$C$22, $C$13, 100%, $E$13)</f>
        <v>28.779499999999999</v>
      </c>
      <c r="I869" s="64">
        <f>28.7796 * CHOOSE(CONTROL!$C$22, $C$13, 100%, $E$13)</f>
        <v>28.779599999999999</v>
      </c>
      <c r="J869" s="64">
        <f>16.7771 * CHOOSE(CONTROL!$C$22, $C$13, 100%, $E$13)</f>
        <v>16.777100000000001</v>
      </c>
      <c r="K869" s="64">
        <f>16.7772 * CHOOSE(CONTROL!$C$22, $C$13, 100%, $E$13)</f>
        <v>16.777200000000001</v>
      </c>
    </row>
    <row r="870" spans="1:11" ht="15">
      <c r="A870" s="13">
        <v>67969</v>
      </c>
      <c r="B870" s="63">
        <f>14.7824 * CHOOSE(CONTROL!$C$22, $C$13, 100%, $E$13)</f>
        <v>14.782400000000001</v>
      </c>
      <c r="C870" s="63">
        <f>14.7824 * CHOOSE(CONTROL!$C$22, $C$13, 100%, $E$13)</f>
        <v>14.782400000000001</v>
      </c>
      <c r="D870" s="63">
        <f>14.7824 * CHOOSE(CONTROL!$C$22, $C$13, 100%, $E$13)</f>
        <v>14.782400000000001</v>
      </c>
      <c r="E870" s="64">
        <f>16.4756 * CHOOSE(CONTROL!$C$22, $C$13, 100%, $E$13)</f>
        <v>16.4756</v>
      </c>
      <c r="F870" s="64">
        <f>16.4756 * CHOOSE(CONTROL!$C$22, $C$13, 100%, $E$13)</f>
        <v>16.4756</v>
      </c>
      <c r="G870" s="64">
        <f>16.4757 * CHOOSE(CONTROL!$C$22, $C$13, 100%, $E$13)</f>
        <v>16.4757</v>
      </c>
      <c r="H870" s="64">
        <f>28.8394* CHOOSE(CONTROL!$C$22, $C$13, 100%, $E$13)</f>
        <v>28.839400000000001</v>
      </c>
      <c r="I870" s="64">
        <f>28.8395 * CHOOSE(CONTROL!$C$22, $C$13, 100%, $E$13)</f>
        <v>28.839500000000001</v>
      </c>
      <c r="J870" s="64">
        <f>16.4756 * CHOOSE(CONTROL!$C$22, $C$13, 100%, $E$13)</f>
        <v>16.4756</v>
      </c>
      <c r="K870" s="64">
        <f>16.4757 * CHOOSE(CONTROL!$C$22, $C$13, 100%, $E$13)</f>
        <v>16.4757</v>
      </c>
    </row>
    <row r="871" spans="1:11" ht="15">
      <c r="A871" s="13">
        <v>67997</v>
      </c>
      <c r="B871" s="63">
        <f>14.7794 * CHOOSE(CONTROL!$C$22, $C$13, 100%, $E$13)</f>
        <v>14.779400000000001</v>
      </c>
      <c r="C871" s="63">
        <f>14.7794 * CHOOSE(CONTROL!$C$22, $C$13, 100%, $E$13)</f>
        <v>14.779400000000001</v>
      </c>
      <c r="D871" s="63">
        <f>14.7794 * CHOOSE(CONTROL!$C$22, $C$13, 100%, $E$13)</f>
        <v>14.779400000000001</v>
      </c>
      <c r="E871" s="64">
        <f>16.7095 * CHOOSE(CONTROL!$C$22, $C$13, 100%, $E$13)</f>
        <v>16.709499999999998</v>
      </c>
      <c r="F871" s="64">
        <f>16.7095 * CHOOSE(CONTROL!$C$22, $C$13, 100%, $E$13)</f>
        <v>16.709499999999998</v>
      </c>
      <c r="G871" s="64">
        <f>16.7096 * CHOOSE(CONTROL!$C$22, $C$13, 100%, $E$13)</f>
        <v>16.709599999999998</v>
      </c>
      <c r="H871" s="64">
        <f>28.8995* CHOOSE(CONTROL!$C$22, $C$13, 100%, $E$13)</f>
        <v>28.8995</v>
      </c>
      <c r="I871" s="64">
        <f>28.8996 * CHOOSE(CONTROL!$C$22, $C$13, 100%, $E$13)</f>
        <v>28.8996</v>
      </c>
      <c r="J871" s="64">
        <f>16.7095 * CHOOSE(CONTROL!$C$22, $C$13, 100%, $E$13)</f>
        <v>16.709499999999998</v>
      </c>
      <c r="K871" s="64">
        <f>16.7096 * CHOOSE(CONTROL!$C$22, $C$13, 100%, $E$13)</f>
        <v>16.709599999999998</v>
      </c>
    </row>
    <row r="872" spans="1:11" ht="15">
      <c r="A872" s="13">
        <v>68028</v>
      </c>
      <c r="B872" s="63">
        <f>14.786 * CHOOSE(CONTROL!$C$22, $C$13, 100%, $E$13)</f>
        <v>14.786</v>
      </c>
      <c r="C872" s="63">
        <f>14.786 * CHOOSE(CONTROL!$C$22, $C$13, 100%, $E$13)</f>
        <v>14.786</v>
      </c>
      <c r="D872" s="63">
        <f>14.7861 * CHOOSE(CONTROL!$C$22, $C$13, 100%, $E$13)</f>
        <v>14.786099999999999</v>
      </c>
      <c r="E872" s="64">
        <f>16.9588 * CHOOSE(CONTROL!$C$22, $C$13, 100%, $E$13)</f>
        <v>16.9588</v>
      </c>
      <c r="F872" s="64">
        <f>16.9588 * CHOOSE(CONTROL!$C$22, $C$13, 100%, $E$13)</f>
        <v>16.9588</v>
      </c>
      <c r="G872" s="64">
        <f>16.9589 * CHOOSE(CONTROL!$C$22, $C$13, 100%, $E$13)</f>
        <v>16.9589</v>
      </c>
      <c r="H872" s="64">
        <f>28.9597* CHOOSE(CONTROL!$C$22, $C$13, 100%, $E$13)</f>
        <v>28.959700000000002</v>
      </c>
      <c r="I872" s="64">
        <f>28.9598 * CHOOSE(CONTROL!$C$22, $C$13, 100%, $E$13)</f>
        <v>28.959800000000001</v>
      </c>
      <c r="J872" s="64">
        <f>16.9588 * CHOOSE(CONTROL!$C$22, $C$13, 100%, $E$13)</f>
        <v>16.9588</v>
      </c>
      <c r="K872" s="64">
        <f>16.9589 * CHOOSE(CONTROL!$C$22, $C$13, 100%, $E$13)</f>
        <v>16.9589</v>
      </c>
    </row>
    <row r="873" spans="1:11" ht="15">
      <c r="A873" s="13">
        <v>68058</v>
      </c>
      <c r="B873" s="63">
        <f>14.786 * CHOOSE(CONTROL!$C$22, $C$13, 100%, $E$13)</f>
        <v>14.786</v>
      </c>
      <c r="C873" s="63">
        <f>14.786 * CHOOSE(CONTROL!$C$22, $C$13, 100%, $E$13)</f>
        <v>14.786</v>
      </c>
      <c r="D873" s="63">
        <f>14.7945 * CHOOSE(CONTROL!$C$22, $C$13, 100%, $E$13)</f>
        <v>14.794499999999999</v>
      </c>
      <c r="E873" s="64">
        <f>17.0538 * CHOOSE(CONTROL!$C$22, $C$13, 100%, $E$13)</f>
        <v>17.053799999999999</v>
      </c>
      <c r="F873" s="64">
        <f>17.0538 * CHOOSE(CONTROL!$C$22, $C$13, 100%, $E$13)</f>
        <v>17.053799999999999</v>
      </c>
      <c r="G873" s="64">
        <f>17.0641 * CHOOSE(CONTROL!$C$22, $C$13, 100%, $E$13)</f>
        <v>17.0641</v>
      </c>
      <c r="H873" s="64">
        <f>29.0201* CHOOSE(CONTROL!$C$22, $C$13, 100%, $E$13)</f>
        <v>29.020099999999999</v>
      </c>
      <c r="I873" s="64">
        <f>29.0303 * CHOOSE(CONTROL!$C$22, $C$13, 100%, $E$13)</f>
        <v>29.0303</v>
      </c>
      <c r="J873" s="64">
        <f>17.0538 * CHOOSE(CONTROL!$C$22, $C$13, 100%, $E$13)</f>
        <v>17.053799999999999</v>
      </c>
      <c r="K873" s="64">
        <f>17.0641 * CHOOSE(CONTROL!$C$22, $C$13, 100%, $E$13)</f>
        <v>17.0641</v>
      </c>
    </row>
    <row r="874" spans="1:11" ht="15">
      <c r="A874" s="13">
        <v>68089</v>
      </c>
      <c r="B874" s="63">
        <f>14.7921 * CHOOSE(CONTROL!$C$22, $C$13, 100%, $E$13)</f>
        <v>14.7921</v>
      </c>
      <c r="C874" s="63">
        <f>14.7921 * CHOOSE(CONTROL!$C$22, $C$13, 100%, $E$13)</f>
        <v>14.7921</v>
      </c>
      <c r="D874" s="63">
        <f>14.8006 * CHOOSE(CONTROL!$C$22, $C$13, 100%, $E$13)</f>
        <v>14.800599999999999</v>
      </c>
      <c r="E874" s="64">
        <f>16.963 * CHOOSE(CONTROL!$C$22, $C$13, 100%, $E$13)</f>
        <v>16.963000000000001</v>
      </c>
      <c r="F874" s="64">
        <f>16.963 * CHOOSE(CONTROL!$C$22, $C$13, 100%, $E$13)</f>
        <v>16.963000000000001</v>
      </c>
      <c r="G874" s="64">
        <f>16.9732 * CHOOSE(CONTROL!$C$22, $C$13, 100%, $E$13)</f>
        <v>16.973199999999999</v>
      </c>
      <c r="H874" s="64">
        <f>29.0805* CHOOSE(CONTROL!$C$22, $C$13, 100%, $E$13)</f>
        <v>29.080500000000001</v>
      </c>
      <c r="I874" s="64">
        <f>29.0907 * CHOOSE(CONTROL!$C$22, $C$13, 100%, $E$13)</f>
        <v>29.090699999999998</v>
      </c>
      <c r="J874" s="64">
        <f>16.963 * CHOOSE(CONTROL!$C$22, $C$13, 100%, $E$13)</f>
        <v>16.963000000000001</v>
      </c>
      <c r="K874" s="64">
        <f>16.9732 * CHOOSE(CONTROL!$C$22, $C$13, 100%, $E$13)</f>
        <v>16.973199999999999</v>
      </c>
    </row>
    <row r="875" spans="1:11" ht="15">
      <c r="A875" s="13">
        <v>68119</v>
      </c>
      <c r="B875" s="63">
        <f>15.016 * CHOOSE(CONTROL!$C$22, $C$13, 100%, $E$13)</f>
        <v>15.016</v>
      </c>
      <c r="C875" s="63">
        <f>15.016 * CHOOSE(CONTROL!$C$22, $C$13, 100%, $E$13)</f>
        <v>15.016</v>
      </c>
      <c r="D875" s="63">
        <f>15.0244 * CHOOSE(CONTROL!$C$22, $C$13, 100%, $E$13)</f>
        <v>15.0244</v>
      </c>
      <c r="E875" s="64">
        <f>17.2322 * CHOOSE(CONTROL!$C$22, $C$13, 100%, $E$13)</f>
        <v>17.232199999999999</v>
      </c>
      <c r="F875" s="64">
        <f>17.2322 * CHOOSE(CONTROL!$C$22, $C$13, 100%, $E$13)</f>
        <v>17.232199999999999</v>
      </c>
      <c r="G875" s="64">
        <f>17.2424 * CHOOSE(CONTROL!$C$22, $C$13, 100%, $E$13)</f>
        <v>17.2424</v>
      </c>
      <c r="H875" s="64">
        <f>29.1411* CHOOSE(CONTROL!$C$22, $C$13, 100%, $E$13)</f>
        <v>29.141100000000002</v>
      </c>
      <c r="I875" s="64">
        <f>29.1513 * CHOOSE(CONTROL!$C$22, $C$13, 100%, $E$13)</f>
        <v>29.151299999999999</v>
      </c>
      <c r="J875" s="64">
        <f>17.2322 * CHOOSE(CONTROL!$C$22, $C$13, 100%, $E$13)</f>
        <v>17.232199999999999</v>
      </c>
      <c r="K875" s="64">
        <f>17.2424 * CHOOSE(CONTROL!$C$22, $C$13, 100%, $E$13)</f>
        <v>17.2424</v>
      </c>
    </row>
    <row r="876" spans="1:11" ht="15">
      <c r="A876" s="13">
        <v>68150</v>
      </c>
      <c r="B876" s="63">
        <f>15.0226 * CHOOSE(CONTROL!$C$22, $C$13, 100%, $E$13)</f>
        <v>15.022600000000001</v>
      </c>
      <c r="C876" s="63">
        <f>15.0226 * CHOOSE(CONTROL!$C$22, $C$13, 100%, $E$13)</f>
        <v>15.022600000000001</v>
      </c>
      <c r="D876" s="63">
        <f>15.0311 * CHOOSE(CONTROL!$C$22, $C$13, 100%, $E$13)</f>
        <v>15.0311</v>
      </c>
      <c r="E876" s="64">
        <f>16.9517 * CHOOSE(CONTROL!$C$22, $C$13, 100%, $E$13)</f>
        <v>16.951699999999999</v>
      </c>
      <c r="F876" s="64">
        <f>16.9517 * CHOOSE(CONTROL!$C$22, $C$13, 100%, $E$13)</f>
        <v>16.951699999999999</v>
      </c>
      <c r="G876" s="64">
        <f>16.9619 * CHOOSE(CONTROL!$C$22, $C$13, 100%, $E$13)</f>
        <v>16.9619</v>
      </c>
      <c r="H876" s="64">
        <f>29.2018* CHOOSE(CONTROL!$C$22, $C$13, 100%, $E$13)</f>
        <v>29.201799999999999</v>
      </c>
      <c r="I876" s="64">
        <f>29.212 * CHOOSE(CONTROL!$C$22, $C$13, 100%, $E$13)</f>
        <v>29.212</v>
      </c>
      <c r="J876" s="64">
        <f>16.9517 * CHOOSE(CONTROL!$C$22, $C$13, 100%, $E$13)</f>
        <v>16.951699999999999</v>
      </c>
      <c r="K876" s="64">
        <f>16.9619 * CHOOSE(CONTROL!$C$22, $C$13, 100%, $E$13)</f>
        <v>16.9619</v>
      </c>
    </row>
    <row r="877" spans="1:11" ht="15">
      <c r="A877" s="13">
        <v>68181</v>
      </c>
      <c r="B877" s="63">
        <f>15.0196 * CHOOSE(CONTROL!$C$22, $C$13, 100%, $E$13)</f>
        <v>15.019600000000001</v>
      </c>
      <c r="C877" s="63">
        <f>15.0196 * CHOOSE(CONTROL!$C$22, $C$13, 100%, $E$13)</f>
        <v>15.019600000000001</v>
      </c>
      <c r="D877" s="63">
        <f>15.028 * CHOOSE(CONTROL!$C$22, $C$13, 100%, $E$13)</f>
        <v>15.028</v>
      </c>
      <c r="E877" s="64">
        <f>16.9179 * CHOOSE(CONTROL!$C$22, $C$13, 100%, $E$13)</f>
        <v>16.917899999999999</v>
      </c>
      <c r="F877" s="64">
        <f>16.9179 * CHOOSE(CONTROL!$C$22, $C$13, 100%, $E$13)</f>
        <v>16.917899999999999</v>
      </c>
      <c r="G877" s="64">
        <f>16.9281 * CHOOSE(CONTROL!$C$22, $C$13, 100%, $E$13)</f>
        <v>16.928100000000001</v>
      </c>
      <c r="H877" s="64">
        <f>29.2626* CHOOSE(CONTROL!$C$22, $C$13, 100%, $E$13)</f>
        <v>29.262599999999999</v>
      </c>
      <c r="I877" s="64">
        <f>29.2729 * CHOOSE(CONTROL!$C$22, $C$13, 100%, $E$13)</f>
        <v>29.2729</v>
      </c>
      <c r="J877" s="64">
        <f>16.9179 * CHOOSE(CONTROL!$C$22, $C$13, 100%, $E$13)</f>
        <v>16.917899999999999</v>
      </c>
      <c r="K877" s="64">
        <f>16.9281 * CHOOSE(CONTROL!$C$22, $C$13, 100%, $E$13)</f>
        <v>16.928100000000001</v>
      </c>
    </row>
    <row r="878" spans="1:11" ht="15">
      <c r="A878" s="13">
        <v>68211</v>
      </c>
      <c r="B878" s="63">
        <f>15.0501 * CHOOSE(CONTROL!$C$22, $C$13, 100%, $E$13)</f>
        <v>15.0501</v>
      </c>
      <c r="C878" s="63">
        <f>15.0501 * CHOOSE(CONTROL!$C$22, $C$13, 100%, $E$13)</f>
        <v>15.0501</v>
      </c>
      <c r="D878" s="63">
        <f>15.0501 * CHOOSE(CONTROL!$C$22, $C$13, 100%, $E$13)</f>
        <v>15.0501</v>
      </c>
      <c r="E878" s="64">
        <f>17.0312 * CHOOSE(CONTROL!$C$22, $C$13, 100%, $E$13)</f>
        <v>17.031199999999998</v>
      </c>
      <c r="F878" s="64">
        <f>17.0312 * CHOOSE(CONTROL!$C$22, $C$13, 100%, $E$13)</f>
        <v>17.031199999999998</v>
      </c>
      <c r="G878" s="64">
        <f>17.0313 * CHOOSE(CONTROL!$C$22, $C$13, 100%, $E$13)</f>
        <v>17.031300000000002</v>
      </c>
      <c r="H878" s="64">
        <f>29.3236* CHOOSE(CONTROL!$C$22, $C$13, 100%, $E$13)</f>
        <v>29.323599999999999</v>
      </c>
      <c r="I878" s="64">
        <f>29.3237 * CHOOSE(CONTROL!$C$22, $C$13, 100%, $E$13)</f>
        <v>29.323699999999999</v>
      </c>
      <c r="J878" s="64">
        <f>17.0312 * CHOOSE(CONTROL!$C$22, $C$13, 100%, $E$13)</f>
        <v>17.031199999999998</v>
      </c>
      <c r="K878" s="64">
        <f>17.0313 * CHOOSE(CONTROL!$C$22, $C$13, 100%, $E$13)</f>
        <v>17.031300000000002</v>
      </c>
    </row>
    <row r="879" spans="1:11" ht="15">
      <c r="A879" s="13">
        <v>68242</v>
      </c>
      <c r="B879" s="63">
        <f>15.0532 * CHOOSE(CONTROL!$C$22, $C$13, 100%, $E$13)</f>
        <v>15.0532</v>
      </c>
      <c r="C879" s="63">
        <f>15.0532 * CHOOSE(CONTROL!$C$22, $C$13, 100%, $E$13)</f>
        <v>15.0532</v>
      </c>
      <c r="D879" s="63">
        <f>15.0532 * CHOOSE(CONTROL!$C$22, $C$13, 100%, $E$13)</f>
        <v>15.0532</v>
      </c>
      <c r="E879" s="64">
        <f>17.0967 * CHOOSE(CONTROL!$C$22, $C$13, 100%, $E$13)</f>
        <v>17.096699999999998</v>
      </c>
      <c r="F879" s="64">
        <f>17.0967 * CHOOSE(CONTROL!$C$22, $C$13, 100%, $E$13)</f>
        <v>17.096699999999998</v>
      </c>
      <c r="G879" s="64">
        <f>17.0968 * CHOOSE(CONTROL!$C$22, $C$13, 100%, $E$13)</f>
        <v>17.096800000000002</v>
      </c>
      <c r="H879" s="64">
        <f>29.3847* CHOOSE(CONTROL!$C$22, $C$13, 100%, $E$13)</f>
        <v>29.384699999999999</v>
      </c>
      <c r="I879" s="64">
        <f>29.3848 * CHOOSE(CONTROL!$C$22, $C$13, 100%, $E$13)</f>
        <v>29.384799999999998</v>
      </c>
      <c r="J879" s="64">
        <f>17.0967 * CHOOSE(CONTROL!$C$22, $C$13, 100%, $E$13)</f>
        <v>17.096699999999998</v>
      </c>
      <c r="K879" s="64">
        <f>17.0968 * CHOOSE(CONTROL!$C$22, $C$13, 100%, $E$13)</f>
        <v>17.096800000000002</v>
      </c>
    </row>
    <row r="880" spans="1:11" ht="15">
      <c r="A880" s="13">
        <v>68272</v>
      </c>
      <c r="B880" s="63">
        <f>15.0532 * CHOOSE(CONTROL!$C$22, $C$13, 100%, $E$13)</f>
        <v>15.0532</v>
      </c>
      <c r="C880" s="63">
        <f>15.0532 * CHOOSE(CONTROL!$C$22, $C$13, 100%, $E$13)</f>
        <v>15.0532</v>
      </c>
      <c r="D880" s="63">
        <f>15.0532 * CHOOSE(CONTROL!$C$22, $C$13, 100%, $E$13)</f>
        <v>15.0532</v>
      </c>
      <c r="E880" s="64">
        <f>16.9383 * CHOOSE(CONTROL!$C$22, $C$13, 100%, $E$13)</f>
        <v>16.938300000000002</v>
      </c>
      <c r="F880" s="64">
        <f>16.9383 * CHOOSE(CONTROL!$C$22, $C$13, 100%, $E$13)</f>
        <v>16.938300000000002</v>
      </c>
      <c r="G880" s="64">
        <f>16.9384 * CHOOSE(CONTROL!$C$22, $C$13, 100%, $E$13)</f>
        <v>16.938400000000001</v>
      </c>
      <c r="H880" s="64">
        <f>29.4459* CHOOSE(CONTROL!$C$22, $C$13, 100%, $E$13)</f>
        <v>29.445900000000002</v>
      </c>
      <c r="I880" s="64">
        <f>29.446 * CHOOSE(CONTROL!$C$22, $C$13, 100%, $E$13)</f>
        <v>29.446000000000002</v>
      </c>
      <c r="J880" s="64">
        <f>16.9383 * CHOOSE(CONTROL!$C$22, $C$13, 100%, $E$13)</f>
        <v>16.938300000000002</v>
      </c>
      <c r="K880" s="64">
        <f>16.9384 * CHOOSE(CONTROL!$C$22, $C$13, 100%, $E$13)</f>
        <v>16.938400000000001</v>
      </c>
    </row>
    <row r="881" spans="1:11" ht="15">
      <c r="A881" s="13">
        <v>68303</v>
      </c>
      <c r="B881" s="63">
        <f>15.021 * CHOOSE(CONTROL!$C$22, $C$13, 100%, $E$13)</f>
        <v>15.021000000000001</v>
      </c>
      <c r="C881" s="63">
        <f>15.021 * CHOOSE(CONTROL!$C$22, $C$13, 100%, $E$13)</f>
        <v>15.021000000000001</v>
      </c>
      <c r="D881" s="63">
        <f>15.021 * CHOOSE(CONTROL!$C$22, $C$13, 100%, $E$13)</f>
        <v>15.021000000000001</v>
      </c>
      <c r="E881" s="64">
        <f>17.0319 * CHOOSE(CONTROL!$C$22, $C$13, 100%, $E$13)</f>
        <v>17.0319</v>
      </c>
      <c r="F881" s="64">
        <f>17.0319 * CHOOSE(CONTROL!$C$22, $C$13, 100%, $E$13)</f>
        <v>17.0319</v>
      </c>
      <c r="G881" s="64">
        <f>17.0319 * CHOOSE(CONTROL!$C$22, $C$13, 100%, $E$13)</f>
        <v>17.0319</v>
      </c>
      <c r="H881" s="64">
        <f>29.2254* CHOOSE(CONTROL!$C$22, $C$13, 100%, $E$13)</f>
        <v>29.2254</v>
      </c>
      <c r="I881" s="64">
        <f>29.2254 * CHOOSE(CONTROL!$C$22, $C$13, 100%, $E$13)</f>
        <v>29.2254</v>
      </c>
      <c r="J881" s="64">
        <f>17.0319 * CHOOSE(CONTROL!$C$22, $C$13, 100%, $E$13)</f>
        <v>17.0319</v>
      </c>
      <c r="K881" s="64">
        <f>17.0319 * CHOOSE(CONTROL!$C$22, $C$13, 100%, $E$13)</f>
        <v>17.0319</v>
      </c>
    </row>
    <row r="882" spans="1:11" ht="15">
      <c r="A882" s="13">
        <v>68334</v>
      </c>
      <c r="B882" s="63">
        <f>15.018 * CHOOSE(CONTROL!$C$22, $C$13, 100%, $E$13)</f>
        <v>15.018000000000001</v>
      </c>
      <c r="C882" s="63">
        <f>15.018 * CHOOSE(CONTROL!$C$22, $C$13, 100%, $E$13)</f>
        <v>15.018000000000001</v>
      </c>
      <c r="D882" s="63">
        <f>15.018 * CHOOSE(CONTROL!$C$22, $C$13, 100%, $E$13)</f>
        <v>15.018000000000001</v>
      </c>
      <c r="E882" s="64">
        <f>16.7254 * CHOOSE(CONTROL!$C$22, $C$13, 100%, $E$13)</f>
        <v>16.7254</v>
      </c>
      <c r="F882" s="64">
        <f>16.7254 * CHOOSE(CONTROL!$C$22, $C$13, 100%, $E$13)</f>
        <v>16.7254</v>
      </c>
      <c r="G882" s="64">
        <f>16.7255 * CHOOSE(CONTROL!$C$22, $C$13, 100%, $E$13)</f>
        <v>16.7255</v>
      </c>
      <c r="H882" s="64">
        <f>29.2863* CHOOSE(CONTROL!$C$22, $C$13, 100%, $E$13)</f>
        <v>29.286300000000001</v>
      </c>
      <c r="I882" s="64">
        <f>29.2863 * CHOOSE(CONTROL!$C$22, $C$13, 100%, $E$13)</f>
        <v>29.286300000000001</v>
      </c>
      <c r="J882" s="64">
        <f>16.7254 * CHOOSE(CONTROL!$C$22, $C$13, 100%, $E$13)</f>
        <v>16.7254</v>
      </c>
      <c r="K882" s="64">
        <f>16.7255 * CHOOSE(CONTROL!$C$22, $C$13, 100%, $E$13)</f>
        <v>16.7255</v>
      </c>
    </row>
    <row r="883" spans="1:11" ht="15">
      <c r="A883" s="13">
        <v>68362</v>
      </c>
      <c r="B883" s="63">
        <f>15.0149 * CHOOSE(CONTROL!$C$22, $C$13, 100%, $E$13)</f>
        <v>15.014900000000001</v>
      </c>
      <c r="C883" s="63">
        <f>15.0149 * CHOOSE(CONTROL!$C$22, $C$13, 100%, $E$13)</f>
        <v>15.014900000000001</v>
      </c>
      <c r="D883" s="63">
        <f>15.0149 * CHOOSE(CONTROL!$C$22, $C$13, 100%, $E$13)</f>
        <v>15.014900000000001</v>
      </c>
      <c r="E883" s="64">
        <f>16.9632 * CHOOSE(CONTROL!$C$22, $C$13, 100%, $E$13)</f>
        <v>16.963200000000001</v>
      </c>
      <c r="F883" s="64">
        <f>16.9632 * CHOOSE(CONTROL!$C$22, $C$13, 100%, $E$13)</f>
        <v>16.963200000000001</v>
      </c>
      <c r="G883" s="64">
        <f>16.9633 * CHOOSE(CONTROL!$C$22, $C$13, 100%, $E$13)</f>
        <v>16.9633</v>
      </c>
      <c r="H883" s="64">
        <f>29.3473* CHOOSE(CONTROL!$C$22, $C$13, 100%, $E$13)</f>
        <v>29.347300000000001</v>
      </c>
      <c r="I883" s="64">
        <f>29.3473 * CHOOSE(CONTROL!$C$22, $C$13, 100%, $E$13)</f>
        <v>29.347300000000001</v>
      </c>
      <c r="J883" s="64">
        <f>16.9632 * CHOOSE(CONTROL!$C$22, $C$13, 100%, $E$13)</f>
        <v>16.963200000000001</v>
      </c>
      <c r="K883" s="64">
        <f>16.9633 * CHOOSE(CONTROL!$C$22, $C$13, 100%, $E$13)</f>
        <v>16.9633</v>
      </c>
    </row>
    <row r="884" spans="1:11" ht="15">
      <c r="A884" s="13">
        <v>68393</v>
      </c>
      <c r="B884" s="63">
        <f>15.0218 * CHOOSE(CONTROL!$C$22, $C$13, 100%, $E$13)</f>
        <v>15.021800000000001</v>
      </c>
      <c r="C884" s="63">
        <f>15.0218 * CHOOSE(CONTROL!$C$22, $C$13, 100%, $E$13)</f>
        <v>15.021800000000001</v>
      </c>
      <c r="D884" s="63">
        <f>15.0218 * CHOOSE(CONTROL!$C$22, $C$13, 100%, $E$13)</f>
        <v>15.021800000000001</v>
      </c>
      <c r="E884" s="64">
        <f>17.2166 * CHOOSE(CONTROL!$C$22, $C$13, 100%, $E$13)</f>
        <v>17.2166</v>
      </c>
      <c r="F884" s="64">
        <f>17.2166 * CHOOSE(CONTROL!$C$22, $C$13, 100%, $E$13)</f>
        <v>17.2166</v>
      </c>
      <c r="G884" s="64">
        <f>17.2167 * CHOOSE(CONTROL!$C$22, $C$13, 100%, $E$13)</f>
        <v>17.216699999999999</v>
      </c>
      <c r="H884" s="64">
        <f>29.4084* CHOOSE(CONTROL!$C$22, $C$13, 100%, $E$13)</f>
        <v>29.4084</v>
      </c>
      <c r="I884" s="64">
        <f>29.4085 * CHOOSE(CONTROL!$C$22, $C$13, 100%, $E$13)</f>
        <v>29.4085</v>
      </c>
      <c r="J884" s="64">
        <f>17.2166 * CHOOSE(CONTROL!$C$22, $C$13, 100%, $E$13)</f>
        <v>17.2166</v>
      </c>
      <c r="K884" s="64">
        <f>17.2167 * CHOOSE(CONTROL!$C$22, $C$13, 100%, $E$13)</f>
        <v>17.216699999999999</v>
      </c>
    </row>
    <row r="885" spans="1:11" ht="15">
      <c r="A885" s="13">
        <v>68423</v>
      </c>
      <c r="B885" s="63">
        <f>15.0218 * CHOOSE(CONTROL!$C$22, $C$13, 100%, $E$13)</f>
        <v>15.021800000000001</v>
      </c>
      <c r="C885" s="63">
        <f>15.0218 * CHOOSE(CONTROL!$C$22, $C$13, 100%, $E$13)</f>
        <v>15.021800000000001</v>
      </c>
      <c r="D885" s="63">
        <f>15.0302 * CHOOSE(CONTROL!$C$22, $C$13, 100%, $E$13)</f>
        <v>15.030200000000001</v>
      </c>
      <c r="E885" s="64">
        <f>17.3133 * CHOOSE(CONTROL!$C$22, $C$13, 100%, $E$13)</f>
        <v>17.313300000000002</v>
      </c>
      <c r="F885" s="64">
        <f>17.3133 * CHOOSE(CONTROL!$C$22, $C$13, 100%, $E$13)</f>
        <v>17.313300000000002</v>
      </c>
      <c r="G885" s="64">
        <f>17.3235 * CHOOSE(CONTROL!$C$22, $C$13, 100%, $E$13)</f>
        <v>17.323499999999999</v>
      </c>
      <c r="H885" s="64">
        <f>29.4697* CHOOSE(CONTROL!$C$22, $C$13, 100%, $E$13)</f>
        <v>29.4697</v>
      </c>
      <c r="I885" s="64">
        <f>29.4799 * CHOOSE(CONTROL!$C$22, $C$13, 100%, $E$13)</f>
        <v>29.479900000000001</v>
      </c>
      <c r="J885" s="64">
        <f>17.3133 * CHOOSE(CONTROL!$C$22, $C$13, 100%, $E$13)</f>
        <v>17.313300000000002</v>
      </c>
      <c r="K885" s="64">
        <f>17.3235 * CHOOSE(CONTROL!$C$22, $C$13, 100%, $E$13)</f>
        <v>17.323499999999999</v>
      </c>
    </row>
    <row r="886" spans="1:11" ht="15">
      <c r="A886" s="13">
        <v>68454</v>
      </c>
      <c r="B886" s="63">
        <f>15.0279 * CHOOSE(CONTROL!$C$22, $C$13, 100%, $E$13)</f>
        <v>15.027900000000001</v>
      </c>
      <c r="C886" s="63">
        <f>15.0279 * CHOOSE(CONTROL!$C$22, $C$13, 100%, $E$13)</f>
        <v>15.027900000000001</v>
      </c>
      <c r="D886" s="63">
        <f>15.0363 * CHOOSE(CONTROL!$C$22, $C$13, 100%, $E$13)</f>
        <v>15.036300000000001</v>
      </c>
      <c r="E886" s="64">
        <f>17.2209 * CHOOSE(CONTROL!$C$22, $C$13, 100%, $E$13)</f>
        <v>17.2209</v>
      </c>
      <c r="F886" s="64">
        <f>17.2209 * CHOOSE(CONTROL!$C$22, $C$13, 100%, $E$13)</f>
        <v>17.2209</v>
      </c>
      <c r="G886" s="64">
        <f>17.2311 * CHOOSE(CONTROL!$C$22, $C$13, 100%, $E$13)</f>
        <v>17.231100000000001</v>
      </c>
      <c r="H886" s="64">
        <f>29.5311* CHOOSE(CONTROL!$C$22, $C$13, 100%, $E$13)</f>
        <v>29.531099999999999</v>
      </c>
      <c r="I886" s="64">
        <f>29.5413 * CHOOSE(CONTROL!$C$22, $C$13, 100%, $E$13)</f>
        <v>29.5413</v>
      </c>
      <c r="J886" s="64">
        <f>17.2209 * CHOOSE(CONTROL!$C$22, $C$13, 100%, $E$13)</f>
        <v>17.2209</v>
      </c>
      <c r="K886" s="64">
        <f>17.2311 * CHOOSE(CONTROL!$C$22, $C$13, 100%, $E$13)</f>
        <v>17.231100000000001</v>
      </c>
    </row>
    <row r="887" spans="1:11" ht="15">
      <c r="A887" s="13">
        <v>68484</v>
      </c>
      <c r="B887" s="63">
        <f>15.2551 * CHOOSE(CONTROL!$C$22, $C$13, 100%, $E$13)</f>
        <v>15.255100000000001</v>
      </c>
      <c r="C887" s="63">
        <f>15.2551 * CHOOSE(CONTROL!$C$22, $C$13, 100%, $E$13)</f>
        <v>15.255100000000001</v>
      </c>
      <c r="D887" s="63">
        <f>15.2636 * CHOOSE(CONTROL!$C$22, $C$13, 100%, $E$13)</f>
        <v>15.2636</v>
      </c>
      <c r="E887" s="64">
        <f>17.494 * CHOOSE(CONTROL!$C$22, $C$13, 100%, $E$13)</f>
        <v>17.494</v>
      </c>
      <c r="F887" s="64">
        <f>17.494 * CHOOSE(CONTROL!$C$22, $C$13, 100%, $E$13)</f>
        <v>17.494</v>
      </c>
      <c r="G887" s="64">
        <f>17.5042 * CHOOSE(CONTROL!$C$22, $C$13, 100%, $E$13)</f>
        <v>17.504200000000001</v>
      </c>
      <c r="H887" s="64">
        <f>29.5926* CHOOSE(CONTROL!$C$22, $C$13, 100%, $E$13)</f>
        <v>29.592600000000001</v>
      </c>
      <c r="I887" s="64">
        <f>29.6028 * CHOOSE(CONTROL!$C$22, $C$13, 100%, $E$13)</f>
        <v>29.602799999999998</v>
      </c>
      <c r="J887" s="64">
        <f>17.494 * CHOOSE(CONTROL!$C$22, $C$13, 100%, $E$13)</f>
        <v>17.494</v>
      </c>
      <c r="K887" s="64">
        <f>17.5042 * CHOOSE(CONTROL!$C$22, $C$13, 100%, $E$13)</f>
        <v>17.504200000000001</v>
      </c>
    </row>
    <row r="888" spans="1:11" ht="15">
      <c r="A888" s="13">
        <v>68515</v>
      </c>
      <c r="B888" s="63">
        <f>15.2618 * CHOOSE(CONTROL!$C$22, $C$13, 100%, $E$13)</f>
        <v>15.261799999999999</v>
      </c>
      <c r="C888" s="63">
        <f>15.2618 * CHOOSE(CONTROL!$C$22, $C$13, 100%, $E$13)</f>
        <v>15.261799999999999</v>
      </c>
      <c r="D888" s="63">
        <f>15.2703 * CHOOSE(CONTROL!$C$22, $C$13, 100%, $E$13)</f>
        <v>15.270300000000001</v>
      </c>
      <c r="E888" s="64">
        <f>17.2088 * CHOOSE(CONTROL!$C$22, $C$13, 100%, $E$13)</f>
        <v>17.2088</v>
      </c>
      <c r="F888" s="64">
        <f>17.2088 * CHOOSE(CONTROL!$C$22, $C$13, 100%, $E$13)</f>
        <v>17.2088</v>
      </c>
      <c r="G888" s="64">
        <f>17.219 * CHOOSE(CONTROL!$C$22, $C$13, 100%, $E$13)</f>
        <v>17.219000000000001</v>
      </c>
      <c r="H888" s="64">
        <f>29.6542* CHOOSE(CONTROL!$C$22, $C$13, 100%, $E$13)</f>
        <v>29.654199999999999</v>
      </c>
      <c r="I888" s="64">
        <f>29.6645 * CHOOSE(CONTROL!$C$22, $C$13, 100%, $E$13)</f>
        <v>29.6645</v>
      </c>
      <c r="J888" s="64">
        <f>17.2088 * CHOOSE(CONTROL!$C$22, $C$13, 100%, $E$13)</f>
        <v>17.2088</v>
      </c>
      <c r="K888" s="64">
        <f>17.219 * CHOOSE(CONTROL!$C$22, $C$13, 100%, $E$13)</f>
        <v>17.219000000000001</v>
      </c>
    </row>
    <row r="889" spans="1:11" ht="15">
      <c r="A889" s="13">
        <v>68546</v>
      </c>
      <c r="B889" s="63">
        <f>15.2588 * CHOOSE(CONTROL!$C$22, $C$13, 100%, $E$13)</f>
        <v>15.258800000000001</v>
      </c>
      <c r="C889" s="63">
        <f>15.2588 * CHOOSE(CONTROL!$C$22, $C$13, 100%, $E$13)</f>
        <v>15.258800000000001</v>
      </c>
      <c r="D889" s="63">
        <f>15.2672 * CHOOSE(CONTROL!$C$22, $C$13, 100%, $E$13)</f>
        <v>15.267200000000001</v>
      </c>
      <c r="E889" s="64">
        <f>17.1744 * CHOOSE(CONTROL!$C$22, $C$13, 100%, $E$13)</f>
        <v>17.174399999999999</v>
      </c>
      <c r="F889" s="64">
        <f>17.1744 * CHOOSE(CONTROL!$C$22, $C$13, 100%, $E$13)</f>
        <v>17.174399999999999</v>
      </c>
      <c r="G889" s="64">
        <f>17.1847 * CHOOSE(CONTROL!$C$22, $C$13, 100%, $E$13)</f>
        <v>17.184699999999999</v>
      </c>
      <c r="H889" s="64">
        <f>29.716* CHOOSE(CONTROL!$C$22, $C$13, 100%, $E$13)</f>
        <v>29.716000000000001</v>
      </c>
      <c r="I889" s="64">
        <f>29.7262 * CHOOSE(CONTROL!$C$22, $C$13, 100%, $E$13)</f>
        <v>29.726199999999999</v>
      </c>
      <c r="J889" s="64">
        <f>17.1744 * CHOOSE(CONTROL!$C$22, $C$13, 100%, $E$13)</f>
        <v>17.174399999999999</v>
      </c>
      <c r="K889" s="64">
        <f>17.1847 * CHOOSE(CONTROL!$C$22, $C$13, 100%, $E$13)</f>
        <v>17.184699999999999</v>
      </c>
    </row>
    <row r="890" spans="1:11" ht="15">
      <c r="A890" s="13">
        <v>68576</v>
      </c>
      <c r="B890" s="63">
        <f>15.2901 * CHOOSE(CONTROL!$C$22, $C$13, 100%, $E$13)</f>
        <v>15.290100000000001</v>
      </c>
      <c r="C890" s="63">
        <f>15.2901 * CHOOSE(CONTROL!$C$22, $C$13, 100%, $E$13)</f>
        <v>15.290100000000001</v>
      </c>
      <c r="D890" s="63">
        <f>15.2901 * CHOOSE(CONTROL!$C$22, $C$13, 100%, $E$13)</f>
        <v>15.290100000000001</v>
      </c>
      <c r="E890" s="64">
        <f>17.2899 * CHOOSE(CONTROL!$C$22, $C$13, 100%, $E$13)</f>
        <v>17.289899999999999</v>
      </c>
      <c r="F890" s="64">
        <f>17.2899 * CHOOSE(CONTROL!$C$22, $C$13, 100%, $E$13)</f>
        <v>17.289899999999999</v>
      </c>
      <c r="G890" s="64">
        <f>17.2899 * CHOOSE(CONTROL!$C$22, $C$13, 100%, $E$13)</f>
        <v>17.289899999999999</v>
      </c>
      <c r="H890" s="64">
        <f>29.7779* CHOOSE(CONTROL!$C$22, $C$13, 100%, $E$13)</f>
        <v>29.777899999999999</v>
      </c>
      <c r="I890" s="64">
        <f>29.778 * CHOOSE(CONTROL!$C$22, $C$13, 100%, $E$13)</f>
        <v>29.777999999999999</v>
      </c>
      <c r="J890" s="64">
        <f>17.2899 * CHOOSE(CONTROL!$C$22, $C$13, 100%, $E$13)</f>
        <v>17.289899999999999</v>
      </c>
      <c r="K890" s="64">
        <f>17.2899 * CHOOSE(CONTROL!$C$22, $C$13, 100%, $E$13)</f>
        <v>17.289899999999999</v>
      </c>
    </row>
    <row r="891" spans="1:11" ht="15">
      <c r="A891" s="13">
        <v>68607</v>
      </c>
      <c r="B891" s="63">
        <f>15.2931 * CHOOSE(CONTROL!$C$22, $C$13, 100%, $E$13)</f>
        <v>15.293100000000001</v>
      </c>
      <c r="C891" s="63">
        <f>15.2931 * CHOOSE(CONTROL!$C$22, $C$13, 100%, $E$13)</f>
        <v>15.293100000000001</v>
      </c>
      <c r="D891" s="63">
        <f>15.2931 * CHOOSE(CONTROL!$C$22, $C$13, 100%, $E$13)</f>
        <v>15.293100000000001</v>
      </c>
      <c r="E891" s="64">
        <f>17.3564 * CHOOSE(CONTROL!$C$22, $C$13, 100%, $E$13)</f>
        <v>17.356400000000001</v>
      </c>
      <c r="F891" s="64">
        <f>17.3564 * CHOOSE(CONTROL!$C$22, $C$13, 100%, $E$13)</f>
        <v>17.356400000000001</v>
      </c>
      <c r="G891" s="64">
        <f>17.3565 * CHOOSE(CONTROL!$C$22, $C$13, 100%, $E$13)</f>
        <v>17.3565</v>
      </c>
      <c r="H891" s="64">
        <f>29.84* CHOOSE(CONTROL!$C$22, $C$13, 100%, $E$13)</f>
        <v>29.84</v>
      </c>
      <c r="I891" s="64">
        <f>29.8401 * CHOOSE(CONTROL!$C$22, $C$13, 100%, $E$13)</f>
        <v>29.8401</v>
      </c>
      <c r="J891" s="64">
        <f>17.3564 * CHOOSE(CONTROL!$C$22, $C$13, 100%, $E$13)</f>
        <v>17.356400000000001</v>
      </c>
      <c r="K891" s="64">
        <f>17.3565 * CHOOSE(CONTROL!$C$22, $C$13, 100%, $E$13)</f>
        <v>17.3565</v>
      </c>
    </row>
    <row r="892" spans="1:11" ht="15">
      <c r="A892" s="13">
        <v>68637</v>
      </c>
      <c r="B892" s="63">
        <f>15.2931 * CHOOSE(CONTROL!$C$22, $C$13, 100%, $E$13)</f>
        <v>15.293100000000001</v>
      </c>
      <c r="C892" s="63">
        <f>15.2931 * CHOOSE(CONTROL!$C$22, $C$13, 100%, $E$13)</f>
        <v>15.293100000000001</v>
      </c>
      <c r="D892" s="63">
        <f>15.2931 * CHOOSE(CONTROL!$C$22, $C$13, 100%, $E$13)</f>
        <v>15.293100000000001</v>
      </c>
      <c r="E892" s="64">
        <f>17.1953 * CHOOSE(CONTROL!$C$22, $C$13, 100%, $E$13)</f>
        <v>17.1953</v>
      </c>
      <c r="F892" s="64">
        <f>17.1953 * CHOOSE(CONTROL!$C$22, $C$13, 100%, $E$13)</f>
        <v>17.1953</v>
      </c>
      <c r="G892" s="64">
        <f>17.1954 * CHOOSE(CONTROL!$C$22, $C$13, 100%, $E$13)</f>
        <v>17.195399999999999</v>
      </c>
      <c r="H892" s="64">
        <f>29.9021* CHOOSE(CONTROL!$C$22, $C$13, 100%, $E$13)</f>
        <v>29.902100000000001</v>
      </c>
      <c r="I892" s="64">
        <f>29.9022 * CHOOSE(CONTROL!$C$22, $C$13, 100%, $E$13)</f>
        <v>29.902200000000001</v>
      </c>
      <c r="J892" s="64">
        <f>17.1953 * CHOOSE(CONTROL!$C$22, $C$13, 100%, $E$13)</f>
        <v>17.1953</v>
      </c>
      <c r="K892" s="64">
        <f>17.1954 * CHOOSE(CONTROL!$C$22, $C$13, 100%, $E$13)</f>
        <v>17.195399999999999</v>
      </c>
    </row>
    <row r="893" spans="1:11" ht="15">
      <c r="A893" s="13">
        <v>68668</v>
      </c>
      <c r="B893" s="63">
        <f>15.2566 * CHOOSE(CONTROL!$C$22, $C$13, 100%, $E$13)</f>
        <v>15.256600000000001</v>
      </c>
      <c r="C893" s="63">
        <f>15.2566 * CHOOSE(CONTROL!$C$22, $C$13, 100%, $E$13)</f>
        <v>15.256600000000001</v>
      </c>
      <c r="D893" s="63">
        <f>15.2566 * CHOOSE(CONTROL!$C$22, $C$13, 100%, $E$13)</f>
        <v>15.256600000000001</v>
      </c>
      <c r="E893" s="64">
        <f>17.2866 * CHOOSE(CONTROL!$C$22, $C$13, 100%, $E$13)</f>
        <v>17.2866</v>
      </c>
      <c r="F893" s="64">
        <f>17.2866 * CHOOSE(CONTROL!$C$22, $C$13, 100%, $E$13)</f>
        <v>17.2866</v>
      </c>
      <c r="G893" s="64">
        <f>17.2867 * CHOOSE(CONTROL!$C$22, $C$13, 100%, $E$13)</f>
        <v>17.2867</v>
      </c>
      <c r="H893" s="64">
        <f>29.6713* CHOOSE(CONTROL!$C$22, $C$13, 100%, $E$13)</f>
        <v>29.671299999999999</v>
      </c>
      <c r="I893" s="64">
        <f>29.6713 * CHOOSE(CONTROL!$C$22, $C$13, 100%, $E$13)</f>
        <v>29.671299999999999</v>
      </c>
      <c r="J893" s="64">
        <f>17.2866 * CHOOSE(CONTROL!$C$22, $C$13, 100%, $E$13)</f>
        <v>17.2866</v>
      </c>
      <c r="K893" s="64">
        <f>17.2867 * CHOOSE(CONTROL!$C$22, $C$13, 100%, $E$13)</f>
        <v>17.2867</v>
      </c>
    </row>
    <row r="894" spans="1:11" ht="15">
      <c r="A894" s="13">
        <v>68699</v>
      </c>
      <c r="B894" s="63">
        <f>15.2536 * CHOOSE(CONTROL!$C$22, $C$13, 100%, $E$13)</f>
        <v>15.2536</v>
      </c>
      <c r="C894" s="63">
        <f>15.2536 * CHOOSE(CONTROL!$C$22, $C$13, 100%, $E$13)</f>
        <v>15.2536</v>
      </c>
      <c r="D894" s="63">
        <f>15.2536 * CHOOSE(CONTROL!$C$22, $C$13, 100%, $E$13)</f>
        <v>15.2536</v>
      </c>
      <c r="E894" s="64">
        <f>16.9752 * CHOOSE(CONTROL!$C$22, $C$13, 100%, $E$13)</f>
        <v>16.975200000000001</v>
      </c>
      <c r="F894" s="64">
        <f>16.9752 * CHOOSE(CONTROL!$C$22, $C$13, 100%, $E$13)</f>
        <v>16.975200000000001</v>
      </c>
      <c r="G894" s="64">
        <f>16.9753 * CHOOSE(CONTROL!$C$22, $C$13, 100%, $E$13)</f>
        <v>16.975300000000001</v>
      </c>
      <c r="H894" s="64">
        <f>29.7331* CHOOSE(CONTROL!$C$22, $C$13, 100%, $E$13)</f>
        <v>29.7331</v>
      </c>
      <c r="I894" s="64">
        <f>29.7332 * CHOOSE(CONTROL!$C$22, $C$13, 100%, $E$13)</f>
        <v>29.7332</v>
      </c>
      <c r="J894" s="64">
        <f>16.9752 * CHOOSE(CONTROL!$C$22, $C$13, 100%, $E$13)</f>
        <v>16.975200000000001</v>
      </c>
      <c r="K894" s="64">
        <f>16.9753 * CHOOSE(CONTROL!$C$22, $C$13, 100%, $E$13)</f>
        <v>16.975300000000001</v>
      </c>
    </row>
    <row r="895" spans="1:11" ht="15">
      <c r="A895" s="13">
        <v>68728</v>
      </c>
      <c r="B895" s="63">
        <f>15.2505 * CHOOSE(CONTROL!$C$22, $C$13, 100%, $E$13)</f>
        <v>15.250500000000001</v>
      </c>
      <c r="C895" s="63">
        <f>15.2505 * CHOOSE(CONTROL!$C$22, $C$13, 100%, $E$13)</f>
        <v>15.250500000000001</v>
      </c>
      <c r="D895" s="63">
        <f>15.2505 * CHOOSE(CONTROL!$C$22, $C$13, 100%, $E$13)</f>
        <v>15.250500000000001</v>
      </c>
      <c r="E895" s="64">
        <f>17.2169 * CHOOSE(CONTROL!$C$22, $C$13, 100%, $E$13)</f>
        <v>17.216899999999999</v>
      </c>
      <c r="F895" s="64">
        <f>17.2169 * CHOOSE(CONTROL!$C$22, $C$13, 100%, $E$13)</f>
        <v>17.216899999999999</v>
      </c>
      <c r="G895" s="64">
        <f>17.217 * CHOOSE(CONTROL!$C$22, $C$13, 100%, $E$13)</f>
        <v>17.216999999999999</v>
      </c>
      <c r="H895" s="64">
        <f>29.795* CHOOSE(CONTROL!$C$22, $C$13, 100%, $E$13)</f>
        <v>29.795000000000002</v>
      </c>
      <c r="I895" s="64">
        <f>29.7951 * CHOOSE(CONTROL!$C$22, $C$13, 100%, $E$13)</f>
        <v>29.795100000000001</v>
      </c>
      <c r="J895" s="64">
        <f>17.2169 * CHOOSE(CONTROL!$C$22, $C$13, 100%, $E$13)</f>
        <v>17.216899999999999</v>
      </c>
      <c r="K895" s="64">
        <f>17.217 * CHOOSE(CONTROL!$C$22, $C$13, 100%, $E$13)</f>
        <v>17.216999999999999</v>
      </c>
    </row>
    <row r="896" spans="1:11" ht="15">
      <c r="A896" s="13">
        <v>68759</v>
      </c>
      <c r="B896" s="63">
        <f>15.2576 * CHOOSE(CONTROL!$C$22, $C$13, 100%, $E$13)</f>
        <v>15.2576</v>
      </c>
      <c r="C896" s="63">
        <f>15.2576 * CHOOSE(CONTROL!$C$22, $C$13, 100%, $E$13)</f>
        <v>15.2576</v>
      </c>
      <c r="D896" s="63">
        <f>15.2576 * CHOOSE(CONTROL!$C$22, $C$13, 100%, $E$13)</f>
        <v>15.2576</v>
      </c>
      <c r="E896" s="64">
        <f>17.4745 * CHOOSE(CONTROL!$C$22, $C$13, 100%, $E$13)</f>
        <v>17.474499999999999</v>
      </c>
      <c r="F896" s="64">
        <f>17.4745 * CHOOSE(CONTROL!$C$22, $C$13, 100%, $E$13)</f>
        <v>17.474499999999999</v>
      </c>
      <c r="G896" s="64">
        <f>17.4746 * CHOOSE(CONTROL!$C$22, $C$13, 100%, $E$13)</f>
        <v>17.474599999999999</v>
      </c>
      <c r="H896" s="64">
        <f>29.8571* CHOOSE(CONTROL!$C$22, $C$13, 100%, $E$13)</f>
        <v>29.857099999999999</v>
      </c>
      <c r="I896" s="64">
        <f>29.8572 * CHOOSE(CONTROL!$C$22, $C$13, 100%, $E$13)</f>
        <v>29.857199999999999</v>
      </c>
      <c r="J896" s="64">
        <f>17.4745 * CHOOSE(CONTROL!$C$22, $C$13, 100%, $E$13)</f>
        <v>17.474499999999999</v>
      </c>
      <c r="K896" s="64">
        <f>17.4746 * CHOOSE(CONTROL!$C$22, $C$13, 100%, $E$13)</f>
        <v>17.474599999999999</v>
      </c>
    </row>
    <row r="897" spans="1:11" ht="15">
      <c r="A897" s="13">
        <v>68789</v>
      </c>
      <c r="B897" s="63">
        <f>15.2576 * CHOOSE(CONTROL!$C$22, $C$13, 100%, $E$13)</f>
        <v>15.2576</v>
      </c>
      <c r="C897" s="63">
        <f>15.2576 * CHOOSE(CONTROL!$C$22, $C$13, 100%, $E$13)</f>
        <v>15.2576</v>
      </c>
      <c r="D897" s="63">
        <f>15.266 * CHOOSE(CONTROL!$C$22, $C$13, 100%, $E$13)</f>
        <v>15.266</v>
      </c>
      <c r="E897" s="64">
        <f>17.5727 * CHOOSE(CONTROL!$C$22, $C$13, 100%, $E$13)</f>
        <v>17.572700000000001</v>
      </c>
      <c r="F897" s="64">
        <f>17.5727 * CHOOSE(CONTROL!$C$22, $C$13, 100%, $E$13)</f>
        <v>17.572700000000001</v>
      </c>
      <c r="G897" s="64">
        <f>17.5829 * CHOOSE(CONTROL!$C$22, $C$13, 100%, $E$13)</f>
        <v>17.582899999999999</v>
      </c>
      <c r="H897" s="64">
        <f>29.9193* CHOOSE(CONTROL!$C$22, $C$13, 100%, $E$13)</f>
        <v>29.9193</v>
      </c>
      <c r="I897" s="64">
        <f>29.9295 * CHOOSE(CONTROL!$C$22, $C$13, 100%, $E$13)</f>
        <v>29.929500000000001</v>
      </c>
      <c r="J897" s="64">
        <f>17.5727 * CHOOSE(CONTROL!$C$22, $C$13, 100%, $E$13)</f>
        <v>17.572700000000001</v>
      </c>
      <c r="K897" s="64">
        <f>17.5829 * CHOOSE(CONTROL!$C$22, $C$13, 100%, $E$13)</f>
        <v>17.582899999999999</v>
      </c>
    </row>
    <row r="898" spans="1:11" ht="15">
      <c r="A898" s="13">
        <v>68820</v>
      </c>
      <c r="B898" s="63">
        <f>15.2637 * CHOOSE(CONTROL!$C$22, $C$13, 100%, $E$13)</f>
        <v>15.2637</v>
      </c>
      <c r="C898" s="63">
        <f>15.2637 * CHOOSE(CONTROL!$C$22, $C$13, 100%, $E$13)</f>
        <v>15.2637</v>
      </c>
      <c r="D898" s="63">
        <f>15.2721 * CHOOSE(CONTROL!$C$22, $C$13, 100%, $E$13)</f>
        <v>15.2721</v>
      </c>
      <c r="E898" s="64">
        <f>17.4787 * CHOOSE(CONTROL!$C$22, $C$13, 100%, $E$13)</f>
        <v>17.4787</v>
      </c>
      <c r="F898" s="64">
        <f>17.4787 * CHOOSE(CONTROL!$C$22, $C$13, 100%, $E$13)</f>
        <v>17.4787</v>
      </c>
      <c r="G898" s="64">
        <f>17.489 * CHOOSE(CONTROL!$C$22, $C$13, 100%, $E$13)</f>
        <v>17.489000000000001</v>
      </c>
      <c r="H898" s="64">
        <f>29.9816* CHOOSE(CONTROL!$C$22, $C$13, 100%, $E$13)</f>
        <v>29.9816</v>
      </c>
      <c r="I898" s="64">
        <f>29.9918 * CHOOSE(CONTROL!$C$22, $C$13, 100%, $E$13)</f>
        <v>29.991800000000001</v>
      </c>
      <c r="J898" s="64">
        <f>17.4787 * CHOOSE(CONTROL!$C$22, $C$13, 100%, $E$13)</f>
        <v>17.4787</v>
      </c>
      <c r="K898" s="64">
        <f>17.489 * CHOOSE(CONTROL!$C$22, $C$13, 100%, $E$13)</f>
        <v>17.489000000000001</v>
      </c>
    </row>
    <row r="899" spans="1:11" ht="15">
      <c r="A899" s="13">
        <v>68850</v>
      </c>
      <c r="B899" s="63">
        <f>15.4943 * CHOOSE(CONTROL!$C$22, $C$13, 100%, $E$13)</f>
        <v>15.494300000000001</v>
      </c>
      <c r="C899" s="63">
        <f>15.4943 * CHOOSE(CONTROL!$C$22, $C$13, 100%, $E$13)</f>
        <v>15.494300000000001</v>
      </c>
      <c r="D899" s="63">
        <f>15.5028 * CHOOSE(CONTROL!$C$22, $C$13, 100%, $E$13)</f>
        <v>15.502800000000001</v>
      </c>
      <c r="E899" s="64">
        <f>17.7558 * CHOOSE(CONTROL!$C$22, $C$13, 100%, $E$13)</f>
        <v>17.755800000000001</v>
      </c>
      <c r="F899" s="64">
        <f>17.7558 * CHOOSE(CONTROL!$C$22, $C$13, 100%, $E$13)</f>
        <v>17.755800000000001</v>
      </c>
      <c r="G899" s="64">
        <f>17.766 * CHOOSE(CONTROL!$C$22, $C$13, 100%, $E$13)</f>
        <v>17.765999999999998</v>
      </c>
      <c r="H899" s="64">
        <f>30.0441* CHOOSE(CONTROL!$C$22, $C$13, 100%, $E$13)</f>
        <v>30.0441</v>
      </c>
      <c r="I899" s="64">
        <f>30.0543 * CHOOSE(CONTROL!$C$22, $C$13, 100%, $E$13)</f>
        <v>30.054300000000001</v>
      </c>
      <c r="J899" s="64">
        <f>17.7558 * CHOOSE(CONTROL!$C$22, $C$13, 100%, $E$13)</f>
        <v>17.755800000000001</v>
      </c>
      <c r="K899" s="64">
        <f>17.766 * CHOOSE(CONTROL!$C$22, $C$13, 100%, $E$13)</f>
        <v>17.765999999999998</v>
      </c>
    </row>
    <row r="900" spans="1:11" ht="15">
      <c r="A900" s="13">
        <v>68881</v>
      </c>
      <c r="B900" s="63">
        <f>15.501 * CHOOSE(CONTROL!$C$22, $C$13, 100%, $E$13)</f>
        <v>15.500999999999999</v>
      </c>
      <c r="C900" s="63">
        <f>15.501 * CHOOSE(CONTROL!$C$22, $C$13, 100%, $E$13)</f>
        <v>15.500999999999999</v>
      </c>
      <c r="D900" s="63">
        <f>15.5094 * CHOOSE(CONTROL!$C$22, $C$13, 100%, $E$13)</f>
        <v>15.509399999999999</v>
      </c>
      <c r="E900" s="64">
        <f>17.4658 * CHOOSE(CONTROL!$C$22, $C$13, 100%, $E$13)</f>
        <v>17.465800000000002</v>
      </c>
      <c r="F900" s="64">
        <f>17.4658 * CHOOSE(CONTROL!$C$22, $C$13, 100%, $E$13)</f>
        <v>17.465800000000002</v>
      </c>
      <c r="G900" s="64">
        <f>17.476 * CHOOSE(CONTROL!$C$22, $C$13, 100%, $E$13)</f>
        <v>17.475999999999999</v>
      </c>
      <c r="H900" s="64">
        <f>30.1067* CHOOSE(CONTROL!$C$22, $C$13, 100%, $E$13)</f>
        <v>30.1067</v>
      </c>
      <c r="I900" s="64">
        <f>30.1169 * CHOOSE(CONTROL!$C$22, $C$13, 100%, $E$13)</f>
        <v>30.116900000000001</v>
      </c>
      <c r="J900" s="64">
        <f>17.4658 * CHOOSE(CONTROL!$C$22, $C$13, 100%, $E$13)</f>
        <v>17.465800000000002</v>
      </c>
      <c r="K900" s="64">
        <f>17.476 * CHOOSE(CONTROL!$C$22, $C$13, 100%, $E$13)</f>
        <v>17.475999999999999</v>
      </c>
    </row>
    <row r="901" spans="1:11" ht="15">
      <c r="A901" s="13">
        <v>68912</v>
      </c>
      <c r="B901" s="63">
        <f>15.498 * CHOOSE(CONTROL!$C$22, $C$13, 100%, $E$13)</f>
        <v>15.497999999999999</v>
      </c>
      <c r="C901" s="63">
        <f>15.498 * CHOOSE(CONTROL!$C$22, $C$13, 100%, $E$13)</f>
        <v>15.497999999999999</v>
      </c>
      <c r="D901" s="63">
        <f>15.5064 * CHOOSE(CONTROL!$C$22, $C$13, 100%, $E$13)</f>
        <v>15.506399999999999</v>
      </c>
      <c r="E901" s="64">
        <f>17.431 * CHOOSE(CONTROL!$C$22, $C$13, 100%, $E$13)</f>
        <v>17.431000000000001</v>
      </c>
      <c r="F901" s="64">
        <f>17.431 * CHOOSE(CONTROL!$C$22, $C$13, 100%, $E$13)</f>
        <v>17.431000000000001</v>
      </c>
      <c r="G901" s="64">
        <f>17.4412 * CHOOSE(CONTROL!$C$22, $C$13, 100%, $E$13)</f>
        <v>17.441199999999998</v>
      </c>
      <c r="H901" s="64">
        <f>30.1694* CHOOSE(CONTROL!$C$22, $C$13, 100%, $E$13)</f>
        <v>30.1694</v>
      </c>
      <c r="I901" s="64">
        <f>30.1796 * CHOOSE(CONTROL!$C$22, $C$13, 100%, $E$13)</f>
        <v>30.179600000000001</v>
      </c>
      <c r="J901" s="64">
        <f>17.431 * CHOOSE(CONTROL!$C$22, $C$13, 100%, $E$13)</f>
        <v>17.431000000000001</v>
      </c>
      <c r="K901" s="64">
        <f>17.4412 * CHOOSE(CONTROL!$C$22, $C$13, 100%, $E$13)</f>
        <v>17.441199999999998</v>
      </c>
    </row>
    <row r="902" spans="1:11" ht="15">
      <c r="A902" s="13">
        <v>68942</v>
      </c>
      <c r="B902" s="63">
        <f>15.53 * CHOOSE(CONTROL!$C$22, $C$13, 100%, $E$13)</f>
        <v>15.53</v>
      </c>
      <c r="C902" s="63">
        <f>15.53 * CHOOSE(CONTROL!$C$22, $C$13, 100%, $E$13)</f>
        <v>15.53</v>
      </c>
      <c r="D902" s="63">
        <f>15.53 * CHOOSE(CONTROL!$C$22, $C$13, 100%, $E$13)</f>
        <v>15.53</v>
      </c>
      <c r="E902" s="64">
        <f>17.5485 * CHOOSE(CONTROL!$C$22, $C$13, 100%, $E$13)</f>
        <v>17.548500000000001</v>
      </c>
      <c r="F902" s="64">
        <f>17.5485 * CHOOSE(CONTROL!$C$22, $C$13, 100%, $E$13)</f>
        <v>17.548500000000001</v>
      </c>
      <c r="G902" s="64">
        <f>17.5486 * CHOOSE(CONTROL!$C$22, $C$13, 100%, $E$13)</f>
        <v>17.5486</v>
      </c>
      <c r="H902" s="64">
        <f>30.2323* CHOOSE(CONTROL!$C$22, $C$13, 100%, $E$13)</f>
        <v>30.232299999999999</v>
      </c>
      <c r="I902" s="64">
        <f>30.2323 * CHOOSE(CONTROL!$C$22, $C$13, 100%, $E$13)</f>
        <v>30.232299999999999</v>
      </c>
      <c r="J902" s="64">
        <f>17.5485 * CHOOSE(CONTROL!$C$22, $C$13, 100%, $E$13)</f>
        <v>17.548500000000001</v>
      </c>
      <c r="K902" s="64">
        <f>17.5486 * CHOOSE(CONTROL!$C$22, $C$13, 100%, $E$13)</f>
        <v>17.5486</v>
      </c>
    </row>
    <row r="903" spans="1:11" ht="15">
      <c r="A903" s="13">
        <v>68973</v>
      </c>
      <c r="B903" s="63">
        <f>15.533 * CHOOSE(CONTROL!$C$22, $C$13, 100%, $E$13)</f>
        <v>15.532999999999999</v>
      </c>
      <c r="C903" s="63">
        <f>15.533 * CHOOSE(CONTROL!$C$22, $C$13, 100%, $E$13)</f>
        <v>15.532999999999999</v>
      </c>
      <c r="D903" s="63">
        <f>15.533 * CHOOSE(CONTROL!$C$22, $C$13, 100%, $E$13)</f>
        <v>15.532999999999999</v>
      </c>
      <c r="E903" s="64">
        <f>17.6161 * CHOOSE(CONTROL!$C$22, $C$13, 100%, $E$13)</f>
        <v>17.616099999999999</v>
      </c>
      <c r="F903" s="64">
        <f>17.6161 * CHOOSE(CONTROL!$C$22, $C$13, 100%, $E$13)</f>
        <v>17.616099999999999</v>
      </c>
      <c r="G903" s="64">
        <f>17.6162 * CHOOSE(CONTROL!$C$22, $C$13, 100%, $E$13)</f>
        <v>17.616199999999999</v>
      </c>
      <c r="H903" s="64">
        <f>30.2952* CHOOSE(CONTROL!$C$22, $C$13, 100%, $E$13)</f>
        <v>30.295200000000001</v>
      </c>
      <c r="I903" s="64">
        <f>30.2953 * CHOOSE(CONTROL!$C$22, $C$13, 100%, $E$13)</f>
        <v>30.295300000000001</v>
      </c>
      <c r="J903" s="64">
        <f>17.6161 * CHOOSE(CONTROL!$C$22, $C$13, 100%, $E$13)</f>
        <v>17.616099999999999</v>
      </c>
      <c r="K903" s="64">
        <f>17.6162 * CHOOSE(CONTROL!$C$22, $C$13, 100%, $E$13)</f>
        <v>17.616199999999999</v>
      </c>
    </row>
    <row r="904" spans="1:11" ht="15">
      <c r="A904" s="13">
        <v>69003</v>
      </c>
      <c r="B904" s="63">
        <f>15.533 * CHOOSE(CONTROL!$C$22, $C$13, 100%, $E$13)</f>
        <v>15.532999999999999</v>
      </c>
      <c r="C904" s="63">
        <f>15.533 * CHOOSE(CONTROL!$C$22, $C$13, 100%, $E$13)</f>
        <v>15.532999999999999</v>
      </c>
      <c r="D904" s="63">
        <f>15.533 * CHOOSE(CONTROL!$C$22, $C$13, 100%, $E$13)</f>
        <v>15.532999999999999</v>
      </c>
      <c r="E904" s="64">
        <f>17.4524 * CHOOSE(CONTROL!$C$22, $C$13, 100%, $E$13)</f>
        <v>17.452400000000001</v>
      </c>
      <c r="F904" s="64">
        <f>17.4524 * CHOOSE(CONTROL!$C$22, $C$13, 100%, $E$13)</f>
        <v>17.452400000000001</v>
      </c>
      <c r="G904" s="64">
        <f>17.4525 * CHOOSE(CONTROL!$C$22, $C$13, 100%, $E$13)</f>
        <v>17.452500000000001</v>
      </c>
      <c r="H904" s="64">
        <f>30.3584* CHOOSE(CONTROL!$C$22, $C$13, 100%, $E$13)</f>
        <v>30.3584</v>
      </c>
      <c r="I904" s="64">
        <f>30.3584 * CHOOSE(CONTROL!$C$22, $C$13, 100%, $E$13)</f>
        <v>30.3584</v>
      </c>
      <c r="J904" s="64">
        <f>17.4524 * CHOOSE(CONTROL!$C$22, $C$13, 100%, $E$13)</f>
        <v>17.452400000000001</v>
      </c>
      <c r="K904" s="64">
        <f>17.4525 * CHOOSE(CONTROL!$C$22, $C$13, 100%, $E$13)</f>
        <v>17.452500000000001</v>
      </c>
    </row>
    <row r="905" spans="1:11" ht="15">
      <c r="A905" s="13">
        <v>69034</v>
      </c>
      <c r="B905" s="63">
        <f>15.4922 * CHOOSE(CONTROL!$C$22, $C$13, 100%, $E$13)</f>
        <v>15.4922</v>
      </c>
      <c r="C905" s="63">
        <f>15.4922 * CHOOSE(CONTROL!$C$22, $C$13, 100%, $E$13)</f>
        <v>15.4922</v>
      </c>
      <c r="D905" s="63">
        <f>15.4922 * CHOOSE(CONTROL!$C$22, $C$13, 100%, $E$13)</f>
        <v>15.4922</v>
      </c>
      <c r="E905" s="64">
        <f>17.5413 * CHOOSE(CONTROL!$C$22, $C$13, 100%, $E$13)</f>
        <v>17.5413</v>
      </c>
      <c r="F905" s="64">
        <f>17.5413 * CHOOSE(CONTROL!$C$22, $C$13, 100%, $E$13)</f>
        <v>17.5413</v>
      </c>
      <c r="G905" s="64">
        <f>17.5414 * CHOOSE(CONTROL!$C$22, $C$13, 100%, $E$13)</f>
        <v>17.541399999999999</v>
      </c>
      <c r="H905" s="64">
        <f>30.1172* CHOOSE(CONTROL!$C$22, $C$13, 100%, $E$13)</f>
        <v>30.1172</v>
      </c>
      <c r="I905" s="64">
        <f>30.1172 * CHOOSE(CONTROL!$C$22, $C$13, 100%, $E$13)</f>
        <v>30.1172</v>
      </c>
      <c r="J905" s="64">
        <f>17.5413 * CHOOSE(CONTROL!$C$22, $C$13, 100%, $E$13)</f>
        <v>17.5413</v>
      </c>
      <c r="K905" s="64">
        <f>17.5414 * CHOOSE(CONTROL!$C$22, $C$13, 100%, $E$13)</f>
        <v>17.541399999999999</v>
      </c>
    </row>
    <row r="906" spans="1:11" ht="15">
      <c r="A906" s="13">
        <v>69065</v>
      </c>
      <c r="B906" s="63">
        <f>15.4891 * CHOOSE(CONTROL!$C$22, $C$13, 100%, $E$13)</f>
        <v>15.489100000000001</v>
      </c>
      <c r="C906" s="63">
        <f>15.4891 * CHOOSE(CONTROL!$C$22, $C$13, 100%, $E$13)</f>
        <v>15.489100000000001</v>
      </c>
      <c r="D906" s="63">
        <f>15.4891 * CHOOSE(CONTROL!$C$22, $C$13, 100%, $E$13)</f>
        <v>15.489100000000001</v>
      </c>
      <c r="E906" s="64">
        <f>17.225 * CHOOSE(CONTROL!$C$22, $C$13, 100%, $E$13)</f>
        <v>17.225000000000001</v>
      </c>
      <c r="F906" s="64">
        <f>17.225 * CHOOSE(CONTROL!$C$22, $C$13, 100%, $E$13)</f>
        <v>17.225000000000001</v>
      </c>
      <c r="G906" s="64">
        <f>17.225 * CHOOSE(CONTROL!$C$22, $C$13, 100%, $E$13)</f>
        <v>17.225000000000001</v>
      </c>
      <c r="H906" s="64">
        <f>30.1799* CHOOSE(CONTROL!$C$22, $C$13, 100%, $E$13)</f>
        <v>30.1799</v>
      </c>
      <c r="I906" s="64">
        <f>30.18 * CHOOSE(CONTROL!$C$22, $C$13, 100%, $E$13)</f>
        <v>30.18</v>
      </c>
      <c r="J906" s="64">
        <f>17.225 * CHOOSE(CONTROL!$C$22, $C$13, 100%, $E$13)</f>
        <v>17.225000000000001</v>
      </c>
      <c r="K906" s="64">
        <f>17.225 * CHOOSE(CONTROL!$C$22, $C$13, 100%, $E$13)</f>
        <v>17.225000000000001</v>
      </c>
    </row>
    <row r="907" spans="1:11" ht="15">
      <c r="A907" s="13">
        <v>69093</v>
      </c>
      <c r="B907" s="63">
        <f>15.4861 * CHOOSE(CONTROL!$C$22, $C$13, 100%, $E$13)</f>
        <v>15.4861</v>
      </c>
      <c r="C907" s="63">
        <f>15.4861 * CHOOSE(CONTROL!$C$22, $C$13, 100%, $E$13)</f>
        <v>15.4861</v>
      </c>
      <c r="D907" s="63">
        <f>15.4861 * CHOOSE(CONTROL!$C$22, $C$13, 100%, $E$13)</f>
        <v>15.4861</v>
      </c>
      <c r="E907" s="64">
        <f>17.4706 * CHOOSE(CONTROL!$C$22, $C$13, 100%, $E$13)</f>
        <v>17.470600000000001</v>
      </c>
      <c r="F907" s="64">
        <f>17.4706 * CHOOSE(CONTROL!$C$22, $C$13, 100%, $E$13)</f>
        <v>17.470600000000001</v>
      </c>
      <c r="G907" s="64">
        <f>17.4706 * CHOOSE(CONTROL!$C$22, $C$13, 100%, $E$13)</f>
        <v>17.470600000000001</v>
      </c>
      <c r="H907" s="64">
        <f>30.2428* CHOOSE(CONTROL!$C$22, $C$13, 100%, $E$13)</f>
        <v>30.242799999999999</v>
      </c>
      <c r="I907" s="64">
        <f>30.2428 * CHOOSE(CONTROL!$C$22, $C$13, 100%, $E$13)</f>
        <v>30.242799999999999</v>
      </c>
      <c r="J907" s="64">
        <f>17.4706 * CHOOSE(CONTROL!$C$22, $C$13, 100%, $E$13)</f>
        <v>17.470600000000001</v>
      </c>
      <c r="K907" s="64">
        <f>17.4706 * CHOOSE(CONTROL!$C$22, $C$13, 100%, $E$13)</f>
        <v>17.470600000000001</v>
      </c>
    </row>
    <row r="908" spans="1:11" ht="15">
      <c r="A908" s="13">
        <v>69124</v>
      </c>
      <c r="B908" s="63">
        <f>15.4933 * CHOOSE(CONTROL!$C$22, $C$13, 100%, $E$13)</f>
        <v>15.4933</v>
      </c>
      <c r="C908" s="63">
        <f>15.4933 * CHOOSE(CONTROL!$C$22, $C$13, 100%, $E$13)</f>
        <v>15.4933</v>
      </c>
      <c r="D908" s="63">
        <f>15.4933 * CHOOSE(CONTROL!$C$22, $C$13, 100%, $E$13)</f>
        <v>15.4933</v>
      </c>
      <c r="E908" s="64">
        <f>17.7324 * CHOOSE(CONTROL!$C$22, $C$13, 100%, $E$13)</f>
        <v>17.732399999999998</v>
      </c>
      <c r="F908" s="64">
        <f>17.7324 * CHOOSE(CONTROL!$C$22, $C$13, 100%, $E$13)</f>
        <v>17.732399999999998</v>
      </c>
      <c r="G908" s="64">
        <f>17.7324 * CHOOSE(CONTROL!$C$22, $C$13, 100%, $E$13)</f>
        <v>17.732399999999998</v>
      </c>
      <c r="H908" s="64">
        <f>30.3058* CHOOSE(CONTROL!$C$22, $C$13, 100%, $E$13)</f>
        <v>30.305800000000001</v>
      </c>
      <c r="I908" s="64">
        <f>30.3059 * CHOOSE(CONTROL!$C$22, $C$13, 100%, $E$13)</f>
        <v>30.305900000000001</v>
      </c>
      <c r="J908" s="64">
        <f>17.7324 * CHOOSE(CONTROL!$C$22, $C$13, 100%, $E$13)</f>
        <v>17.732399999999998</v>
      </c>
      <c r="K908" s="64">
        <f>17.7324 * CHOOSE(CONTROL!$C$22, $C$13, 100%, $E$13)</f>
        <v>17.732399999999998</v>
      </c>
    </row>
    <row r="909" spans="1:11" ht="15">
      <c r="A909" s="13">
        <v>69154</v>
      </c>
      <c r="B909" s="63">
        <f>15.4933 * CHOOSE(CONTROL!$C$22, $C$13, 100%, $E$13)</f>
        <v>15.4933</v>
      </c>
      <c r="C909" s="63">
        <f>15.4933 * CHOOSE(CONTROL!$C$22, $C$13, 100%, $E$13)</f>
        <v>15.4933</v>
      </c>
      <c r="D909" s="63">
        <f>15.5018 * CHOOSE(CONTROL!$C$22, $C$13, 100%, $E$13)</f>
        <v>15.501799999999999</v>
      </c>
      <c r="E909" s="64">
        <f>17.8321 * CHOOSE(CONTROL!$C$22, $C$13, 100%, $E$13)</f>
        <v>17.832100000000001</v>
      </c>
      <c r="F909" s="64">
        <f>17.8321 * CHOOSE(CONTROL!$C$22, $C$13, 100%, $E$13)</f>
        <v>17.832100000000001</v>
      </c>
      <c r="G909" s="64">
        <f>17.8423 * CHOOSE(CONTROL!$C$22, $C$13, 100%, $E$13)</f>
        <v>17.842300000000002</v>
      </c>
      <c r="H909" s="64">
        <f>30.3689* CHOOSE(CONTROL!$C$22, $C$13, 100%, $E$13)</f>
        <v>30.3689</v>
      </c>
      <c r="I909" s="64">
        <f>30.3791 * CHOOSE(CONTROL!$C$22, $C$13, 100%, $E$13)</f>
        <v>30.379100000000001</v>
      </c>
      <c r="J909" s="64">
        <f>17.8321 * CHOOSE(CONTROL!$C$22, $C$13, 100%, $E$13)</f>
        <v>17.832100000000001</v>
      </c>
      <c r="K909" s="64">
        <f>17.8423 * CHOOSE(CONTROL!$C$22, $C$13, 100%, $E$13)</f>
        <v>17.842300000000002</v>
      </c>
    </row>
    <row r="910" spans="1:11" ht="15">
      <c r="A910" s="13">
        <v>69185</v>
      </c>
      <c r="B910" s="63">
        <f>15.4994 * CHOOSE(CONTROL!$C$22, $C$13, 100%, $E$13)</f>
        <v>15.4994</v>
      </c>
      <c r="C910" s="63">
        <f>15.4994 * CHOOSE(CONTROL!$C$22, $C$13, 100%, $E$13)</f>
        <v>15.4994</v>
      </c>
      <c r="D910" s="63">
        <f>15.5079 * CHOOSE(CONTROL!$C$22, $C$13, 100%, $E$13)</f>
        <v>15.507899999999999</v>
      </c>
      <c r="E910" s="64">
        <f>17.7366 * CHOOSE(CONTROL!$C$22, $C$13, 100%, $E$13)</f>
        <v>17.736599999999999</v>
      </c>
      <c r="F910" s="64">
        <f>17.7366 * CHOOSE(CONTROL!$C$22, $C$13, 100%, $E$13)</f>
        <v>17.736599999999999</v>
      </c>
      <c r="G910" s="64">
        <f>17.7468 * CHOOSE(CONTROL!$C$22, $C$13, 100%, $E$13)</f>
        <v>17.7468</v>
      </c>
      <c r="H910" s="64">
        <f>30.4322* CHOOSE(CONTROL!$C$22, $C$13, 100%, $E$13)</f>
        <v>30.432200000000002</v>
      </c>
      <c r="I910" s="64">
        <f>30.4424 * CHOOSE(CONTROL!$C$22, $C$13, 100%, $E$13)</f>
        <v>30.442399999999999</v>
      </c>
      <c r="J910" s="64">
        <f>17.7366 * CHOOSE(CONTROL!$C$22, $C$13, 100%, $E$13)</f>
        <v>17.736599999999999</v>
      </c>
      <c r="K910" s="64">
        <f>17.7468 * CHOOSE(CONTROL!$C$22, $C$13, 100%, $E$13)</f>
        <v>17.7468</v>
      </c>
    </row>
    <row r="911" spans="1:11" ht="15">
      <c r="A911" s="13">
        <v>69215</v>
      </c>
      <c r="B911" s="63">
        <f>15.7335 * CHOOSE(CONTROL!$C$22, $C$13, 100%, $E$13)</f>
        <v>15.733499999999999</v>
      </c>
      <c r="C911" s="63">
        <f>15.7335 * CHOOSE(CONTROL!$C$22, $C$13, 100%, $E$13)</f>
        <v>15.733499999999999</v>
      </c>
      <c r="D911" s="63">
        <f>15.7419 * CHOOSE(CONTROL!$C$22, $C$13, 100%, $E$13)</f>
        <v>15.741899999999999</v>
      </c>
      <c r="E911" s="64">
        <f>18.0175 * CHOOSE(CONTROL!$C$22, $C$13, 100%, $E$13)</f>
        <v>18.017499999999998</v>
      </c>
      <c r="F911" s="64">
        <f>18.0175 * CHOOSE(CONTROL!$C$22, $C$13, 100%, $E$13)</f>
        <v>18.017499999999998</v>
      </c>
      <c r="G911" s="64">
        <f>18.0278 * CHOOSE(CONTROL!$C$22, $C$13, 100%, $E$13)</f>
        <v>18.027799999999999</v>
      </c>
      <c r="H911" s="64">
        <f>30.4956* CHOOSE(CONTROL!$C$22, $C$13, 100%, $E$13)</f>
        <v>30.4956</v>
      </c>
      <c r="I911" s="64">
        <f>30.5058 * CHOOSE(CONTROL!$C$22, $C$13, 100%, $E$13)</f>
        <v>30.505800000000001</v>
      </c>
      <c r="J911" s="64">
        <f>18.0175 * CHOOSE(CONTROL!$C$22, $C$13, 100%, $E$13)</f>
        <v>18.017499999999998</v>
      </c>
      <c r="K911" s="64">
        <f>18.0278 * CHOOSE(CONTROL!$C$22, $C$13, 100%, $E$13)</f>
        <v>18.027799999999999</v>
      </c>
    </row>
    <row r="912" spans="1:11" ht="15">
      <c r="A912" s="13">
        <v>69246</v>
      </c>
      <c r="B912" s="63">
        <f>15.7402 * CHOOSE(CONTROL!$C$22, $C$13, 100%, $E$13)</f>
        <v>15.7402</v>
      </c>
      <c r="C912" s="63">
        <f>15.7402 * CHOOSE(CONTROL!$C$22, $C$13, 100%, $E$13)</f>
        <v>15.7402</v>
      </c>
      <c r="D912" s="63">
        <f>15.7486 * CHOOSE(CONTROL!$C$22, $C$13, 100%, $E$13)</f>
        <v>15.7486</v>
      </c>
      <c r="E912" s="64">
        <f>17.7229 * CHOOSE(CONTROL!$C$22, $C$13, 100%, $E$13)</f>
        <v>17.722899999999999</v>
      </c>
      <c r="F912" s="64">
        <f>17.7229 * CHOOSE(CONTROL!$C$22, $C$13, 100%, $E$13)</f>
        <v>17.722899999999999</v>
      </c>
      <c r="G912" s="64">
        <f>17.7331 * CHOOSE(CONTROL!$C$22, $C$13, 100%, $E$13)</f>
        <v>17.7331</v>
      </c>
      <c r="H912" s="64">
        <f>30.5591* CHOOSE(CONTROL!$C$22, $C$13, 100%, $E$13)</f>
        <v>30.559100000000001</v>
      </c>
      <c r="I912" s="64">
        <f>30.5693 * CHOOSE(CONTROL!$C$22, $C$13, 100%, $E$13)</f>
        <v>30.569299999999998</v>
      </c>
      <c r="J912" s="64">
        <f>17.7229 * CHOOSE(CONTROL!$C$22, $C$13, 100%, $E$13)</f>
        <v>17.722899999999999</v>
      </c>
      <c r="K912" s="64">
        <f>17.7331 * CHOOSE(CONTROL!$C$22, $C$13, 100%, $E$13)</f>
        <v>17.7331</v>
      </c>
    </row>
    <row r="913" spans="1:11" ht="15">
      <c r="A913" s="13">
        <v>69277</v>
      </c>
      <c r="B913" s="63">
        <f>15.7371 * CHOOSE(CONTROL!$C$22, $C$13, 100%, $E$13)</f>
        <v>15.7371</v>
      </c>
      <c r="C913" s="63">
        <f>15.7371 * CHOOSE(CONTROL!$C$22, $C$13, 100%, $E$13)</f>
        <v>15.7371</v>
      </c>
      <c r="D913" s="63">
        <f>15.7456 * CHOOSE(CONTROL!$C$22, $C$13, 100%, $E$13)</f>
        <v>15.7456</v>
      </c>
      <c r="E913" s="64">
        <f>17.6875 * CHOOSE(CONTROL!$C$22, $C$13, 100%, $E$13)</f>
        <v>17.6875</v>
      </c>
      <c r="F913" s="64">
        <f>17.6875 * CHOOSE(CONTROL!$C$22, $C$13, 100%, $E$13)</f>
        <v>17.6875</v>
      </c>
      <c r="G913" s="64">
        <f>17.6977 * CHOOSE(CONTROL!$C$22, $C$13, 100%, $E$13)</f>
        <v>17.697700000000001</v>
      </c>
      <c r="H913" s="64">
        <f>30.6228* CHOOSE(CONTROL!$C$22, $C$13, 100%, $E$13)</f>
        <v>30.622800000000002</v>
      </c>
      <c r="I913" s="64">
        <f>30.633 * CHOOSE(CONTROL!$C$22, $C$13, 100%, $E$13)</f>
        <v>30.632999999999999</v>
      </c>
      <c r="J913" s="64">
        <f>17.6875 * CHOOSE(CONTROL!$C$22, $C$13, 100%, $E$13)</f>
        <v>17.6875</v>
      </c>
      <c r="K913" s="64">
        <f>17.6977 * CHOOSE(CONTROL!$C$22, $C$13, 100%, $E$13)</f>
        <v>17.697700000000001</v>
      </c>
    </row>
    <row r="914" spans="1:11" ht="15">
      <c r="A914" s="13">
        <v>69307</v>
      </c>
      <c r="B914" s="63">
        <f>15.7699 * CHOOSE(CONTROL!$C$22, $C$13, 100%, $E$13)</f>
        <v>15.7699</v>
      </c>
      <c r="C914" s="63">
        <f>15.7699 * CHOOSE(CONTROL!$C$22, $C$13, 100%, $E$13)</f>
        <v>15.7699</v>
      </c>
      <c r="D914" s="63">
        <f>15.7699 * CHOOSE(CONTROL!$C$22, $C$13, 100%, $E$13)</f>
        <v>15.7699</v>
      </c>
      <c r="E914" s="64">
        <f>17.8071 * CHOOSE(CONTROL!$C$22, $C$13, 100%, $E$13)</f>
        <v>17.807099999999998</v>
      </c>
      <c r="F914" s="64">
        <f>17.8071 * CHOOSE(CONTROL!$C$22, $C$13, 100%, $E$13)</f>
        <v>17.807099999999998</v>
      </c>
      <c r="G914" s="64">
        <f>17.8072 * CHOOSE(CONTROL!$C$22, $C$13, 100%, $E$13)</f>
        <v>17.807200000000002</v>
      </c>
      <c r="H914" s="64">
        <f>30.6866* CHOOSE(CONTROL!$C$22, $C$13, 100%, $E$13)</f>
        <v>30.686599999999999</v>
      </c>
      <c r="I914" s="64">
        <f>30.6867 * CHOOSE(CONTROL!$C$22, $C$13, 100%, $E$13)</f>
        <v>30.686699999999998</v>
      </c>
      <c r="J914" s="64">
        <f>17.8071 * CHOOSE(CONTROL!$C$22, $C$13, 100%, $E$13)</f>
        <v>17.807099999999998</v>
      </c>
      <c r="K914" s="64">
        <f>17.8072 * CHOOSE(CONTROL!$C$22, $C$13, 100%, $E$13)</f>
        <v>17.807200000000002</v>
      </c>
    </row>
    <row r="915" spans="1:11" ht="15">
      <c r="A915" s="13">
        <v>69338</v>
      </c>
      <c r="B915" s="63">
        <f>15.773 * CHOOSE(CONTROL!$C$22, $C$13, 100%, $E$13)</f>
        <v>15.773</v>
      </c>
      <c r="C915" s="63">
        <f>15.773 * CHOOSE(CONTROL!$C$22, $C$13, 100%, $E$13)</f>
        <v>15.773</v>
      </c>
      <c r="D915" s="63">
        <f>15.773 * CHOOSE(CONTROL!$C$22, $C$13, 100%, $E$13)</f>
        <v>15.773</v>
      </c>
      <c r="E915" s="64">
        <f>17.8758 * CHOOSE(CONTROL!$C$22, $C$13, 100%, $E$13)</f>
        <v>17.875800000000002</v>
      </c>
      <c r="F915" s="64">
        <f>17.8758 * CHOOSE(CONTROL!$C$22, $C$13, 100%, $E$13)</f>
        <v>17.875800000000002</v>
      </c>
      <c r="G915" s="64">
        <f>17.8758 * CHOOSE(CONTROL!$C$22, $C$13, 100%, $E$13)</f>
        <v>17.875800000000002</v>
      </c>
      <c r="H915" s="64">
        <f>30.7505* CHOOSE(CONTROL!$C$22, $C$13, 100%, $E$13)</f>
        <v>30.750499999999999</v>
      </c>
      <c r="I915" s="64">
        <f>30.7506 * CHOOSE(CONTROL!$C$22, $C$13, 100%, $E$13)</f>
        <v>30.750599999999999</v>
      </c>
      <c r="J915" s="64">
        <f>17.8758 * CHOOSE(CONTROL!$C$22, $C$13, 100%, $E$13)</f>
        <v>17.875800000000002</v>
      </c>
      <c r="K915" s="64">
        <f>17.8758 * CHOOSE(CONTROL!$C$22, $C$13, 100%, $E$13)</f>
        <v>17.875800000000002</v>
      </c>
    </row>
    <row r="916" spans="1:11" ht="15">
      <c r="A916" s="13">
        <v>69368</v>
      </c>
      <c r="B916" s="63">
        <f>15.773 * CHOOSE(CONTROL!$C$22, $C$13, 100%, $E$13)</f>
        <v>15.773</v>
      </c>
      <c r="C916" s="63">
        <f>15.773 * CHOOSE(CONTROL!$C$22, $C$13, 100%, $E$13)</f>
        <v>15.773</v>
      </c>
      <c r="D916" s="63">
        <f>15.773 * CHOOSE(CONTROL!$C$22, $C$13, 100%, $E$13)</f>
        <v>15.773</v>
      </c>
      <c r="E916" s="64">
        <f>17.7095 * CHOOSE(CONTROL!$C$22, $C$13, 100%, $E$13)</f>
        <v>17.709499999999998</v>
      </c>
      <c r="F916" s="64">
        <f>17.7095 * CHOOSE(CONTROL!$C$22, $C$13, 100%, $E$13)</f>
        <v>17.709499999999998</v>
      </c>
      <c r="G916" s="64">
        <f>17.7096 * CHOOSE(CONTROL!$C$22, $C$13, 100%, $E$13)</f>
        <v>17.709599999999998</v>
      </c>
      <c r="H916" s="64">
        <f>30.8146* CHOOSE(CONTROL!$C$22, $C$13, 100%, $E$13)</f>
        <v>30.814599999999999</v>
      </c>
      <c r="I916" s="64">
        <f>30.8147 * CHOOSE(CONTROL!$C$22, $C$13, 100%, $E$13)</f>
        <v>30.814699999999998</v>
      </c>
      <c r="J916" s="64">
        <f>17.7095 * CHOOSE(CONTROL!$C$22, $C$13, 100%, $E$13)</f>
        <v>17.709499999999998</v>
      </c>
      <c r="K916" s="64">
        <f>17.7096 * CHOOSE(CONTROL!$C$22, $C$13, 100%, $E$13)</f>
        <v>17.709599999999998</v>
      </c>
    </row>
    <row r="917" spans="1:11" ht="15">
      <c r="A917" s="13">
        <v>69399</v>
      </c>
      <c r="B917" s="63">
        <f>15.7277 * CHOOSE(CONTROL!$C$22, $C$13, 100%, $E$13)</f>
        <v>15.7277</v>
      </c>
      <c r="C917" s="63">
        <f>15.7277 * CHOOSE(CONTROL!$C$22, $C$13, 100%, $E$13)</f>
        <v>15.7277</v>
      </c>
      <c r="D917" s="63">
        <f>15.7277 * CHOOSE(CONTROL!$C$22, $C$13, 100%, $E$13)</f>
        <v>15.7277</v>
      </c>
      <c r="E917" s="64">
        <f>17.796 * CHOOSE(CONTROL!$C$22, $C$13, 100%, $E$13)</f>
        <v>17.795999999999999</v>
      </c>
      <c r="F917" s="64">
        <f>17.796 * CHOOSE(CONTROL!$C$22, $C$13, 100%, $E$13)</f>
        <v>17.795999999999999</v>
      </c>
      <c r="G917" s="64">
        <f>17.7961 * CHOOSE(CONTROL!$C$22, $C$13, 100%, $E$13)</f>
        <v>17.796099999999999</v>
      </c>
      <c r="H917" s="64">
        <f>30.563* CHOOSE(CONTROL!$C$22, $C$13, 100%, $E$13)</f>
        <v>30.562999999999999</v>
      </c>
      <c r="I917" s="64">
        <f>30.5631 * CHOOSE(CONTROL!$C$22, $C$13, 100%, $E$13)</f>
        <v>30.563099999999999</v>
      </c>
      <c r="J917" s="64">
        <f>17.796 * CHOOSE(CONTROL!$C$22, $C$13, 100%, $E$13)</f>
        <v>17.795999999999999</v>
      </c>
      <c r="K917" s="64">
        <f>17.7961 * CHOOSE(CONTROL!$C$22, $C$13, 100%, $E$13)</f>
        <v>17.796099999999999</v>
      </c>
    </row>
    <row r="918" spans="1:11" ht="15">
      <c r="A918" s="13">
        <v>69430</v>
      </c>
      <c r="B918" s="63">
        <f>15.7247 * CHOOSE(CONTROL!$C$22, $C$13, 100%, $E$13)</f>
        <v>15.7247</v>
      </c>
      <c r="C918" s="63">
        <f>15.7247 * CHOOSE(CONTROL!$C$22, $C$13, 100%, $E$13)</f>
        <v>15.7247</v>
      </c>
      <c r="D918" s="63">
        <f>15.7247 * CHOOSE(CONTROL!$C$22, $C$13, 100%, $E$13)</f>
        <v>15.7247</v>
      </c>
      <c r="E918" s="64">
        <f>17.4747 * CHOOSE(CONTROL!$C$22, $C$13, 100%, $E$13)</f>
        <v>17.474699999999999</v>
      </c>
      <c r="F918" s="64">
        <f>17.4747 * CHOOSE(CONTROL!$C$22, $C$13, 100%, $E$13)</f>
        <v>17.474699999999999</v>
      </c>
      <c r="G918" s="64">
        <f>17.4748 * CHOOSE(CONTROL!$C$22, $C$13, 100%, $E$13)</f>
        <v>17.474799999999998</v>
      </c>
      <c r="H918" s="64">
        <f>30.6267* CHOOSE(CONTROL!$C$22, $C$13, 100%, $E$13)</f>
        <v>30.6267</v>
      </c>
      <c r="I918" s="64">
        <f>30.6268 * CHOOSE(CONTROL!$C$22, $C$13, 100%, $E$13)</f>
        <v>30.626799999999999</v>
      </c>
      <c r="J918" s="64">
        <f>17.4747 * CHOOSE(CONTROL!$C$22, $C$13, 100%, $E$13)</f>
        <v>17.474699999999999</v>
      </c>
      <c r="K918" s="64">
        <f>17.4748 * CHOOSE(CONTROL!$C$22, $C$13, 100%, $E$13)</f>
        <v>17.474799999999998</v>
      </c>
    </row>
    <row r="919" spans="1:11" ht="15">
      <c r="A919" s="13">
        <v>69458</v>
      </c>
      <c r="B919" s="63">
        <f>15.7217 * CHOOSE(CONTROL!$C$22, $C$13, 100%, $E$13)</f>
        <v>15.7217</v>
      </c>
      <c r="C919" s="63">
        <f>15.7217 * CHOOSE(CONTROL!$C$22, $C$13, 100%, $E$13)</f>
        <v>15.7217</v>
      </c>
      <c r="D919" s="63">
        <f>15.7217 * CHOOSE(CONTROL!$C$22, $C$13, 100%, $E$13)</f>
        <v>15.7217</v>
      </c>
      <c r="E919" s="64">
        <f>17.7242 * CHOOSE(CONTROL!$C$22, $C$13, 100%, $E$13)</f>
        <v>17.7242</v>
      </c>
      <c r="F919" s="64">
        <f>17.7242 * CHOOSE(CONTROL!$C$22, $C$13, 100%, $E$13)</f>
        <v>17.7242</v>
      </c>
      <c r="G919" s="64">
        <f>17.7243 * CHOOSE(CONTROL!$C$22, $C$13, 100%, $E$13)</f>
        <v>17.724299999999999</v>
      </c>
      <c r="H919" s="64">
        <f>30.6905* CHOOSE(CONTROL!$C$22, $C$13, 100%, $E$13)</f>
        <v>30.6905</v>
      </c>
      <c r="I919" s="64">
        <f>30.6906 * CHOOSE(CONTROL!$C$22, $C$13, 100%, $E$13)</f>
        <v>30.6906</v>
      </c>
      <c r="J919" s="64">
        <f>17.7242 * CHOOSE(CONTROL!$C$22, $C$13, 100%, $E$13)</f>
        <v>17.7242</v>
      </c>
      <c r="K919" s="64">
        <f>17.7243 * CHOOSE(CONTROL!$C$22, $C$13, 100%, $E$13)</f>
        <v>17.724299999999999</v>
      </c>
    </row>
    <row r="920" spans="1:11" ht="15">
      <c r="A920" s="13">
        <v>69489</v>
      </c>
      <c r="B920" s="63">
        <f>15.7291 * CHOOSE(CONTROL!$C$22, $C$13, 100%, $E$13)</f>
        <v>15.729100000000001</v>
      </c>
      <c r="C920" s="63">
        <f>15.7291 * CHOOSE(CONTROL!$C$22, $C$13, 100%, $E$13)</f>
        <v>15.729100000000001</v>
      </c>
      <c r="D920" s="63">
        <f>15.7291 * CHOOSE(CONTROL!$C$22, $C$13, 100%, $E$13)</f>
        <v>15.729100000000001</v>
      </c>
      <c r="E920" s="64">
        <f>17.9902 * CHOOSE(CONTROL!$C$22, $C$13, 100%, $E$13)</f>
        <v>17.990200000000002</v>
      </c>
      <c r="F920" s="64">
        <f>17.9902 * CHOOSE(CONTROL!$C$22, $C$13, 100%, $E$13)</f>
        <v>17.990200000000002</v>
      </c>
      <c r="G920" s="64">
        <f>17.9903 * CHOOSE(CONTROL!$C$22, $C$13, 100%, $E$13)</f>
        <v>17.990300000000001</v>
      </c>
      <c r="H920" s="64">
        <f>30.7545* CHOOSE(CONTROL!$C$22, $C$13, 100%, $E$13)</f>
        <v>30.7545</v>
      </c>
      <c r="I920" s="64">
        <f>30.7545 * CHOOSE(CONTROL!$C$22, $C$13, 100%, $E$13)</f>
        <v>30.7545</v>
      </c>
      <c r="J920" s="64">
        <f>17.9902 * CHOOSE(CONTROL!$C$22, $C$13, 100%, $E$13)</f>
        <v>17.990200000000002</v>
      </c>
      <c r="K920" s="64">
        <f>17.9903 * CHOOSE(CONTROL!$C$22, $C$13, 100%, $E$13)</f>
        <v>17.990300000000001</v>
      </c>
    </row>
    <row r="921" spans="1:11" ht="15">
      <c r="A921" s="13">
        <v>69519</v>
      </c>
      <c r="B921" s="63">
        <f>15.7291 * CHOOSE(CONTROL!$C$22, $C$13, 100%, $E$13)</f>
        <v>15.729100000000001</v>
      </c>
      <c r="C921" s="63">
        <f>15.7291 * CHOOSE(CONTROL!$C$22, $C$13, 100%, $E$13)</f>
        <v>15.729100000000001</v>
      </c>
      <c r="D921" s="63">
        <f>15.7375 * CHOOSE(CONTROL!$C$22, $C$13, 100%, $E$13)</f>
        <v>15.737500000000001</v>
      </c>
      <c r="E921" s="64">
        <f>18.0916 * CHOOSE(CONTROL!$C$22, $C$13, 100%, $E$13)</f>
        <v>18.0916</v>
      </c>
      <c r="F921" s="64">
        <f>18.0916 * CHOOSE(CONTROL!$C$22, $C$13, 100%, $E$13)</f>
        <v>18.0916</v>
      </c>
      <c r="G921" s="64">
        <f>18.1018 * CHOOSE(CONTROL!$C$22, $C$13, 100%, $E$13)</f>
        <v>18.101800000000001</v>
      </c>
      <c r="H921" s="64">
        <f>30.8185* CHOOSE(CONTROL!$C$22, $C$13, 100%, $E$13)</f>
        <v>30.8185</v>
      </c>
      <c r="I921" s="64">
        <f>30.8288 * CHOOSE(CONTROL!$C$22, $C$13, 100%, $E$13)</f>
        <v>30.828800000000001</v>
      </c>
      <c r="J921" s="64">
        <f>18.0916 * CHOOSE(CONTROL!$C$22, $C$13, 100%, $E$13)</f>
        <v>18.0916</v>
      </c>
      <c r="K921" s="64">
        <f>18.1018 * CHOOSE(CONTROL!$C$22, $C$13, 100%, $E$13)</f>
        <v>18.101800000000001</v>
      </c>
    </row>
    <row r="922" spans="1:11" ht="15">
      <c r="A922" s="13">
        <v>69550</v>
      </c>
      <c r="B922" s="63">
        <f>15.7352 * CHOOSE(CONTROL!$C$22, $C$13, 100%, $E$13)</f>
        <v>15.735200000000001</v>
      </c>
      <c r="C922" s="63">
        <f>15.7352 * CHOOSE(CONTROL!$C$22, $C$13, 100%, $E$13)</f>
        <v>15.735200000000001</v>
      </c>
      <c r="D922" s="63">
        <f>15.7436 * CHOOSE(CONTROL!$C$22, $C$13, 100%, $E$13)</f>
        <v>15.743600000000001</v>
      </c>
      <c r="E922" s="64">
        <f>17.9945 * CHOOSE(CONTROL!$C$22, $C$13, 100%, $E$13)</f>
        <v>17.994499999999999</v>
      </c>
      <c r="F922" s="64">
        <f>17.9945 * CHOOSE(CONTROL!$C$22, $C$13, 100%, $E$13)</f>
        <v>17.994499999999999</v>
      </c>
      <c r="G922" s="64">
        <f>18.0047 * CHOOSE(CONTROL!$C$22, $C$13, 100%, $E$13)</f>
        <v>18.0047</v>
      </c>
      <c r="H922" s="64">
        <f>30.8827* CHOOSE(CONTROL!$C$22, $C$13, 100%, $E$13)</f>
        <v>30.8827</v>
      </c>
      <c r="I922" s="64">
        <f>30.893 * CHOOSE(CONTROL!$C$22, $C$13, 100%, $E$13)</f>
        <v>30.893000000000001</v>
      </c>
      <c r="J922" s="64">
        <f>17.9945 * CHOOSE(CONTROL!$C$22, $C$13, 100%, $E$13)</f>
        <v>17.994499999999999</v>
      </c>
      <c r="K922" s="64">
        <f>18.0047 * CHOOSE(CONTROL!$C$22, $C$13, 100%, $E$13)</f>
        <v>18.0047</v>
      </c>
    </row>
    <row r="923" spans="1:11" ht="15">
      <c r="A923" s="13">
        <v>69580</v>
      </c>
      <c r="B923" s="63">
        <f>15.9727 * CHOOSE(CONTROL!$C$22, $C$13, 100%, $E$13)</f>
        <v>15.9727</v>
      </c>
      <c r="C923" s="63">
        <f>15.9727 * CHOOSE(CONTROL!$C$22, $C$13, 100%, $E$13)</f>
        <v>15.9727</v>
      </c>
      <c r="D923" s="63">
        <f>15.9811 * CHOOSE(CONTROL!$C$22, $C$13, 100%, $E$13)</f>
        <v>15.9811</v>
      </c>
      <c r="E923" s="64">
        <f>18.2793 * CHOOSE(CONTROL!$C$22, $C$13, 100%, $E$13)</f>
        <v>18.279299999999999</v>
      </c>
      <c r="F923" s="64">
        <f>18.2793 * CHOOSE(CONTROL!$C$22, $C$13, 100%, $E$13)</f>
        <v>18.279299999999999</v>
      </c>
      <c r="G923" s="64">
        <f>18.2895 * CHOOSE(CONTROL!$C$22, $C$13, 100%, $E$13)</f>
        <v>18.2895</v>
      </c>
      <c r="H923" s="64">
        <f>30.9471* CHOOSE(CONTROL!$C$22, $C$13, 100%, $E$13)</f>
        <v>30.947099999999999</v>
      </c>
      <c r="I923" s="64">
        <f>30.9573 * CHOOSE(CONTROL!$C$22, $C$13, 100%, $E$13)</f>
        <v>30.9573</v>
      </c>
      <c r="J923" s="64">
        <f>18.2793 * CHOOSE(CONTROL!$C$22, $C$13, 100%, $E$13)</f>
        <v>18.279299999999999</v>
      </c>
      <c r="K923" s="64">
        <f>18.2895 * CHOOSE(CONTROL!$C$22, $C$13, 100%, $E$13)</f>
        <v>18.2895</v>
      </c>
    </row>
    <row r="924" spans="1:11" ht="15">
      <c r="A924" s="13">
        <v>69611</v>
      </c>
      <c r="B924" s="63">
        <f>15.9794 * CHOOSE(CONTROL!$C$22, $C$13, 100%, $E$13)</f>
        <v>15.9794</v>
      </c>
      <c r="C924" s="63">
        <f>15.9794 * CHOOSE(CONTROL!$C$22, $C$13, 100%, $E$13)</f>
        <v>15.9794</v>
      </c>
      <c r="D924" s="63">
        <f>15.9878 * CHOOSE(CONTROL!$C$22, $C$13, 100%, $E$13)</f>
        <v>15.9878</v>
      </c>
      <c r="E924" s="64">
        <f>17.98 * CHOOSE(CONTROL!$C$22, $C$13, 100%, $E$13)</f>
        <v>17.98</v>
      </c>
      <c r="F924" s="64">
        <f>17.98 * CHOOSE(CONTROL!$C$22, $C$13, 100%, $E$13)</f>
        <v>17.98</v>
      </c>
      <c r="G924" s="64">
        <f>17.9902 * CHOOSE(CONTROL!$C$22, $C$13, 100%, $E$13)</f>
        <v>17.990200000000002</v>
      </c>
      <c r="H924" s="64">
        <f>31.0115* CHOOSE(CONTROL!$C$22, $C$13, 100%, $E$13)</f>
        <v>31.011500000000002</v>
      </c>
      <c r="I924" s="64">
        <f>31.0218 * CHOOSE(CONTROL!$C$22, $C$13, 100%, $E$13)</f>
        <v>31.021799999999999</v>
      </c>
      <c r="J924" s="64">
        <f>17.98 * CHOOSE(CONTROL!$C$22, $C$13, 100%, $E$13)</f>
        <v>17.98</v>
      </c>
      <c r="K924" s="64">
        <f>17.9902 * CHOOSE(CONTROL!$C$22, $C$13, 100%, $E$13)</f>
        <v>17.990200000000002</v>
      </c>
    </row>
    <row r="925" spans="1:11" ht="15">
      <c r="A925" s="13">
        <v>69642</v>
      </c>
      <c r="B925" s="63">
        <f>15.9763 * CHOOSE(CONTROL!$C$22, $C$13, 100%, $E$13)</f>
        <v>15.9763</v>
      </c>
      <c r="C925" s="63">
        <f>15.9763 * CHOOSE(CONTROL!$C$22, $C$13, 100%, $E$13)</f>
        <v>15.9763</v>
      </c>
      <c r="D925" s="63">
        <f>15.9848 * CHOOSE(CONTROL!$C$22, $C$13, 100%, $E$13)</f>
        <v>15.9848</v>
      </c>
      <c r="E925" s="64">
        <f>17.9441 * CHOOSE(CONTROL!$C$22, $C$13, 100%, $E$13)</f>
        <v>17.944099999999999</v>
      </c>
      <c r="F925" s="64">
        <f>17.9441 * CHOOSE(CONTROL!$C$22, $C$13, 100%, $E$13)</f>
        <v>17.944099999999999</v>
      </c>
      <c r="G925" s="64">
        <f>17.9543 * CHOOSE(CONTROL!$C$22, $C$13, 100%, $E$13)</f>
        <v>17.9543</v>
      </c>
      <c r="H925" s="64">
        <f>31.0762* CHOOSE(CONTROL!$C$22, $C$13, 100%, $E$13)</f>
        <v>31.0762</v>
      </c>
      <c r="I925" s="64">
        <f>31.0864 * CHOOSE(CONTROL!$C$22, $C$13, 100%, $E$13)</f>
        <v>31.086400000000001</v>
      </c>
      <c r="J925" s="64">
        <f>17.9441 * CHOOSE(CONTROL!$C$22, $C$13, 100%, $E$13)</f>
        <v>17.944099999999999</v>
      </c>
      <c r="K925" s="64">
        <f>17.9543 * CHOOSE(CONTROL!$C$22, $C$13, 100%, $E$13)</f>
        <v>17.9543</v>
      </c>
    </row>
    <row r="926" spans="1:11" ht="15">
      <c r="A926" s="13">
        <v>69672</v>
      </c>
      <c r="B926" s="63">
        <f>16.0099 * CHOOSE(CONTROL!$C$22, $C$13, 100%, $E$13)</f>
        <v>16.009899999999998</v>
      </c>
      <c r="C926" s="63">
        <f>16.0099 * CHOOSE(CONTROL!$C$22, $C$13, 100%, $E$13)</f>
        <v>16.009899999999998</v>
      </c>
      <c r="D926" s="63">
        <f>16.0099 * CHOOSE(CONTROL!$C$22, $C$13, 100%, $E$13)</f>
        <v>16.009899999999998</v>
      </c>
      <c r="E926" s="64">
        <f>18.0658 * CHOOSE(CONTROL!$C$22, $C$13, 100%, $E$13)</f>
        <v>18.065799999999999</v>
      </c>
      <c r="F926" s="64">
        <f>18.0658 * CHOOSE(CONTROL!$C$22, $C$13, 100%, $E$13)</f>
        <v>18.065799999999999</v>
      </c>
      <c r="G926" s="64">
        <f>18.0658 * CHOOSE(CONTROL!$C$22, $C$13, 100%, $E$13)</f>
        <v>18.065799999999999</v>
      </c>
      <c r="H926" s="64">
        <f>31.1409* CHOOSE(CONTROL!$C$22, $C$13, 100%, $E$13)</f>
        <v>31.140899999999998</v>
      </c>
      <c r="I926" s="64">
        <f>31.141 * CHOOSE(CONTROL!$C$22, $C$13, 100%, $E$13)</f>
        <v>31.140999999999998</v>
      </c>
      <c r="J926" s="64">
        <f>18.0658 * CHOOSE(CONTROL!$C$22, $C$13, 100%, $E$13)</f>
        <v>18.065799999999999</v>
      </c>
      <c r="K926" s="64">
        <f>18.0658 * CHOOSE(CONTROL!$C$22, $C$13, 100%, $E$13)</f>
        <v>18.065799999999999</v>
      </c>
    </row>
    <row r="927" spans="1:11" ht="15">
      <c r="A927" s="13">
        <v>69703</v>
      </c>
      <c r="B927" s="63">
        <f>16.0129 * CHOOSE(CONTROL!$C$22, $C$13, 100%, $E$13)</f>
        <v>16.012899999999998</v>
      </c>
      <c r="C927" s="63">
        <f>16.0129 * CHOOSE(CONTROL!$C$22, $C$13, 100%, $E$13)</f>
        <v>16.012899999999998</v>
      </c>
      <c r="D927" s="63">
        <f>16.0129 * CHOOSE(CONTROL!$C$22, $C$13, 100%, $E$13)</f>
        <v>16.012899999999998</v>
      </c>
      <c r="E927" s="64">
        <f>18.1354 * CHOOSE(CONTROL!$C$22, $C$13, 100%, $E$13)</f>
        <v>18.135400000000001</v>
      </c>
      <c r="F927" s="64">
        <f>18.1354 * CHOOSE(CONTROL!$C$22, $C$13, 100%, $E$13)</f>
        <v>18.135400000000001</v>
      </c>
      <c r="G927" s="64">
        <f>18.1355 * CHOOSE(CONTROL!$C$22, $C$13, 100%, $E$13)</f>
        <v>18.1355</v>
      </c>
      <c r="H927" s="64">
        <f>31.2058* CHOOSE(CONTROL!$C$22, $C$13, 100%, $E$13)</f>
        <v>31.2058</v>
      </c>
      <c r="I927" s="64">
        <f>31.2059 * CHOOSE(CONTROL!$C$22, $C$13, 100%, $E$13)</f>
        <v>31.2059</v>
      </c>
      <c r="J927" s="64">
        <f>18.1354 * CHOOSE(CONTROL!$C$22, $C$13, 100%, $E$13)</f>
        <v>18.135400000000001</v>
      </c>
      <c r="K927" s="64">
        <f>18.1355 * CHOOSE(CONTROL!$C$22, $C$13, 100%, $E$13)</f>
        <v>18.1355</v>
      </c>
    </row>
    <row r="928" spans="1:11" ht="15">
      <c r="A928" s="13">
        <v>69733</v>
      </c>
      <c r="B928" s="63">
        <f>16.0129 * CHOOSE(CONTROL!$C$22, $C$13, 100%, $E$13)</f>
        <v>16.012899999999998</v>
      </c>
      <c r="C928" s="63">
        <f>16.0129 * CHOOSE(CONTROL!$C$22, $C$13, 100%, $E$13)</f>
        <v>16.012899999999998</v>
      </c>
      <c r="D928" s="63">
        <f>16.0129 * CHOOSE(CONTROL!$C$22, $C$13, 100%, $E$13)</f>
        <v>16.012899999999998</v>
      </c>
      <c r="E928" s="64">
        <f>17.9666 * CHOOSE(CONTROL!$C$22, $C$13, 100%, $E$13)</f>
        <v>17.9666</v>
      </c>
      <c r="F928" s="64">
        <f>17.9666 * CHOOSE(CONTROL!$C$22, $C$13, 100%, $E$13)</f>
        <v>17.9666</v>
      </c>
      <c r="G928" s="64">
        <f>17.9666 * CHOOSE(CONTROL!$C$22, $C$13, 100%, $E$13)</f>
        <v>17.9666</v>
      </c>
      <c r="H928" s="64">
        <f>31.2708* CHOOSE(CONTROL!$C$22, $C$13, 100%, $E$13)</f>
        <v>31.270800000000001</v>
      </c>
      <c r="I928" s="64">
        <f>31.2709 * CHOOSE(CONTROL!$C$22, $C$13, 100%, $E$13)</f>
        <v>31.270900000000001</v>
      </c>
      <c r="J928" s="64">
        <f>17.9666 * CHOOSE(CONTROL!$C$22, $C$13, 100%, $E$13)</f>
        <v>17.9666</v>
      </c>
      <c r="K928" s="64">
        <f>17.9666 * CHOOSE(CONTROL!$C$22, $C$13, 100%, $E$13)</f>
        <v>17.9666</v>
      </c>
    </row>
    <row r="929" spans="1:11" ht="15">
      <c r="A929" s="13">
        <v>69764</v>
      </c>
      <c r="B929" s="63">
        <f>15.9633 * CHOOSE(CONTROL!$C$22, $C$13, 100%, $E$13)</f>
        <v>15.9633</v>
      </c>
      <c r="C929" s="63">
        <f>15.9633 * CHOOSE(CONTROL!$C$22, $C$13, 100%, $E$13)</f>
        <v>15.9633</v>
      </c>
      <c r="D929" s="63">
        <f>15.9633 * CHOOSE(CONTROL!$C$22, $C$13, 100%, $E$13)</f>
        <v>15.9633</v>
      </c>
      <c r="E929" s="64">
        <f>18.0508 * CHOOSE(CONTROL!$C$22, $C$13, 100%, $E$13)</f>
        <v>18.050799999999999</v>
      </c>
      <c r="F929" s="64">
        <f>18.0508 * CHOOSE(CONTROL!$C$22, $C$13, 100%, $E$13)</f>
        <v>18.050799999999999</v>
      </c>
      <c r="G929" s="64">
        <f>18.0508 * CHOOSE(CONTROL!$C$22, $C$13, 100%, $E$13)</f>
        <v>18.050799999999999</v>
      </c>
      <c r="H929" s="64">
        <f>31.0089* CHOOSE(CONTROL!$C$22, $C$13, 100%, $E$13)</f>
        <v>31.008900000000001</v>
      </c>
      <c r="I929" s="64">
        <f>31.009 * CHOOSE(CONTROL!$C$22, $C$13, 100%, $E$13)</f>
        <v>31.009</v>
      </c>
      <c r="J929" s="64">
        <f>18.0508 * CHOOSE(CONTROL!$C$22, $C$13, 100%, $E$13)</f>
        <v>18.050799999999999</v>
      </c>
      <c r="K929" s="64">
        <f>18.0508 * CHOOSE(CONTROL!$C$22, $C$13, 100%, $E$13)</f>
        <v>18.050799999999999</v>
      </c>
    </row>
    <row r="930" spans="1:11" ht="15">
      <c r="A930" s="13">
        <v>69795</v>
      </c>
      <c r="B930" s="63">
        <f>15.9603 * CHOOSE(CONTROL!$C$22, $C$13, 100%, $E$13)</f>
        <v>15.9603</v>
      </c>
      <c r="C930" s="63">
        <f>15.9603 * CHOOSE(CONTROL!$C$22, $C$13, 100%, $E$13)</f>
        <v>15.9603</v>
      </c>
      <c r="D930" s="63">
        <f>15.9603 * CHOOSE(CONTROL!$C$22, $C$13, 100%, $E$13)</f>
        <v>15.9603</v>
      </c>
      <c r="E930" s="64">
        <f>17.7245 * CHOOSE(CONTROL!$C$22, $C$13, 100%, $E$13)</f>
        <v>17.724499999999999</v>
      </c>
      <c r="F930" s="64">
        <f>17.7245 * CHOOSE(CONTROL!$C$22, $C$13, 100%, $E$13)</f>
        <v>17.724499999999999</v>
      </c>
      <c r="G930" s="64">
        <f>17.7246 * CHOOSE(CONTROL!$C$22, $C$13, 100%, $E$13)</f>
        <v>17.724599999999999</v>
      </c>
      <c r="H930" s="64">
        <f>31.0735* CHOOSE(CONTROL!$C$22, $C$13, 100%, $E$13)</f>
        <v>31.073499999999999</v>
      </c>
      <c r="I930" s="64">
        <f>31.0736 * CHOOSE(CONTROL!$C$22, $C$13, 100%, $E$13)</f>
        <v>31.073599999999999</v>
      </c>
      <c r="J930" s="64">
        <f>17.7245 * CHOOSE(CONTROL!$C$22, $C$13, 100%, $E$13)</f>
        <v>17.724499999999999</v>
      </c>
      <c r="K930" s="64">
        <f>17.7246 * CHOOSE(CONTROL!$C$22, $C$13, 100%, $E$13)</f>
        <v>17.724599999999999</v>
      </c>
    </row>
    <row r="931" spans="1:11" ht="15">
      <c r="A931" s="13">
        <v>69823</v>
      </c>
      <c r="B931" s="63">
        <f>15.9572 * CHOOSE(CONTROL!$C$22, $C$13, 100%, $E$13)</f>
        <v>15.9572</v>
      </c>
      <c r="C931" s="63">
        <f>15.9572 * CHOOSE(CONTROL!$C$22, $C$13, 100%, $E$13)</f>
        <v>15.9572</v>
      </c>
      <c r="D931" s="63">
        <f>15.9572 * CHOOSE(CONTROL!$C$22, $C$13, 100%, $E$13)</f>
        <v>15.9572</v>
      </c>
      <c r="E931" s="64">
        <f>17.9779 * CHOOSE(CONTROL!$C$22, $C$13, 100%, $E$13)</f>
        <v>17.977900000000002</v>
      </c>
      <c r="F931" s="64">
        <f>17.9779 * CHOOSE(CONTROL!$C$22, $C$13, 100%, $E$13)</f>
        <v>17.977900000000002</v>
      </c>
      <c r="G931" s="64">
        <f>17.978 * CHOOSE(CONTROL!$C$22, $C$13, 100%, $E$13)</f>
        <v>17.978000000000002</v>
      </c>
      <c r="H931" s="64">
        <f>31.1383* CHOOSE(CONTROL!$C$22, $C$13, 100%, $E$13)</f>
        <v>31.138300000000001</v>
      </c>
      <c r="I931" s="64">
        <f>31.1384 * CHOOSE(CONTROL!$C$22, $C$13, 100%, $E$13)</f>
        <v>31.138400000000001</v>
      </c>
      <c r="J931" s="64">
        <f>17.9779 * CHOOSE(CONTROL!$C$22, $C$13, 100%, $E$13)</f>
        <v>17.977900000000002</v>
      </c>
      <c r="K931" s="64">
        <f>17.978 * CHOOSE(CONTROL!$C$22, $C$13, 100%, $E$13)</f>
        <v>17.978000000000002</v>
      </c>
    </row>
    <row r="932" spans="1:11" ht="15">
      <c r="A932" s="13">
        <v>69854</v>
      </c>
      <c r="B932" s="63">
        <f>15.9649 * CHOOSE(CONTROL!$C$22, $C$13, 100%, $E$13)</f>
        <v>15.9649</v>
      </c>
      <c r="C932" s="63">
        <f>15.9649 * CHOOSE(CONTROL!$C$22, $C$13, 100%, $E$13)</f>
        <v>15.9649</v>
      </c>
      <c r="D932" s="63">
        <f>15.9649 * CHOOSE(CONTROL!$C$22, $C$13, 100%, $E$13)</f>
        <v>15.9649</v>
      </c>
      <c r="E932" s="64">
        <f>18.2481 * CHOOSE(CONTROL!$C$22, $C$13, 100%, $E$13)</f>
        <v>18.248100000000001</v>
      </c>
      <c r="F932" s="64">
        <f>18.2481 * CHOOSE(CONTROL!$C$22, $C$13, 100%, $E$13)</f>
        <v>18.248100000000001</v>
      </c>
      <c r="G932" s="64">
        <f>18.2482 * CHOOSE(CONTROL!$C$22, $C$13, 100%, $E$13)</f>
        <v>18.248200000000001</v>
      </c>
      <c r="H932" s="64">
        <f>31.2031* CHOOSE(CONTROL!$C$22, $C$13, 100%, $E$13)</f>
        <v>31.203099999999999</v>
      </c>
      <c r="I932" s="64">
        <f>31.2032 * CHOOSE(CONTROL!$C$22, $C$13, 100%, $E$13)</f>
        <v>31.203199999999999</v>
      </c>
      <c r="J932" s="64">
        <f>18.2481 * CHOOSE(CONTROL!$C$22, $C$13, 100%, $E$13)</f>
        <v>18.248100000000001</v>
      </c>
      <c r="K932" s="64">
        <f>18.2482 * CHOOSE(CONTROL!$C$22, $C$13, 100%, $E$13)</f>
        <v>18.248200000000001</v>
      </c>
    </row>
    <row r="933" spans="1:11" ht="15">
      <c r="A933" s="13">
        <v>69884</v>
      </c>
      <c r="B933" s="63">
        <f>15.9649 * CHOOSE(CONTROL!$C$22, $C$13, 100%, $E$13)</f>
        <v>15.9649</v>
      </c>
      <c r="C933" s="63">
        <f>15.9649 * CHOOSE(CONTROL!$C$22, $C$13, 100%, $E$13)</f>
        <v>15.9649</v>
      </c>
      <c r="D933" s="63">
        <f>15.9733 * CHOOSE(CONTROL!$C$22, $C$13, 100%, $E$13)</f>
        <v>15.9733</v>
      </c>
      <c r="E933" s="64">
        <f>18.351 * CHOOSE(CONTROL!$C$22, $C$13, 100%, $E$13)</f>
        <v>18.350999999999999</v>
      </c>
      <c r="F933" s="64">
        <f>18.351 * CHOOSE(CONTROL!$C$22, $C$13, 100%, $E$13)</f>
        <v>18.350999999999999</v>
      </c>
      <c r="G933" s="64">
        <f>18.3612 * CHOOSE(CONTROL!$C$22, $C$13, 100%, $E$13)</f>
        <v>18.3612</v>
      </c>
      <c r="H933" s="64">
        <f>31.2681* CHOOSE(CONTROL!$C$22, $C$13, 100%, $E$13)</f>
        <v>31.2681</v>
      </c>
      <c r="I933" s="64">
        <f>31.2784 * CHOOSE(CONTROL!$C$22, $C$13, 100%, $E$13)</f>
        <v>31.278400000000001</v>
      </c>
      <c r="J933" s="64">
        <f>18.351 * CHOOSE(CONTROL!$C$22, $C$13, 100%, $E$13)</f>
        <v>18.350999999999999</v>
      </c>
      <c r="K933" s="64">
        <f>18.3612 * CHOOSE(CONTROL!$C$22, $C$13, 100%, $E$13)</f>
        <v>18.3612</v>
      </c>
    </row>
    <row r="934" spans="1:11" ht="15">
      <c r="A934" s="13">
        <v>69915</v>
      </c>
      <c r="B934" s="63">
        <f>15.971 * CHOOSE(CONTROL!$C$22, $C$13, 100%, $E$13)</f>
        <v>15.971</v>
      </c>
      <c r="C934" s="63">
        <f>15.971 * CHOOSE(CONTROL!$C$22, $C$13, 100%, $E$13)</f>
        <v>15.971</v>
      </c>
      <c r="D934" s="63">
        <f>15.9794 * CHOOSE(CONTROL!$C$22, $C$13, 100%, $E$13)</f>
        <v>15.9794</v>
      </c>
      <c r="E934" s="64">
        <f>18.2523 * CHOOSE(CONTROL!$C$22, $C$13, 100%, $E$13)</f>
        <v>18.252300000000002</v>
      </c>
      <c r="F934" s="64">
        <f>18.2523 * CHOOSE(CONTROL!$C$22, $C$13, 100%, $E$13)</f>
        <v>18.252300000000002</v>
      </c>
      <c r="G934" s="64">
        <f>18.2625 * CHOOSE(CONTROL!$C$22, $C$13, 100%, $E$13)</f>
        <v>18.262499999999999</v>
      </c>
      <c r="H934" s="64">
        <f>31.3333* CHOOSE(CONTROL!$C$22, $C$13, 100%, $E$13)</f>
        <v>31.333300000000001</v>
      </c>
      <c r="I934" s="64">
        <f>31.3435 * CHOOSE(CONTROL!$C$22, $C$13, 100%, $E$13)</f>
        <v>31.343499999999999</v>
      </c>
      <c r="J934" s="64">
        <f>18.2523 * CHOOSE(CONTROL!$C$22, $C$13, 100%, $E$13)</f>
        <v>18.252300000000002</v>
      </c>
      <c r="K934" s="64">
        <f>18.2625 * CHOOSE(CONTROL!$C$22, $C$13, 100%, $E$13)</f>
        <v>18.262499999999999</v>
      </c>
    </row>
    <row r="935" spans="1:11" ht="15">
      <c r="A935" s="13">
        <v>69945</v>
      </c>
      <c r="B935" s="63">
        <f>16.2119 * CHOOSE(CONTROL!$C$22, $C$13, 100%, $E$13)</f>
        <v>16.2119</v>
      </c>
      <c r="C935" s="63">
        <f>16.2119 * CHOOSE(CONTROL!$C$22, $C$13, 100%, $E$13)</f>
        <v>16.2119</v>
      </c>
      <c r="D935" s="63">
        <f>16.2203 * CHOOSE(CONTROL!$C$22, $C$13, 100%, $E$13)</f>
        <v>16.220300000000002</v>
      </c>
      <c r="E935" s="64">
        <f>18.5411 * CHOOSE(CONTROL!$C$22, $C$13, 100%, $E$13)</f>
        <v>18.5411</v>
      </c>
      <c r="F935" s="64">
        <f>18.5411 * CHOOSE(CONTROL!$C$22, $C$13, 100%, $E$13)</f>
        <v>18.5411</v>
      </c>
      <c r="G935" s="64">
        <f>18.5513 * CHOOSE(CONTROL!$C$22, $C$13, 100%, $E$13)</f>
        <v>18.551300000000001</v>
      </c>
      <c r="H935" s="64">
        <f>31.3986* CHOOSE(CONTROL!$C$22, $C$13, 100%, $E$13)</f>
        <v>31.398599999999998</v>
      </c>
      <c r="I935" s="64">
        <f>31.4088 * CHOOSE(CONTROL!$C$22, $C$13, 100%, $E$13)</f>
        <v>31.408799999999999</v>
      </c>
      <c r="J935" s="64">
        <f>18.5411 * CHOOSE(CONTROL!$C$22, $C$13, 100%, $E$13)</f>
        <v>18.5411</v>
      </c>
      <c r="K935" s="64">
        <f>18.5513 * CHOOSE(CONTROL!$C$22, $C$13, 100%, $E$13)</f>
        <v>18.551300000000001</v>
      </c>
    </row>
    <row r="936" spans="1:11" ht="15">
      <c r="A936" s="13">
        <v>69976</v>
      </c>
      <c r="B936" s="63">
        <f>16.2185 * CHOOSE(CONTROL!$C$22, $C$13, 100%, $E$13)</f>
        <v>16.218499999999999</v>
      </c>
      <c r="C936" s="63">
        <f>16.2185 * CHOOSE(CONTROL!$C$22, $C$13, 100%, $E$13)</f>
        <v>16.218499999999999</v>
      </c>
      <c r="D936" s="63">
        <f>16.227 * CHOOSE(CONTROL!$C$22, $C$13, 100%, $E$13)</f>
        <v>16.227</v>
      </c>
      <c r="E936" s="64">
        <f>18.237 * CHOOSE(CONTROL!$C$22, $C$13, 100%, $E$13)</f>
        <v>18.236999999999998</v>
      </c>
      <c r="F936" s="64">
        <f>18.237 * CHOOSE(CONTROL!$C$22, $C$13, 100%, $E$13)</f>
        <v>18.236999999999998</v>
      </c>
      <c r="G936" s="64">
        <f>18.2473 * CHOOSE(CONTROL!$C$22, $C$13, 100%, $E$13)</f>
        <v>18.247299999999999</v>
      </c>
      <c r="H936" s="64">
        <f>31.464* CHOOSE(CONTROL!$C$22, $C$13, 100%, $E$13)</f>
        <v>31.463999999999999</v>
      </c>
      <c r="I936" s="64">
        <f>31.4742 * CHOOSE(CONTROL!$C$22, $C$13, 100%, $E$13)</f>
        <v>31.4742</v>
      </c>
      <c r="J936" s="64">
        <f>18.237 * CHOOSE(CONTROL!$C$22, $C$13, 100%, $E$13)</f>
        <v>18.236999999999998</v>
      </c>
      <c r="K936" s="64">
        <f>18.2473 * CHOOSE(CONTROL!$C$22, $C$13, 100%, $E$13)</f>
        <v>18.247299999999999</v>
      </c>
    </row>
    <row r="937" spans="1:11" ht="15">
      <c r="A937" s="13">
        <v>70007</v>
      </c>
      <c r="B937" s="63">
        <f>16.2155 * CHOOSE(CONTROL!$C$22, $C$13, 100%, $E$13)</f>
        <v>16.215499999999999</v>
      </c>
      <c r="C937" s="63">
        <f>16.2155 * CHOOSE(CONTROL!$C$22, $C$13, 100%, $E$13)</f>
        <v>16.215499999999999</v>
      </c>
      <c r="D937" s="63">
        <f>16.2239 * CHOOSE(CONTROL!$C$22, $C$13, 100%, $E$13)</f>
        <v>16.2239</v>
      </c>
      <c r="E937" s="64">
        <f>18.2006 * CHOOSE(CONTROL!$C$22, $C$13, 100%, $E$13)</f>
        <v>18.200600000000001</v>
      </c>
      <c r="F937" s="64">
        <f>18.2006 * CHOOSE(CONTROL!$C$22, $C$13, 100%, $E$13)</f>
        <v>18.200600000000001</v>
      </c>
      <c r="G937" s="64">
        <f>18.2108 * CHOOSE(CONTROL!$C$22, $C$13, 100%, $E$13)</f>
        <v>18.210799999999999</v>
      </c>
      <c r="H937" s="64">
        <f>31.5295* CHOOSE(CONTROL!$C$22, $C$13, 100%, $E$13)</f>
        <v>31.529499999999999</v>
      </c>
      <c r="I937" s="64">
        <f>31.5398 * CHOOSE(CONTROL!$C$22, $C$13, 100%, $E$13)</f>
        <v>31.5398</v>
      </c>
      <c r="J937" s="64">
        <f>18.2006 * CHOOSE(CONTROL!$C$22, $C$13, 100%, $E$13)</f>
        <v>18.200600000000001</v>
      </c>
      <c r="K937" s="64">
        <f>18.2108 * CHOOSE(CONTROL!$C$22, $C$13, 100%, $E$13)</f>
        <v>18.210799999999999</v>
      </c>
    </row>
    <row r="938" spans="1:11" ht="15">
      <c r="A938" s="13">
        <v>70037</v>
      </c>
      <c r="B938" s="63">
        <f>16.2498 * CHOOSE(CONTROL!$C$22, $C$13, 100%, $E$13)</f>
        <v>16.2498</v>
      </c>
      <c r="C938" s="63">
        <f>16.2498 * CHOOSE(CONTROL!$C$22, $C$13, 100%, $E$13)</f>
        <v>16.2498</v>
      </c>
      <c r="D938" s="63">
        <f>16.2498 * CHOOSE(CONTROL!$C$22, $C$13, 100%, $E$13)</f>
        <v>16.2498</v>
      </c>
      <c r="E938" s="64">
        <f>18.3244 * CHOOSE(CONTROL!$C$22, $C$13, 100%, $E$13)</f>
        <v>18.324400000000001</v>
      </c>
      <c r="F938" s="64">
        <f>18.3244 * CHOOSE(CONTROL!$C$22, $C$13, 100%, $E$13)</f>
        <v>18.324400000000001</v>
      </c>
      <c r="G938" s="64">
        <f>18.3245 * CHOOSE(CONTROL!$C$22, $C$13, 100%, $E$13)</f>
        <v>18.3245</v>
      </c>
      <c r="H938" s="64">
        <f>31.5952* CHOOSE(CONTROL!$C$22, $C$13, 100%, $E$13)</f>
        <v>31.595199999999998</v>
      </c>
      <c r="I938" s="64">
        <f>31.5953 * CHOOSE(CONTROL!$C$22, $C$13, 100%, $E$13)</f>
        <v>31.595300000000002</v>
      </c>
      <c r="J938" s="64">
        <f>18.3244 * CHOOSE(CONTROL!$C$22, $C$13, 100%, $E$13)</f>
        <v>18.324400000000001</v>
      </c>
      <c r="K938" s="64">
        <f>18.3245 * CHOOSE(CONTROL!$C$22, $C$13, 100%, $E$13)</f>
        <v>18.3245</v>
      </c>
    </row>
    <row r="939" spans="1:11" ht="15">
      <c r="A939" s="13">
        <v>70068</v>
      </c>
      <c r="B939" s="63">
        <f>16.2529 * CHOOSE(CONTROL!$C$22, $C$13, 100%, $E$13)</f>
        <v>16.2529</v>
      </c>
      <c r="C939" s="63">
        <f>16.2529 * CHOOSE(CONTROL!$C$22, $C$13, 100%, $E$13)</f>
        <v>16.2529</v>
      </c>
      <c r="D939" s="63">
        <f>16.2529 * CHOOSE(CONTROL!$C$22, $C$13, 100%, $E$13)</f>
        <v>16.2529</v>
      </c>
      <c r="E939" s="64">
        <f>18.3951 * CHOOSE(CONTROL!$C$22, $C$13, 100%, $E$13)</f>
        <v>18.395099999999999</v>
      </c>
      <c r="F939" s="64">
        <f>18.3951 * CHOOSE(CONTROL!$C$22, $C$13, 100%, $E$13)</f>
        <v>18.395099999999999</v>
      </c>
      <c r="G939" s="64">
        <f>18.3952 * CHOOSE(CONTROL!$C$22, $C$13, 100%, $E$13)</f>
        <v>18.395199999999999</v>
      </c>
      <c r="H939" s="64">
        <f>31.661* CHOOSE(CONTROL!$C$22, $C$13, 100%, $E$13)</f>
        <v>31.661000000000001</v>
      </c>
      <c r="I939" s="64">
        <f>31.6611 * CHOOSE(CONTROL!$C$22, $C$13, 100%, $E$13)</f>
        <v>31.661100000000001</v>
      </c>
      <c r="J939" s="64">
        <f>18.3951 * CHOOSE(CONTROL!$C$22, $C$13, 100%, $E$13)</f>
        <v>18.395099999999999</v>
      </c>
      <c r="K939" s="64">
        <f>18.3952 * CHOOSE(CONTROL!$C$22, $C$13, 100%, $E$13)</f>
        <v>18.395199999999999</v>
      </c>
    </row>
    <row r="940" spans="1:11" ht="15">
      <c r="A940" s="13">
        <v>70098</v>
      </c>
      <c r="B940" s="63">
        <f>16.2529 * CHOOSE(CONTROL!$C$22, $C$13, 100%, $E$13)</f>
        <v>16.2529</v>
      </c>
      <c r="C940" s="63">
        <f>16.2529 * CHOOSE(CONTROL!$C$22, $C$13, 100%, $E$13)</f>
        <v>16.2529</v>
      </c>
      <c r="D940" s="63">
        <f>16.2529 * CHOOSE(CONTROL!$C$22, $C$13, 100%, $E$13)</f>
        <v>16.2529</v>
      </c>
      <c r="E940" s="64">
        <f>18.2236 * CHOOSE(CONTROL!$C$22, $C$13, 100%, $E$13)</f>
        <v>18.223600000000001</v>
      </c>
      <c r="F940" s="64">
        <f>18.2236 * CHOOSE(CONTROL!$C$22, $C$13, 100%, $E$13)</f>
        <v>18.223600000000001</v>
      </c>
      <c r="G940" s="64">
        <f>18.2237 * CHOOSE(CONTROL!$C$22, $C$13, 100%, $E$13)</f>
        <v>18.223700000000001</v>
      </c>
      <c r="H940" s="64">
        <f>31.727* CHOOSE(CONTROL!$C$22, $C$13, 100%, $E$13)</f>
        <v>31.727</v>
      </c>
      <c r="I940" s="64">
        <f>31.7271 * CHOOSE(CONTROL!$C$22, $C$13, 100%, $E$13)</f>
        <v>31.7271</v>
      </c>
      <c r="J940" s="64">
        <f>18.2236 * CHOOSE(CONTROL!$C$22, $C$13, 100%, $E$13)</f>
        <v>18.223600000000001</v>
      </c>
      <c r="K940" s="64">
        <f>18.2237 * CHOOSE(CONTROL!$C$22, $C$13, 100%, $E$13)</f>
        <v>18.223700000000001</v>
      </c>
    </row>
    <row r="941" spans="1:11" ht="15">
      <c r="A941" s="13">
        <v>70129</v>
      </c>
      <c r="B941" s="63">
        <f>16.1989 * CHOOSE(CONTROL!$C$22, $C$13, 100%, $E$13)</f>
        <v>16.198899999999998</v>
      </c>
      <c r="C941" s="63">
        <f>16.1989 * CHOOSE(CONTROL!$C$22, $C$13, 100%, $E$13)</f>
        <v>16.198899999999998</v>
      </c>
      <c r="D941" s="63">
        <f>16.1989 * CHOOSE(CONTROL!$C$22, $C$13, 100%, $E$13)</f>
        <v>16.198899999999998</v>
      </c>
      <c r="E941" s="64">
        <f>18.3055 * CHOOSE(CONTROL!$C$22, $C$13, 100%, $E$13)</f>
        <v>18.305499999999999</v>
      </c>
      <c r="F941" s="64">
        <f>18.3055 * CHOOSE(CONTROL!$C$22, $C$13, 100%, $E$13)</f>
        <v>18.305499999999999</v>
      </c>
      <c r="G941" s="64">
        <f>18.3056 * CHOOSE(CONTROL!$C$22, $C$13, 100%, $E$13)</f>
        <v>18.305599999999998</v>
      </c>
      <c r="H941" s="64">
        <f>31.4548* CHOOSE(CONTROL!$C$22, $C$13, 100%, $E$13)</f>
        <v>31.454799999999999</v>
      </c>
      <c r="I941" s="64">
        <f>31.4549 * CHOOSE(CONTROL!$C$22, $C$13, 100%, $E$13)</f>
        <v>31.454899999999999</v>
      </c>
      <c r="J941" s="64">
        <f>18.3055 * CHOOSE(CONTROL!$C$22, $C$13, 100%, $E$13)</f>
        <v>18.305499999999999</v>
      </c>
      <c r="K941" s="64">
        <f>18.3056 * CHOOSE(CONTROL!$C$22, $C$13, 100%, $E$13)</f>
        <v>18.305599999999998</v>
      </c>
    </row>
    <row r="942" spans="1:11" ht="15">
      <c r="A942" s="13">
        <v>70160</v>
      </c>
      <c r="B942" s="63">
        <f>16.1958 * CHOOSE(CONTROL!$C$22, $C$13, 100%, $E$13)</f>
        <v>16.195799999999998</v>
      </c>
      <c r="C942" s="63">
        <f>16.1958 * CHOOSE(CONTROL!$C$22, $C$13, 100%, $E$13)</f>
        <v>16.195799999999998</v>
      </c>
      <c r="D942" s="63">
        <f>16.1958 * CHOOSE(CONTROL!$C$22, $C$13, 100%, $E$13)</f>
        <v>16.195799999999998</v>
      </c>
      <c r="E942" s="64">
        <f>17.9743 * CHOOSE(CONTROL!$C$22, $C$13, 100%, $E$13)</f>
        <v>17.974299999999999</v>
      </c>
      <c r="F942" s="64">
        <f>17.9743 * CHOOSE(CONTROL!$C$22, $C$13, 100%, $E$13)</f>
        <v>17.974299999999999</v>
      </c>
      <c r="G942" s="64">
        <f>17.9744 * CHOOSE(CONTROL!$C$22, $C$13, 100%, $E$13)</f>
        <v>17.974399999999999</v>
      </c>
      <c r="H942" s="64">
        <f>31.5204* CHOOSE(CONTROL!$C$22, $C$13, 100%, $E$13)</f>
        <v>31.520399999999999</v>
      </c>
      <c r="I942" s="64">
        <f>31.5204 * CHOOSE(CONTROL!$C$22, $C$13, 100%, $E$13)</f>
        <v>31.520399999999999</v>
      </c>
      <c r="J942" s="64">
        <f>17.9743 * CHOOSE(CONTROL!$C$22, $C$13, 100%, $E$13)</f>
        <v>17.974299999999999</v>
      </c>
      <c r="K942" s="64">
        <f>17.9744 * CHOOSE(CONTROL!$C$22, $C$13, 100%, $E$13)</f>
        <v>17.974399999999999</v>
      </c>
    </row>
    <row r="943" spans="1:11" ht="15">
      <c r="A943" s="13">
        <v>70189</v>
      </c>
      <c r="B943" s="63">
        <f>16.1928 * CHOOSE(CONTROL!$C$22, $C$13, 100%, $E$13)</f>
        <v>16.192799999999998</v>
      </c>
      <c r="C943" s="63">
        <f>16.1928 * CHOOSE(CONTROL!$C$22, $C$13, 100%, $E$13)</f>
        <v>16.192799999999998</v>
      </c>
      <c r="D943" s="63">
        <f>16.1928 * CHOOSE(CONTROL!$C$22, $C$13, 100%, $E$13)</f>
        <v>16.192799999999998</v>
      </c>
      <c r="E943" s="64">
        <f>18.2316 * CHOOSE(CONTROL!$C$22, $C$13, 100%, $E$13)</f>
        <v>18.2316</v>
      </c>
      <c r="F943" s="64">
        <f>18.2316 * CHOOSE(CONTROL!$C$22, $C$13, 100%, $E$13)</f>
        <v>18.2316</v>
      </c>
      <c r="G943" s="64">
        <f>18.2317 * CHOOSE(CONTROL!$C$22, $C$13, 100%, $E$13)</f>
        <v>18.2317</v>
      </c>
      <c r="H943" s="64">
        <f>31.586* CHOOSE(CONTROL!$C$22, $C$13, 100%, $E$13)</f>
        <v>31.585999999999999</v>
      </c>
      <c r="I943" s="64">
        <f>31.5861 * CHOOSE(CONTROL!$C$22, $C$13, 100%, $E$13)</f>
        <v>31.586099999999998</v>
      </c>
      <c r="J943" s="64">
        <f>18.2316 * CHOOSE(CONTROL!$C$22, $C$13, 100%, $E$13)</f>
        <v>18.2316</v>
      </c>
      <c r="K943" s="64">
        <f>18.2317 * CHOOSE(CONTROL!$C$22, $C$13, 100%, $E$13)</f>
        <v>18.2317</v>
      </c>
    </row>
    <row r="944" spans="1:11" ht="15">
      <c r="A944" s="13">
        <v>70220</v>
      </c>
      <c r="B944" s="63">
        <f>16.2006 * CHOOSE(CONTROL!$C$22, $C$13, 100%, $E$13)</f>
        <v>16.200600000000001</v>
      </c>
      <c r="C944" s="63">
        <f>16.2006 * CHOOSE(CONTROL!$C$22, $C$13, 100%, $E$13)</f>
        <v>16.200600000000001</v>
      </c>
      <c r="D944" s="63">
        <f>16.2006 * CHOOSE(CONTROL!$C$22, $C$13, 100%, $E$13)</f>
        <v>16.200600000000001</v>
      </c>
      <c r="E944" s="64">
        <f>18.5059 * CHOOSE(CONTROL!$C$22, $C$13, 100%, $E$13)</f>
        <v>18.5059</v>
      </c>
      <c r="F944" s="64">
        <f>18.5059 * CHOOSE(CONTROL!$C$22, $C$13, 100%, $E$13)</f>
        <v>18.5059</v>
      </c>
      <c r="G944" s="64">
        <f>18.506 * CHOOSE(CONTROL!$C$22, $C$13, 100%, $E$13)</f>
        <v>18.506</v>
      </c>
      <c r="H944" s="64">
        <f>31.6518* CHOOSE(CONTROL!$C$22, $C$13, 100%, $E$13)</f>
        <v>31.651800000000001</v>
      </c>
      <c r="I944" s="64">
        <f>31.6519 * CHOOSE(CONTROL!$C$22, $C$13, 100%, $E$13)</f>
        <v>31.651900000000001</v>
      </c>
      <c r="J944" s="64">
        <f>18.5059 * CHOOSE(CONTROL!$C$22, $C$13, 100%, $E$13)</f>
        <v>18.5059</v>
      </c>
      <c r="K944" s="64">
        <f>18.506 * CHOOSE(CONTROL!$C$22, $C$13, 100%, $E$13)</f>
        <v>18.506</v>
      </c>
    </row>
    <row r="945" spans="1:11" ht="15">
      <c r="A945" s="13">
        <v>70250</v>
      </c>
      <c r="B945" s="63">
        <f>16.2006 * CHOOSE(CONTROL!$C$22, $C$13, 100%, $E$13)</f>
        <v>16.200600000000001</v>
      </c>
      <c r="C945" s="63">
        <f>16.2006 * CHOOSE(CONTROL!$C$22, $C$13, 100%, $E$13)</f>
        <v>16.200600000000001</v>
      </c>
      <c r="D945" s="63">
        <f>16.2091 * CHOOSE(CONTROL!$C$22, $C$13, 100%, $E$13)</f>
        <v>16.209099999999999</v>
      </c>
      <c r="E945" s="64">
        <f>18.6104 * CHOOSE(CONTROL!$C$22, $C$13, 100%, $E$13)</f>
        <v>18.610399999999998</v>
      </c>
      <c r="F945" s="64">
        <f>18.6104 * CHOOSE(CONTROL!$C$22, $C$13, 100%, $E$13)</f>
        <v>18.610399999999998</v>
      </c>
      <c r="G945" s="64">
        <f>18.6206 * CHOOSE(CONTROL!$C$22, $C$13, 100%, $E$13)</f>
        <v>18.6206</v>
      </c>
      <c r="H945" s="64">
        <f>31.7178* CHOOSE(CONTROL!$C$22, $C$13, 100%, $E$13)</f>
        <v>31.7178</v>
      </c>
      <c r="I945" s="64">
        <f>31.728 * CHOOSE(CONTROL!$C$22, $C$13, 100%, $E$13)</f>
        <v>31.728000000000002</v>
      </c>
      <c r="J945" s="64">
        <f>18.6104 * CHOOSE(CONTROL!$C$22, $C$13, 100%, $E$13)</f>
        <v>18.610399999999998</v>
      </c>
      <c r="K945" s="64">
        <f>18.6206 * CHOOSE(CONTROL!$C$22, $C$13, 100%, $E$13)</f>
        <v>18.6206</v>
      </c>
    </row>
    <row r="946" spans="1:11" ht="15">
      <c r="A946" s="13">
        <v>70281</v>
      </c>
      <c r="B946" s="63">
        <f>16.2067 * CHOOSE(CONTROL!$C$22, $C$13, 100%, $E$13)</f>
        <v>16.206700000000001</v>
      </c>
      <c r="C946" s="63">
        <f>16.2067 * CHOOSE(CONTROL!$C$22, $C$13, 100%, $E$13)</f>
        <v>16.206700000000001</v>
      </c>
      <c r="D946" s="63">
        <f>16.2152 * CHOOSE(CONTROL!$C$22, $C$13, 100%, $E$13)</f>
        <v>16.215199999999999</v>
      </c>
      <c r="E946" s="64">
        <f>18.5102 * CHOOSE(CONTROL!$C$22, $C$13, 100%, $E$13)</f>
        <v>18.510200000000001</v>
      </c>
      <c r="F946" s="64">
        <f>18.5102 * CHOOSE(CONTROL!$C$22, $C$13, 100%, $E$13)</f>
        <v>18.510200000000001</v>
      </c>
      <c r="G946" s="64">
        <f>18.5204 * CHOOSE(CONTROL!$C$22, $C$13, 100%, $E$13)</f>
        <v>18.520399999999999</v>
      </c>
      <c r="H946" s="64">
        <f>31.7838* CHOOSE(CONTROL!$C$22, $C$13, 100%, $E$13)</f>
        <v>31.783799999999999</v>
      </c>
      <c r="I946" s="64">
        <f>31.7941 * CHOOSE(CONTROL!$C$22, $C$13, 100%, $E$13)</f>
        <v>31.7941</v>
      </c>
      <c r="J946" s="64">
        <f>18.5102 * CHOOSE(CONTROL!$C$22, $C$13, 100%, $E$13)</f>
        <v>18.510200000000001</v>
      </c>
      <c r="K946" s="64">
        <f>18.5204 * CHOOSE(CONTROL!$C$22, $C$13, 100%, $E$13)</f>
        <v>18.520399999999999</v>
      </c>
    </row>
    <row r="947" spans="1:11" ht="15">
      <c r="A947" s="13">
        <v>70311</v>
      </c>
      <c r="B947" s="63">
        <f>16.451 * CHOOSE(CONTROL!$C$22, $C$13, 100%, $E$13)</f>
        <v>16.451000000000001</v>
      </c>
      <c r="C947" s="63">
        <f>16.451 * CHOOSE(CONTROL!$C$22, $C$13, 100%, $E$13)</f>
        <v>16.451000000000001</v>
      </c>
      <c r="D947" s="63">
        <f>16.4595 * CHOOSE(CONTROL!$C$22, $C$13, 100%, $E$13)</f>
        <v>16.459499999999998</v>
      </c>
      <c r="E947" s="64">
        <f>18.8029 * CHOOSE(CONTROL!$C$22, $C$13, 100%, $E$13)</f>
        <v>18.802900000000001</v>
      </c>
      <c r="F947" s="64">
        <f>18.8029 * CHOOSE(CONTROL!$C$22, $C$13, 100%, $E$13)</f>
        <v>18.802900000000001</v>
      </c>
      <c r="G947" s="64">
        <f>18.8131 * CHOOSE(CONTROL!$C$22, $C$13, 100%, $E$13)</f>
        <v>18.813099999999999</v>
      </c>
      <c r="H947" s="64">
        <f>31.8501* CHOOSE(CONTROL!$C$22, $C$13, 100%, $E$13)</f>
        <v>31.850100000000001</v>
      </c>
      <c r="I947" s="64">
        <f>31.8603 * CHOOSE(CONTROL!$C$22, $C$13, 100%, $E$13)</f>
        <v>31.860299999999999</v>
      </c>
      <c r="J947" s="64">
        <f>18.8029 * CHOOSE(CONTROL!$C$22, $C$13, 100%, $E$13)</f>
        <v>18.802900000000001</v>
      </c>
      <c r="K947" s="64">
        <f>18.8131 * CHOOSE(CONTROL!$C$22, $C$13, 100%, $E$13)</f>
        <v>18.813099999999999</v>
      </c>
    </row>
    <row r="948" spans="1:11" ht="15">
      <c r="A948" s="13">
        <v>70342</v>
      </c>
      <c r="B948" s="63">
        <f>16.4577 * CHOOSE(CONTROL!$C$22, $C$13, 100%, $E$13)</f>
        <v>16.457699999999999</v>
      </c>
      <c r="C948" s="63">
        <f>16.4577 * CHOOSE(CONTROL!$C$22, $C$13, 100%, $E$13)</f>
        <v>16.457699999999999</v>
      </c>
      <c r="D948" s="63">
        <f>16.4662 * CHOOSE(CONTROL!$C$22, $C$13, 100%, $E$13)</f>
        <v>16.466200000000001</v>
      </c>
      <c r="E948" s="64">
        <f>18.4941 * CHOOSE(CONTROL!$C$22, $C$13, 100%, $E$13)</f>
        <v>18.4941</v>
      </c>
      <c r="F948" s="64">
        <f>18.4941 * CHOOSE(CONTROL!$C$22, $C$13, 100%, $E$13)</f>
        <v>18.4941</v>
      </c>
      <c r="G948" s="64">
        <f>18.5043 * CHOOSE(CONTROL!$C$22, $C$13, 100%, $E$13)</f>
        <v>18.504300000000001</v>
      </c>
      <c r="H948" s="64">
        <f>31.9164* CHOOSE(CONTROL!$C$22, $C$13, 100%, $E$13)</f>
        <v>31.916399999999999</v>
      </c>
      <c r="I948" s="64">
        <f>31.9266 * CHOOSE(CONTROL!$C$22, $C$13, 100%, $E$13)</f>
        <v>31.926600000000001</v>
      </c>
      <c r="J948" s="64">
        <f>18.4941 * CHOOSE(CONTROL!$C$22, $C$13, 100%, $E$13)</f>
        <v>18.4941</v>
      </c>
      <c r="K948" s="64">
        <f>18.5043 * CHOOSE(CONTROL!$C$22, $C$13, 100%, $E$13)</f>
        <v>18.504300000000001</v>
      </c>
    </row>
    <row r="949" spans="1:11" ht="15">
      <c r="A949" s="13">
        <v>70373</v>
      </c>
      <c r="B949" s="63">
        <f>16.4547 * CHOOSE(CONTROL!$C$22, $C$13, 100%, $E$13)</f>
        <v>16.454699999999999</v>
      </c>
      <c r="C949" s="63">
        <f>16.4547 * CHOOSE(CONTROL!$C$22, $C$13, 100%, $E$13)</f>
        <v>16.454699999999999</v>
      </c>
      <c r="D949" s="63">
        <f>16.4631 * CHOOSE(CONTROL!$C$22, $C$13, 100%, $E$13)</f>
        <v>16.463100000000001</v>
      </c>
      <c r="E949" s="64">
        <f>18.4572 * CHOOSE(CONTROL!$C$22, $C$13, 100%, $E$13)</f>
        <v>18.4572</v>
      </c>
      <c r="F949" s="64">
        <f>18.4572 * CHOOSE(CONTROL!$C$22, $C$13, 100%, $E$13)</f>
        <v>18.4572</v>
      </c>
      <c r="G949" s="64">
        <f>18.4674 * CHOOSE(CONTROL!$C$22, $C$13, 100%, $E$13)</f>
        <v>18.467400000000001</v>
      </c>
      <c r="H949" s="64">
        <f>31.9829* CHOOSE(CONTROL!$C$22, $C$13, 100%, $E$13)</f>
        <v>31.982900000000001</v>
      </c>
      <c r="I949" s="64">
        <f>31.9931 * CHOOSE(CONTROL!$C$22, $C$13, 100%, $E$13)</f>
        <v>31.993099999999998</v>
      </c>
      <c r="J949" s="64">
        <f>18.4572 * CHOOSE(CONTROL!$C$22, $C$13, 100%, $E$13)</f>
        <v>18.4572</v>
      </c>
      <c r="K949" s="64">
        <f>18.4674 * CHOOSE(CONTROL!$C$22, $C$13, 100%, $E$13)</f>
        <v>18.467400000000001</v>
      </c>
    </row>
    <row r="950" spans="1:11" ht="15">
      <c r="A950" s="13">
        <v>70403</v>
      </c>
      <c r="B950" s="63">
        <f>16.4898 * CHOOSE(CONTROL!$C$22, $C$13, 100%, $E$13)</f>
        <v>16.489799999999999</v>
      </c>
      <c r="C950" s="63">
        <f>16.4898 * CHOOSE(CONTROL!$C$22, $C$13, 100%, $E$13)</f>
        <v>16.489799999999999</v>
      </c>
      <c r="D950" s="63">
        <f>16.4898 * CHOOSE(CONTROL!$C$22, $C$13, 100%, $E$13)</f>
        <v>16.489799999999999</v>
      </c>
      <c r="E950" s="64">
        <f>18.583 * CHOOSE(CONTROL!$C$22, $C$13, 100%, $E$13)</f>
        <v>18.582999999999998</v>
      </c>
      <c r="F950" s="64">
        <f>18.583 * CHOOSE(CONTROL!$C$22, $C$13, 100%, $E$13)</f>
        <v>18.582999999999998</v>
      </c>
      <c r="G950" s="64">
        <f>18.5831 * CHOOSE(CONTROL!$C$22, $C$13, 100%, $E$13)</f>
        <v>18.583100000000002</v>
      </c>
      <c r="H950" s="64">
        <f>32.0495* CHOOSE(CONTROL!$C$22, $C$13, 100%, $E$13)</f>
        <v>32.049500000000002</v>
      </c>
      <c r="I950" s="64">
        <f>32.0496 * CHOOSE(CONTROL!$C$22, $C$13, 100%, $E$13)</f>
        <v>32.049599999999998</v>
      </c>
      <c r="J950" s="64">
        <f>18.583 * CHOOSE(CONTROL!$C$22, $C$13, 100%, $E$13)</f>
        <v>18.582999999999998</v>
      </c>
      <c r="K950" s="64">
        <f>18.5831 * CHOOSE(CONTROL!$C$22, $C$13, 100%, $E$13)</f>
        <v>18.583100000000002</v>
      </c>
    </row>
    <row r="951" spans="1:11" ht="15">
      <c r="A951" s="13">
        <v>70434</v>
      </c>
      <c r="B951" s="63">
        <f>16.4928 * CHOOSE(CONTROL!$C$22, $C$13, 100%, $E$13)</f>
        <v>16.492799999999999</v>
      </c>
      <c r="C951" s="63">
        <f>16.4928 * CHOOSE(CONTROL!$C$22, $C$13, 100%, $E$13)</f>
        <v>16.492799999999999</v>
      </c>
      <c r="D951" s="63">
        <f>16.4928 * CHOOSE(CONTROL!$C$22, $C$13, 100%, $E$13)</f>
        <v>16.492799999999999</v>
      </c>
      <c r="E951" s="64">
        <f>18.6548 * CHOOSE(CONTROL!$C$22, $C$13, 100%, $E$13)</f>
        <v>18.654800000000002</v>
      </c>
      <c r="F951" s="64">
        <f>18.6548 * CHOOSE(CONTROL!$C$22, $C$13, 100%, $E$13)</f>
        <v>18.654800000000002</v>
      </c>
      <c r="G951" s="64">
        <f>18.6549 * CHOOSE(CONTROL!$C$22, $C$13, 100%, $E$13)</f>
        <v>18.654900000000001</v>
      </c>
      <c r="H951" s="64">
        <f>32.1163* CHOOSE(CONTROL!$C$22, $C$13, 100%, $E$13)</f>
        <v>32.116300000000003</v>
      </c>
      <c r="I951" s="64">
        <f>32.1164 * CHOOSE(CONTROL!$C$22, $C$13, 100%, $E$13)</f>
        <v>32.116399999999999</v>
      </c>
      <c r="J951" s="64">
        <f>18.6548 * CHOOSE(CONTROL!$C$22, $C$13, 100%, $E$13)</f>
        <v>18.654800000000002</v>
      </c>
      <c r="K951" s="64">
        <f>18.6549 * CHOOSE(CONTROL!$C$22, $C$13, 100%, $E$13)</f>
        <v>18.654900000000001</v>
      </c>
    </row>
    <row r="952" spans="1:11" ht="15">
      <c r="A952" s="13">
        <v>70464</v>
      </c>
      <c r="B952" s="63">
        <f>16.4928 * CHOOSE(CONTROL!$C$22, $C$13, 100%, $E$13)</f>
        <v>16.492799999999999</v>
      </c>
      <c r="C952" s="63">
        <f>16.4928 * CHOOSE(CONTROL!$C$22, $C$13, 100%, $E$13)</f>
        <v>16.492799999999999</v>
      </c>
      <c r="D952" s="63">
        <f>16.4928 * CHOOSE(CONTROL!$C$22, $C$13, 100%, $E$13)</f>
        <v>16.492799999999999</v>
      </c>
      <c r="E952" s="64">
        <f>18.4807 * CHOOSE(CONTROL!$C$22, $C$13, 100%, $E$13)</f>
        <v>18.480699999999999</v>
      </c>
      <c r="F952" s="64">
        <f>18.4807 * CHOOSE(CONTROL!$C$22, $C$13, 100%, $E$13)</f>
        <v>18.480699999999999</v>
      </c>
      <c r="G952" s="64">
        <f>18.4808 * CHOOSE(CONTROL!$C$22, $C$13, 100%, $E$13)</f>
        <v>18.480799999999999</v>
      </c>
      <c r="H952" s="64">
        <f>32.1832* CHOOSE(CONTROL!$C$22, $C$13, 100%, $E$13)</f>
        <v>32.183199999999999</v>
      </c>
      <c r="I952" s="64">
        <f>32.1833 * CHOOSE(CONTROL!$C$22, $C$13, 100%, $E$13)</f>
        <v>32.183300000000003</v>
      </c>
      <c r="J952" s="64">
        <f>18.4807 * CHOOSE(CONTROL!$C$22, $C$13, 100%, $E$13)</f>
        <v>18.480699999999999</v>
      </c>
      <c r="K952" s="64">
        <f>18.4808 * CHOOSE(CONTROL!$C$22, $C$13, 100%, $E$13)</f>
        <v>18.480799999999999</v>
      </c>
    </row>
    <row r="953" spans="1:11" ht="15">
      <c r="A953" s="13">
        <v>70495</v>
      </c>
      <c r="B953" s="63">
        <f>16.4344 * CHOOSE(CONTROL!$C$22, $C$13, 100%, $E$13)</f>
        <v>16.4344</v>
      </c>
      <c r="C953" s="63">
        <f>16.4344 * CHOOSE(CONTROL!$C$22, $C$13, 100%, $E$13)</f>
        <v>16.4344</v>
      </c>
      <c r="D953" s="63">
        <f>16.4344 * CHOOSE(CONTROL!$C$22, $C$13, 100%, $E$13)</f>
        <v>16.4344</v>
      </c>
      <c r="E953" s="64">
        <f>18.5602 * CHOOSE(CONTROL!$C$22, $C$13, 100%, $E$13)</f>
        <v>18.560199999999998</v>
      </c>
      <c r="F953" s="64">
        <f>18.5602 * CHOOSE(CONTROL!$C$22, $C$13, 100%, $E$13)</f>
        <v>18.560199999999998</v>
      </c>
      <c r="G953" s="64">
        <f>18.5603 * CHOOSE(CONTROL!$C$22, $C$13, 100%, $E$13)</f>
        <v>18.560300000000002</v>
      </c>
      <c r="H953" s="64">
        <f>31.9007* CHOOSE(CONTROL!$C$22, $C$13, 100%, $E$13)</f>
        <v>31.900700000000001</v>
      </c>
      <c r="I953" s="64">
        <f>31.9008 * CHOOSE(CONTROL!$C$22, $C$13, 100%, $E$13)</f>
        <v>31.9008</v>
      </c>
      <c r="J953" s="64">
        <f>18.5602 * CHOOSE(CONTROL!$C$22, $C$13, 100%, $E$13)</f>
        <v>18.560199999999998</v>
      </c>
      <c r="K953" s="64">
        <f>18.5603 * CHOOSE(CONTROL!$C$22, $C$13, 100%, $E$13)</f>
        <v>18.560300000000002</v>
      </c>
    </row>
    <row r="954" spans="1:11" ht="15">
      <c r="A954" s="13">
        <v>70526</v>
      </c>
      <c r="B954" s="63">
        <f>16.4314 * CHOOSE(CONTROL!$C$22, $C$13, 100%, $E$13)</f>
        <v>16.4314</v>
      </c>
      <c r="C954" s="63">
        <f>16.4314 * CHOOSE(CONTROL!$C$22, $C$13, 100%, $E$13)</f>
        <v>16.4314</v>
      </c>
      <c r="D954" s="63">
        <f>16.4314 * CHOOSE(CONTROL!$C$22, $C$13, 100%, $E$13)</f>
        <v>16.4314</v>
      </c>
      <c r="E954" s="64">
        <f>18.2241 * CHOOSE(CONTROL!$C$22, $C$13, 100%, $E$13)</f>
        <v>18.2241</v>
      </c>
      <c r="F954" s="64">
        <f>18.2241 * CHOOSE(CONTROL!$C$22, $C$13, 100%, $E$13)</f>
        <v>18.2241</v>
      </c>
      <c r="G954" s="64">
        <f>18.2242 * CHOOSE(CONTROL!$C$22, $C$13, 100%, $E$13)</f>
        <v>18.2242</v>
      </c>
      <c r="H954" s="64">
        <f>31.9672* CHOOSE(CONTROL!$C$22, $C$13, 100%, $E$13)</f>
        <v>31.967199999999998</v>
      </c>
      <c r="I954" s="64">
        <f>31.9673 * CHOOSE(CONTROL!$C$22, $C$13, 100%, $E$13)</f>
        <v>31.967300000000002</v>
      </c>
      <c r="J954" s="64">
        <f>18.2241 * CHOOSE(CONTROL!$C$22, $C$13, 100%, $E$13)</f>
        <v>18.2241</v>
      </c>
      <c r="K954" s="64">
        <f>18.2242 * CHOOSE(CONTROL!$C$22, $C$13, 100%, $E$13)</f>
        <v>18.2242</v>
      </c>
    </row>
    <row r="955" spans="1:11" ht="15">
      <c r="A955" s="13">
        <v>70554</v>
      </c>
      <c r="B955" s="63">
        <f>16.4284 * CHOOSE(CONTROL!$C$22, $C$13, 100%, $E$13)</f>
        <v>16.4284</v>
      </c>
      <c r="C955" s="63">
        <f>16.4284 * CHOOSE(CONTROL!$C$22, $C$13, 100%, $E$13)</f>
        <v>16.4284</v>
      </c>
      <c r="D955" s="63">
        <f>16.4284 * CHOOSE(CONTROL!$C$22, $C$13, 100%, $E$13)</f>
        <v>16.4284</v>
      </c>
      <c r="E955" s="64">
        <f>18.4853 * CHOOSE(CONTROL!$C$22, $C$13, 100%, $E$13)</f>
        <v>18.485299999999999</v>
      </c>
      <c r="F955" s="64">
        <f>18.4853 * CHOOSE(CONTROL!$C$22, $C$13, 100%, $E$13)</f>
        <v>18.485299999999999</v>
      </c>
      <c r="G955" s="64">
        <f>18.4854 * CHOOSE(CONTROL!$C$22, $C$13, 100%, $E$13)</f>
        <v>18.485399999999998</v>
      </c>
      <c r="H955" s="64">
        <f>32.0338* CHOOSE(CONTROL!$C$22, $C$13, 100%, $E$13)</f>
        <v>32.033799999999999</v>
      </c>
      <c r="I955" s="64">
        <f>32.0339 * CHOOSE(CONTROL!$C$22, $C$13, 100%, $E$13)</f>
        <v>32.033900000000003</v>
      </c>
      <c r="J955" s="64">
        <f>18.4853 * CHOOSE(CONTROL!$C$22, $C$13, 100%, $E$13)</f>
        <v>18.485299999999999</v>
      </c>
      <c r="K955" s="64">
        <f>18.4854 * CHOOSE(CONTROL!$C$22, $C$13, 100%, $E$13)</f>
        <v>18.485399999999998</v>
      </c>
    </row>
    <row r="956" spans="1:11" ht="15">
      <c r="A956" s="13">
        <v>70585</v>
      </c>
      <c r="B956" s="63">
        <f>16.4364 * CHOOSE(CONTROL!$C$22, $C$13, 100%, $E$13)</f>
        <v>16.436399999999999</v>
      </c>
      <c r="C956" s="63">
        <f>16.4364 * CHOOSE(CONTROL!$C$22, $C$13, 100%, $E$13)</f>
        <v>16.436399999999999</v>
      </c>
      <c r="D956" s="63">
        <f>16.4364 * CHOOSE(CONTROL!$C$22, $C$13, 100%, $E$13)</f>
        <v>16.436399999999999</v>
      </c>
      <c r="E956" s="64">
        <f>18.7638 * CHOOSE(CONTROL!$C$22, $C$13, 100%, $E$13)</f>
        <v>18.7638</v>
      </c>
      <c r="F956" s="64">
        <f>18.7638 * CHOOSE(CONTROL!$C$22, $C$13, 100%, $E$13)</f>
        <v>18.7638</v>
      </c>
      <c r="G956" s="64">
        <f>18.7639 * CHOOSE(CONTROL!$C$22, $C$13, 100%, $E$13)</f>
        <v>18.7639</v>
      </c>
      <c r="H956" s="64">
        <f>32.1005* CHOOSE(CONTROL!$C$22, $C$13, 100%, $E$13)</f>
        <v>32.100499999999997</v>
      </c>
      <c r="I956" s="64">
        <f>32.1006 * CHOOSE(CONTROL!$C$22, $C$13, 100%, $E$13)</f>
        <v>32.1006</v>
      </c>
      <c r="J956" s="64">
        <f>18.7638 * CHOOSE(CONTROL!$C$22, $C$13, 100%, $E$13)</f>
        <v>18.7638</v>
      </c>
      <c r="K956" s="64">
        <f>18.7639 * CHOOSE(CONTROL!$C$22, $C$13, 100%, $E$13)</f>
        <v>18.7639</v>
      </c>
    </row>
    <row r="957" spans="1:11" ht="15">
      <c r="A957" s="13">
        <v>70615</v>
      </c>
      <c r="B957" s="63">
        <f>16.4364 * CHOOSE(CONTROL!$C$22, $C$13, 100%, $E$13)</f>
        <v>16.436399999999999</v>
      </c>
      <c r="C957" s="63">
        <f>16.4364 * CHOOSE(CONTROL!$C$22, $C$13, 100%, $E$13)</f>
        <v>16.436399999999999</v>
      </c>
      <c r="D957" s="63">
        <f>16.4448 * CHOOSE(CONTROL!$C$22, $C$13, 100%, $E$13)</f>
        <v>16.444800000000001</v>
      </c>
      <c r="E957" s="64">
        <f>18.8698 * CHOOSE(CONTROL!$C$22, $C$13, 100%, $E$13)</f>
        <v>18.869800000000001</v>
      </c>
      <c r="F957" s="64">
        <f>18.8698 * CHOOSE(CONTROL!$C$22, $C$13, 100%, $E$13)</f>
        <v>18.869800000000001</v>
      </c>
      <c r="G957" s="64">
        <f>18.8801 * CHOOSE(CONTROL!$C$22, $C$13, 100%, $E$13)</f>
        <v>18.880099999999999</v>
      </c>
      <c r="H957" s="64">
        <f>32.1674* CHOOSE(CONTROL!$C$22, $C$13, 100%, $E$13)</f>
        <v>32.167400000000001</v>
      </c>
      <c r="I957" s="64">
        <f>32.1776 * CHOOSE(CONTROL!$C$22, $C$13, 100%, $E$13)</f>
        <v>32.177599999999998</v>
      </c>
      <c r="J957" s="64">
        <f>18.8698 * CHOOSE(CONTROL!$C$22, $C$13, 100%, $E$13)</f>
        <v>18.869800000000001</v>
      </c>
      <c r="K957" s="64">
        <f>18.8801 * CHOOSE(CONTROL!$C$22, $C$13, 100%, $E$13)</f>
        <v>18.880099999999999</v>
      </c>
    </row>
    <row r="958" spans="1:11" ht="15">
      <c r="A958" s="13">
        <v>70646</v>
      </c>
      <c r="B958" s="63">
        <f>16.4425 * CHOOSE(CONTROL!$C$22, $C$13, 100%, $E$13)</f>
        <v>16.442499999999999</v>
      </c>
      <c r="C958" s="63">
        <f>16.4425 * CHOOSE(CONTROL!$C$22, $C$13, 100%, $E$13)</f>
        <v>16.442499999999999</v>
      </c>
      <c r="D958" s="63">
        <f>16.4509 * CHOOSE(CONTROL!$C$22, $C$13, 100%, $E$13)</f>
        <v>16.450900000000001</v>
      </c>
      <c r="E958" s="64">
        <f>18.768 * CHOOSE(CONTROL!$C$22, $C$13, 100%, $E$13)</f>
        <v>18.768000000000001</v>
      </c>
      <c r="F958" s="64">
        <f>18.768 * CHOOSE(CONTROL!$C$22, $C$13, 100%, $E$13)</f>
        <v>18.768000000000001</v>
      </c>
      <c r="G958" s="64">
        <f>18.7783 * CHOOSE(CONTROL!$C$22, $C$13, 100%, $E$13)</f>
        <v>18.778300000000002</v>
      </c>
      <c r="H958" s="64">
        <f>32.2344* CHOOSE(CONTROL!$C$22, $C$13, 100%, $E$13)</f>
        <v>32.234400000000001</v>
      </c>
      <c r="I958" s="64">
        <f>32.2446 * CHOOSE(CONTROL!$C$22, $C$13, 100%, $E$13)</f>
        <v>32.244599999999998</v>
      </c>
      <c r="J958" s="64">
        <f>18.768 * CHOOSE(CONTROL!$C$22, $C$13, 100%, $E$13)</f>
        <v>18.768000000000001</v>
      </c>
      <c r="K958" s="64">
        <f>18.7783 * CHOOSE(CONTROL!$C$22, $C$13, 100%, $E$13)</f>
        <v>18.778300000000002</v>
      </c>
    </row>
    <row r="959" spans="1:11" ht="15">
      <c r="A959" s="13">
        <v>70676</v>
      </c>
      <c r="B959" s="63">
        <f>16.6902 * CHOOSE(CONTROL!$C$22, $C$13, 100%, $E$13)</f>
        <v>16.690200000000001</v>
      </c>
      <c r="C959" s="63">
        <f>16.6902 * CHOOSE(CONTROL!$C$22, $C$13, 100%, $E$13)</f>
        <v>16.690200000000001</v>
      </c>
      <c r="D959" s="63">
        <f>16.6986 * CHOOSE(CONTROL!$C$22, $C$13, 100%, $E$13)</f>
        <v>16.698599999999999</v>
      </c>
      <c r="E959" s="64">
        <f>19.0646 * CHOOSE(CONTROL!$C$22, $C$13, 100%, $E$13)</f>
        <v>19.064599999999999</v>
      </c>
      <c r="F959" s="64">
        <f>19.0646 * CHOOSE(CONTROL!$C$22, $C$13, 100%, $E$13)</f>
        <v>19.064599999999999</v>
      </c>
      <c r="G959" s="64">
        <f>19.0748 * CHOOSE(CONTROL!$C$22, $C$13, 100%, $E$13)</f>
        <v>19.0748</v>
      </c>
      <c r="H959" s="64">
        <f>32.3016* CHOOSE(CONTROL!$C$22, $C$13, 100%, $E$13)</f>
        <v>32.301600000000001</v>
      </c>
      <c r="I959" s="64">
        <f>32.3118 * CHOOSE(CONTROL!$C$22, $C$13, 100%, $E$13)</f>
        <v>32.311799999999998</v>
      </c>
      <c r="J959" s="64">
        <f>19.0646 * CHOOSE(CONTROL!$C$22, $C$13, 100%, $E$13)</f>
        <v>19.064599999999999</v>
      </c>
      <c r="K959" s="64">
        <f>19.0748 * CHOOSE(CONTROL!$C$22, $C$13, 100%, $E$13)</f>
        <v>19.0748</v>
      </c>
    </row>
    <row r="960" spans="1:11" ht="15">
      <c r="A960" s="13">
        <v>70707</v>
      </c>
      <c r="B960" s="63">
        <f>16.6969 * CHOOSE(CONTROL!$C$22, $C$13, 100%, $E$13)</f>
        <v>16.696899999999999</v>
      </c>
      <c r="C960" s="63">
        <f>16.6969 * CHOOSE(CONTROL!$C$22, $C$13, 100%, $E$13)</f>
        <v>16.696899999999999</v>
      </c>
      <c r="D960" s="63">
        <f>16.7053 * CHOOSE(CONTROL!$C$22, $C$13, 100%, $E$13)</f>
        <v>16.705300000000001</v>
      </c>
      <c r="E960" s="64">
        <f>18.7512 * CHOOSE(CONTROL!$C$22, $C$13, 100%, $E$13)</f>
        <v>18.751200000000001</v>
      </c>
      <c r="F960" s="64">
        <f>18.7512 * CHOOSE(CONTROL!$C$22, $C$13, 100%, $E$13)</f>
        <v>18.751200000000001</v>
      </c>
      <c r="G960" s="64">
        <f>18.7614 * CHOOSE(CONTROL!$C$22, $C$13, 100%, $E$13)</f>
        <v>18.761399999999998</v>
      </c>
      <c r="H960" s="64">
        <f>32.3689* CHOOSE(CONTROL!$C$22, $C$13, 100%, $E$13)</f>
        <v>32.368899999999996</v>
      </c>
      <c r="I960" s="64">
        <f>32.3791 * CHOOSE(CONTROL!$C$22, $C$13, 100%, $E$13)</f>
        <v>32.379100000000001</v>
      </c>
      <c r="J960" s="64">
        <f>18.7512 * CHOOSE(CONTROL!$C$22, $C$13, 100%, $E$13)</f>
        <v>18.751200000000001</v>
      </c>
      <c r="K960" s="64">
        <f>18.7614 * CHOOSE(CONTROL!$C$22, $C$13, 100%, $E$13)</f>
        <v>18.761399999999998</v>
      </c>
    </row>
    <row r="961" spans="1:11" ht="15">
      <c r="A961" s="13">
        <v>70738</v>
      </c>
      <c r="B961" s="63">
        <f>16.6939 * CHOOSE(CONTROL!$C$22, $C$13, 100%, $E$13)</f>
        <v>16.693899999999999</v>
      </c>
      <c r="C961" s="63">
        <f>16.6939 * CHOOSE(CONTROL!$C$22, $C$13, 100%, $E$13)</f>
        <v>16.693899999999999</v>
      </c>
      <c r="D961" s="63">
        <f>16.7023 * CHOOSE(CONTROL!$C$22, $C$13, 100%, $E$13)</f>
        <v>16.702300000000001</v>
      </c>
      <c r="E961" s="64">
        <f>18.7137 * CHOOSE(CONTROL!$C$22, $C$13, 100%, $E$13)</f>
        <v>18.713699999999999</v>
      </c>
      <c r="F961" s="64">
        <f>18.7137 * CHOOSE(CONTROL!$C$22, $C$13, 100%, $E$13)</f>
        <v>18.713699999999999</v>
      </c>
      <c r="G961" s="64">
        <f>18.7239 * CHOOSE(CONTROL!$C$22, $C$13, 100%, $E$13)</f>
        <v>18.7239</v>
      </c>
      <c r="H961" s="64">
        <f>32.4363* CHOOSE(CONTROL!$C$22, $C$13, 100%, $E$13)</f>
        <v>32.436300000000003</v>
      </c>
      <c r="I961" s="64">
        <f>32.4465 * CHOOSE(CONTROL!$C$22, $C$13, 100%, $E$13)</f>
        <v>32.4465</v>
      </c>
      <c r="J961" s="64">
        <f>18.7137 * CHOOSE(CONTROL!$C$22, $C$13, 100%, $E$13)</f>
        <v>18.713699999999999</v>
      </c>
      <c r="K961" s="64">
        <f>18.7239 * CHOOSE(CONTROL!$C$22, $C$13, 100%, $E$13)</f>
        <v>18.7239</v>
      </c>
    </row>
    <row r="962" spans="1:11" ht="15">
      <c r="A962" s="13">
        <v>70768</v>
      </c>
      <c r="B962" s="63">
        <f>16.7297 * CHOOSE(CONTROL!$C$22, $C$13, 100%, $E$13)</f>
        <v>16.729700000000001</v>
      </c>
      <c r="C962" s="63">
        <f>16.7297 * CHOOSE(CONTROL!$C$22, $C$13, 100%, $E$13)</f>
        <v>16.729700000000001</v>
      </c>
      <c r="D962" s="63">
        <f>16.7297 * CHOOSE(CONTROL!$C$22, $C$13, 100%, $E$13)</f>
        <v>16.729700000000001</v>
      </c>
      <c r="E962" s="64">
        <f>18.8417 * CHOOSE(CONTROL!$C$22, $C$13, 100%, $E$13)</f>
        <v>18.841699999999999</v>
      </c>
      <c r="F962" s="64">
        <f>18.8417 * CHOOSE(CONTROL!$C$22, $C$13, 100%, $E$13)</f>
        <v>18.841699999999999</v>
      </c>
      <c r="G962" s="64">
        <f>18.8418 * CHOOSE(CONTROL!$C$22, $C$13, 100%, $E$13)</f>
        <v>18.841799999999999</v>
      </c>
      <c r="H962" s="64">
        <f>32.5039* CHOOSE(CONTROL!$C$22, $C$13, 100%, $E$13)</f>
        <v>32.503900000000002</v>
      </c>
      <c r="I962" s="64">
        <f>32.5039 * CHOOSE(CONTROL!$C$22, $C$13, 100%, $E$13)</f>
        <v>32.503900000000002</v>
      </c>
      <c r="J962" s="64">
        <f>18.8417 * CHOOSE(CONTROL!$C$22, $C$13, 100%, $E$13)</f>
        <v>18.841699999999999</v>
      </c>
      <c r="K962" s="64">
        <f>18.8418 * CHOOSE(CONTROL!$C$22, $C$13, 100%, $E$13)</f>
        <v>18.841799999999999</v>
      </c>
    </row>
    <row r="963" spans="1:11" ht="15">
      <c r="A963" s="13">
        <v>70799</v>
      </c>
      <c r="B963" s="63">
        <f>16.7327 * CHOOSE(CONTROL!$C$22, $C$13, 100%, $E$13)</f>
        <v>16.732700000000001</v>
      </c>
      <c r="C963" s="63">
        <f>16.7327 * CHOOSE(CONTROL!$C$22, $C$13, 100%, $E$13)</f>
        <v>16.732700000000001</v>
      </c>
      <c r="D963" s="63">
        <f>16.7327 * CHOOSE(CONTROL!$C$22, $C$13, 100%, $E$13)</f>
        <v>16.732700000000001</v>
      </c>
      <c r="E963" s="64">
        <f>18.9145 * CHOOSE(CONTROL!$C$22, $C$13, 100%, $E$13)</f>
        <v>18.9145</v>
      </c>
      <c r="F963" s="64">
        <f>18.9145 * CHOOSE(CONTROL!$C$22, $C$13, 100%, $E$13)</f>
        <v>18.9145</v>
      </c>
      <c r="G963" s="64">
        <f>18.9146 * CHOOSE(CONTROL!$C$22, $C$13, 100%, $E$13)</f>
        <v>18.9146</v>
      </c>
      <c r="H963" s="64">
        <f>32.5716* CHOOSE(CONTROL!$C$22, $C$13, 100%, $E$13)</f>
        <v>32.571599999999997</v>
      </c>
      <c r="I963" s="64">
        <f>32.5717 * CHOOSE(CONTROL!$C$22, $C$13, 100%, $E$13)</f>
        <v>32.5717</v>
      </c>
      <c r="J963" s="64">
        <f>18.9145 * CHOOSE(CONTROL!$C$22, $C$13, 100%, $E$13)</f>
        <v>18.9145</v>
      </c>
      <c r="K963" s="64">
        <f>18.9146 * CHOOSE(CONTROL!$C$22, $C$13, 100%, $E$13)</f>
        <v>18.9146</v>
      </c>
    </row>
    <row r="964" spans="1:11" ht="15">
      <c r="A964" s="13">
        <v>70829</v>
      </c>
      <c r="B964" s="63">
        <f>16.7327 * CHOOSE(CONTROL!$C$22, $C$13, 100%, $E$13)</f>
        <v>16.732700000000001</v>
      </c>
      <c r="C964" s="63">
        <f>16.7327 * CHOOSE(CONTROL!$C$22, $C$13, 100%, $E$13)</f>
        <v>16.732700000000001</v>
      </c>
      <c r="D964" s="63">
        <f>16.7327 * CHOOSE(CONTROL!$C$22, $C$13, 100%, $E$13)</f>
        <v>16.732700000000001</v>
      </c>
      <c r="E964" s="64">
        <f>18.7378 * CHOOSE(CONTROL!$C$22, $C$13, 100%, $E$13)</f>
        <v>18.7378</v>
      </c>
      <c r="F964" s="64">
        <f>18.7378 * CHOOSE(CONTROL!$C$22, $C$13, 100%, $E$13)</f>
        <v>18.7378</v>
      </c>
      <c r="G964" s="64">
        <f>18.7378 * CHOOSE(CONTROL!$C$22, $C$13, 100%, $E$13)</f>
        <v>18.7378</v>
      </c>
      <c r="H964" s="64">
        <f>32.6394* CHOOSE(CONTROL!$C$22, $C$13, 100%, $E$13)</f>
        <v>32.639400000000002</v>
      </c>
      <c r="I964" s="64">
        <f>32.6395 * CHOOSE(CONTROL!$C$22, $C$13, 100%, $E$13)</f>
        <v>32.639499999999998</v>
      </c>
      <c r="J964" s="64">
        <f>18.7378 * CHOOSE(CONTROL!$C$22, $C$13, 100%, $E$13)</f>
        <v>18.7378</v>
      </c>
      <c r="K964" s="64">
        <f>18.7378 * CHOOSE(CONTROL!$C$22, $C$13, 100%, $E$13)</f>
        <v>18.7378</v>
      </c>
    </row>
    <row r="965" spans="1:11" ht="15">
      <c r="A965" s="13">
        <v>70860</v>
      </c>
      <c r="B965" s="63">
        <f>16.67 * CHOOSE(CONTROL!$C$22, $C$13, 100%, $E$13)</f>
        <v>16.670000000000002</v>
      </c>
      <c r="C965" s="63">
        <f>16.67 * CHOOSE(CONTROL!$C$22, $C$13, 100%, $E$13)</f>
        <v>16.670000000000002</v>
      </c>
      <c r="D965" s="63">
        <f>16.67 * CHOOSE(CONTROL!$C$22, $C$13, 100%, $E$13)</f>
        <v>16.670000000000002</v>
      </c>
      <c r="E965" s="64">
        <f>18.8149 * CHOOSE(CONTROL!$C$22, $C$13, 100%, $E$13)</f>
        <v>18.814900000000002</v>
      </c>
      <c r="F965" s="64">
        <f>18.8149 * CHOOSE(CONTROL!$C$22, $C$13, 100%, $E$13)</f>
        <v>18.814900000000002</v>
      </c>
      <c r="G965" s="64">
        <f>18.815 * CHOOSE(CONTROL!$C$22, $C$13, 100%, $E$13)</f>
        <v>18.815000000000001</v>
      </c>
      <c r="H965" s="64">
        <f>32.3466* CHOOSE(CONTROL!$C$22, $C$13, 100%, $E$13)</f>
        <v>32.346600000000002</v>
      </c>
      <c r="I965" s="64">
        <f>32.3467 * CHOOSE(CONTROL!$C$22, $C$13, 100%, $E$13)</f>
        <v>32.346699999999998</v>
      </c>
      <c r="J965" s="64">
        <f>18.8149 * CHOOSE(CONTROL!$C$22, $C$13, 100%, $E$13)</f>
        <v>18.814900000000002</v>
      </c>
      <c r="K965" s="64">
        <f>18.815 * CHOOSE(CONTROL!$C$22, $C$13, 100%, $E$13)</f>
        <v>18.815000000000001</v>
      </c>
    </row>
    <row r="966" spans="1:11" ht="15">
      <c r="A966" s="13">
        <v>70891</v>
      </c>
      <c r="B966" s="63">
        <f>16.667 * CHOOSE(CONTROL!$C$22, $C$13, 100%, $E$13)</f>
        <v>16.667000000000002</v>
      </c>
      <c r="C966" s="63">
        <f>16.667 * CHOOSE(CONTROL!$C$22, $C$13, 100%, $E$13)</f>
        <v>16.667000000000002</v>
      </c>
      <c r="D966" s="63">
        <f>16.667 * CHOOSE(CONTROL!$C$22, $C$13, 100%, $E$13)</f>
        <v>16.667000000000002</v>
      </c>
      <c r="E966" s="64">
        <f>18.4739 * CHOOSE(CONTROL!$C$22, $C$13, 100%, $E$13)</f>
        <v>18.4739</v>
      </c>
      <c r="F966" s="64">
        <f>18.4739 * CHOOSE(CONTROL!$C$22, $C$13, 100%, $E$13)</f>
        <v>18.4739</v>
      </c>
      <c r="G966" s="64">
        <f>18.474 * CHOOSE(CONTROL!$C$22, $C$13, 100%, $E$13)</f>
        <v>18.474</v>
      </c>
      <c r="H966" s="64">
        <f>32.414* CHOOSE(CONTROL!$C$22, $C$13, 100%, $E$13)</f>
        <v>32.414000000000001</v>
      </c>
      <c r="I966" s="64">
        <f>32.4141 * CHOOSE(CONTROL!$C$22, $C$13, 100%, $E$13)</f>
        <v>32.414099999999998</v>
      </c>
      <c r="J966" s="64">
        <f>18.4739 * CHOOSE(CONTROL!$C$22, $C$13, 100%, $E$13)</f>
        <v>18.4739</v>
      </c>
      <c r="K966" s="64">
        <f>18.474 * CHOOSE(CONTROL!$C$22, $C$13, 100%, $E$13)</f>
        <v>18.474</v>
      </c>
    </row>
    <row r="967" spans="1:11" ht="15">
      <c r="A967" s="13">
        <v>70919</v>
      </c>
      <c r="B967" s="63">
        <f>16.6639 * CHOOSE(CONTROL!$C$22, $C$13, 100%, $E$13)</f>
        <v>16.663900000000002</v>
      </c>
      <c r="C967" s="63">
        <f>16.6639 * CHOOSE(CONTROL!$C$22, $C$13, 100%, $E$13)</f>
        <v>16.663900000000002</v>
      </c>
      <c r="D967" s="63">
        <f>16.6639 * CHOOSE(CONTROL!$C$22, $C$13, 100%, $E$13)</f>
        <v>16.663900000000002</v>
      </c>
      <c r="E967" s="64">
        <f>18.739 * CHOOSE(CONTROL!$C$22, $C$13, 100%, $E$13)</f>
        <v>18.739000000000001</v>
      </c>
      <c r="F967" s="64">
        <f>18.739 * CHOOSE(CONTROL!$C$22, $C$13, 100%, $E$13)</f>
        <v>18.739000000000001</v>
      </c>
      <c r="G967" s="64">
        <f>18.739 * CHOOSE(CONTROL!$C$22, $C$13, 100%, $E$13)</f>
        <v>18.739000000000001</v>
      </c>
      <c r="H967" s="64">
        <f>32.4815* CHOOSE(CONTROL!$C$22, $C$13, 100%, $E$13)</f>
        <v>32.481499999999997</v>
      </c>
      <c r="I967" s="64">
        <f>32.4816 * CHOOSE(CONTROL!$C$22, $C$13, 100%, $E$13)</f>
        <v>32.4816</v>
      </c>
      <c r="J967" s="64">
        <f>18.739 * CHOOSE(CONTROL!$C$22, $C$13, 100%, $E$13)</f>
        <v>18.739000000000001</v>
      </c>
      <c r="K967" s="64">
        <f>18.739 * CHOOSE(CONTROL!$C$22, $C$13, 100%, $E$13)</f>
        <v>18.739000000000001</v>
      </c>
    </row>
    <row r="968" spans="1:11" ht="15">
      <c r="A968" s="13">
        <v>70950</v>
      </c>
      <c r="B968" s="63">
        <f>16.6722 * CHOOSE(CONTROL!$C$22, $C$13, 100%, $E$13)</f>
        <v>16.6722</v>
      </c>
      <c r="C968" s="63">
        <f>16.6722 * CHOOSE(CONTROL!$C$22, $C$13, 100%, $E$13)</f>
        <v>16.6722</v>
      </c>
      <c r="D968" s="63">
        <f>16.6722 * CHOOSE(CONTROL!$C$22, $C$13, 100%, $E$13)</f>
        <v>16.6722</v>
      </c>
      <c r="E968" s="64">
        <f>19.0217 * CHOOSE(CONTROL!$C$22, $C$13, 100%, $E$13)</f>
        <v>19.021699999999999</v>
      </c>
      <c r="F968" s="64">
        <f>19.0217 * CHOOSE(CONTROL!$C$22, $C$13, 100%, $E$13)</f>
        <v>19.021699999999999</v>
      </c>
      <c r="G968" s="64">
        <f>19.0217 * CHOOSE(CONTROL!$C$22, $C$13, 100%, $E$13)</f>
        <v>19.021699999999999</v>
      </c>
      <c r="H968" s="64">
        <f>32.5492* CHOOSE(CONTROL!$C$22, $C$13, 100%, $E$13)</f>
        <v>32.549199999999999</v>
      </c>
      <c r="I968" s="64">
        <f>32.5493 * CHOOSE(CONTROL!$C$22, $C$13, 100%, $E$13)</f>
        <v>32.549300000000002</v>
      </c>
      <c r="J968" s="64">
        <f>19.0217 * CHOOSE(CONTROL!$C$22, $C$13, 100%, $E$13)</f>
        <v>19.021699999999999</v>
      </c>
      <c r="K968" s="64">
        <f>19.0217 * CHOOSE(CONTROL!$C$22, $C$13, 100%, $E$13)</f>
        <v>19.021699999999999</v>
      </c>
    </row>
    <row r="969" spans="1:11" ht="15">
      <c r="A969" s="13">
        <v>70980</v>
      </c>
      <c r="B969" s="63">
        <f>16.6722 * CHOOSE(CONTROL!$C$22, $C$13, 100%, $E$13)</f>
        <v>16.6722</v>
      </c>
      <c r="C969" s="63">
        <f>16.6722 * CHOOSE(CONTROL!$C$22, $C$13, 100%, $E$13)</f>
        <v>16.6722</v>
      </c>
      <c r="D969" s="63">
        <f>16.6806 * CHOOSE(CONTROL!$C$22, $C$13, 100%, $E$13)</f>
        <v>16.680599999999998</v>
      </c>
      <c r="E969" s="64">
        <f>19.1293 * CHOOSE(CONTROL!$C$22, $C$13, 100%, $E$13)</f>
        <v>19.129300000000001</v>
      </c>
      <c r="F969" s="64">
        <f>19.1293 * CHOOSE(CONTROL!$C$22, $C$13, 100%, $E$13)</f>
        <v>19.129300000000001</v>
      </c>
      <c r="G969" s="64">
        <f>19.1395 * CHOOSE(CONTROL!$C$22, $C$13, 100%, $E$13)</f>
        <v>19.139500000000002</v>
      </c>
      <c r="H969" s="64">
        <f>32.617* CHOOSE(CONTROL!$C$22, $C$13, 100%, $E$13)</f>
        <v>32.616999999999997</v>
      </c>
      <c r="I969" s="64">
        <f>32.6272 * CHOOSE(CONTROL!$C$22, $C$13, 100%, $E$13)</f>
        <v>32.627200000000002</v>
      </c>
      <c r="J969" s="64">
        <f>19.1293 * CHOOSE(CONTROL!$C$22, $C$13, 100%, $E$13)</f>
        <v>19.129300000000001</v>
      </c>
      <c r="K969" s="64">
        <f>19.1395 * CHOOSE(CONTROL!$C$22, $C$13, 100%, $E$13)</f>
        <v>19.139500000000002</v>
      </c>
    </row>
    <row r="970" spans="1:11" ht="15">
      <c r="A970" s="13">
        <v>71011</v>
      </c>
      <c r="B970" s="63">
        <f>16.6782 * CHOOSE(CONTROL!$C$22, $C$13, 100%, $E$13)</f>
        <v>16.6782</v>
      </c>
      <c r="C970" s="63">
        <f>16.6782 * CHOOSE(CONTROL!$C$22, $C$13, 100%, $E$13)</f>
        <v>16.6782</v>
      </c>
      <c r="D970" s="63">
        <f>16.6867 * CHOOSE(CONTROL!$C$22, $C$13, 100%, $E$13)</f>
        <v>16.686699999999998</v>
      </c>
      <c r="E970" s="64">
        <f>19.0259 * CHOOSE(CONTROL!$C$22, $C$13, 100%, $E$13)</f>
        <v>19.0259</v>
      </c>
      <c r="F970" s="64">
        <f>19.0259 * CHOOSE(CONTROL!$C$22, $C$13, 100%, $E$13)</f>
        <v>19.0259</v>
      </c>
      <c r="G970" s="64">
        <f>19.0361 * CHOOSE(CONTROL!$C$22, $C$13, 100%, $E$13)</f>
        <v>19.036100000000001</v>
      </c>
      <c r="H970" s="64">
        <f>32.685* CHOOSE(CONTROL!$C$22, $C$13, 100%, $E$13)</f>
        <v>32.685000000000002</v>
      </c>
      <c r="I970" s="64">
        <f>32.6952 * CHOOSE(CONTROL!$C$22, $C$13, 100%, $E$13)</f>
        <v>32.6952</v>
      </c>
      <c r="J970" s="64">
        <f>19.0259 * CHOOSE(CONTROL!$C$22, $C$13, 100%, $E$13)</f>
        <v>19.0259</v>
      </c>
      <c r="K970" s="64">
        <f>19.0361 * CHOOSE(CONTROL!$C$22, $C$13, 100%, $E$13)</f>
        <v>19.036100000000001</v>
      </c>
    </row>
    <row r="971" spans="1:11" ht="15">
      <c r="A971" s="13">
        <v>71041</v>
      </c>
      <c r="B971" s="63">
        <f>16.9294 * CHOOSE(CONTROL!$C$22, $C$13, 100%, $E$13)</f>
        <v>16.929400000000001</v>
      </c>
      <c r="C971" s="63">
        <f>16.9294 * CHOOSE(CONTROL!$C$22, $C$13, 100%, $E$13)</f>
        <v>16.929400000000001</v>
      </c>
      <c r="D971" s="63">
        <f>16.9378 * CHOOSE(CONTROL!$C$22, $C$13, 100%, $E$13)</f>
        <v>16.937799999999999</v>
      </c>
      <c r="E971" s="64">
        <f>19.3264 * CHOOSE(CONTROL!$C$22, $C$13, 100%, $E$13)</f>
        <v>19.3264</v>
      </c>
      <c r="F971" s="64">
        <f>19.3264 * CHOOSE(CONTROL!$C$22, $C$13, 100%, $E$13)</f>
        <v>19.3264</v>
      </c>
      <c r="G971" s="64">
        <f>19.3366 * CHOOSE(CONTROL!$C$22, $C$13, 100%, $E$13)</f>
        <v>19.336600000000001</v>
      </c>
      <c r="H971" s="64">
        <f>32.7531* CHOOSE(CONTROL!$C$22, $C$13, 100%, $E$13)</f>
        <v>32.753100000000003</v>
      </c>
      <c r="I971" s="64">
        <f>32.7633 * CHOOSE(CONTROL!$C$22, $C$13, 100%, $E$13)</f>
        <v>32.763300000000001</v>
      </c>
      <c r="J971" s="64">
        <f>19.3264 * CHOOSE(CONTROL!$C$22, $C$13, 100%, $E$13)</f>
        <v>19.3264</v>
      </c>
      <c r="K971" s="64">
        <f>19.3366 * CHOOSE(CONTROL!$C$22, $C$13, 100%, $E$13)</f>
        <v>19.336600000000001</v>
      </c>
    </row>
    <row r="972" spans="1:11" ht="15">
      <c r="A972" s="13">
        <v>71072</v>
      </c>
      <c r="B972" s="63">
        <f>16.9361 * CHOOSE(CONTROL!$C$22, $C$13, 100%, $E$13)</f>
        <v>16.9361</v>
      </c>
      <c r="C972" s="63">
        <f>16.9361 * CHOOSE(CONTROL!$C$22, $C$13, 100%, $E$13)</f>
        <v>16.9361</v>
      </c>
      <c r="D972" s="63">
        <f>16.9445 * CHOOSE(CONTROL!$C$22, $C$13, 100%, $E$13)</f>
        <v>16.944500000000001</v>
      </c>
      <c r="E972" s="64">
        <f>19.0083 * CHOOSE(CONTROL!$C$22, $C$13, 100%, $E$13)</f>
        <v>19.008299999999998</v>
      </c>
      <c r="F972" s="64">
        <f>19.0083 * CHOOSE(CONTROL!$C$22, $C$13, 100%, $E$13)</f>
        <v>19.008299999999998</v>
      </c>
      <c r="G972" s="64">
        <f>19.0185 * CHOOSE(CONTROL!$C$22, $C$13, 100%, $E$13)</f>
        <v>19.0185</v>
      </c>
      <c r="H972" s="64">
        <f>32.8213* CHOOSE(CONTROL!$C$22, $C$13, 100%, $E$13)</f>
        <v>32.821300000000001</v>
      </c>
      <c r="I972" s="64">
        <f>32.8315 * CHOOSE(CONTROL!$C$22, $C$13, 100%, $E$13)</f>
        <v>32.831499999999998</v>
      </c>
      <c r="J972" s="64">
        <f>19.0083 * CHOOSE(CONTROL!$C$22, $C$13, 100%, $E$13)</f>
        <v>19.008299999999998</v>
      </c>
      <c r="K972" s="64">
        <f>19.0185 * CHOOSE(CONTROL!$C$22, $C$13, 100%, $E$13)</f>
        <v>19.0185</v>
      </c>
    </row>
    <row r="973" spans="1:11" ht="15">
      <c r="A973" s="13">
        <v>71103</v>
      </c>
      <c r="B973" s="63">
        <f>16.933 * CHOOSE(CONTROL!$C$22, $C$13, 100%, $E$13)</f>
        <v>16.933</v>
      </c>
      <c r="C973" s="63">
        <f>16.933 * CHOOSE(CONTROL!$C$22, $C$13, 100%, $E$13)</f>
        <v>16.933</v>
      </c>
      <c r="D973" s="63">
        <f>16.9415 * CHOOSE(CONTROL!$C$22, $C$13, 100%, $E$13)</f>
        <v>16.941500000000001</v>
      </c>
      <c r="E973" s="64">
        <f>18.9703 * CHOOSE(CONTROL!$C$22, $C$13, 100%, $E$13)</f>
        <v>18.970300000000002</v>
      </c>
      <c r="F973" s="64">
        <f>18.9703 * CHOOSE(CONTROL!$C$22, $C$13, 100%, $E$13)</f>
        <v>18.970300000000002</v>
      </c>
      <c r="G973" s="64">
        <f>18.9805 * CHOOSE(CONTROL!$C$22, $C$13, 100%, $E$13)</f>
        <v>18.980499999999999</v>
      </c>
      <c r="H973" s="64">
        <f>32.8897* CHOOSE(CONTROL!$C$22, $C$13, 100%, $E$13)</f>
        <v>32.889699999999998</v>
      </c>
      <c r="I973" s="64">
        <f>32.8999 * CHOOSE(CONTROL!$C$22, $C$13, 100%, $E$13)</f>
        <v>32.899900000000002</v>
      </c>
      <c r="J973" s="64">
        <f>18.9703 * CHOOSE(CONTROL!$C$22, $C$13, 100%, $E$13)</f>
        <v>18.970300000000002</v>
      </c>
      <c r="K973" s="64">
        <f>18.9805 * CHOOSE(CONTROL!$C$22, $C$13, 100%, $E$13)</f>
        <v>18.980499999999999</v>
      </c>
    </row>
    <row r="974" spans="1:11" ht="15">
      <c r="A974" s="13">
        <v>71133</v>
      </c>
      <c r="B974" s="63">
        <f>16.9696 * CHOOSE(CONTROL!$C$22, $C$13, 100%, $E$13)</f>
        <v>16.9696</v>
      </c>
      <c r="C974" s="63">
        <f>16.9696 * CHOOSE(CONTROL!$C$22, $C$13, 100%, $E$13)</f>
        <v>16.9696</v>
      </c>
      <c r="D974" s="63">
        <f>16.9696 * CHOOSE(CONTROL!$C$22, $C$13, 100%, $E$13)</f>
        <v>16.9696</v>
      </c>
      <c r="E974" s="64">
        <f>19.1003 * CHOOSE(CONTROL!$C$22, $C$13, 100%, $E$13)</f>
        <v>19.100300000000001</v>
      </c>
      <c r="F974" s="64">
        <f>19.1003 * CHOOSE(CONTROL!$C$22, $C$13, 100%, $E$13)</f>
        <v>19.100300000000001</v>
      </c>
      <c r="G974" s="64">
        <f>19.1004 * CHOOSE(CONTROL!$C$22, $C$13, 100%, $E$13)</f>
        <v>19.1004</v>
      </c>
      <c r="H974" s="64">
        <f>32.9582* CHOOSE(CONTROL!$C$22, $C$13, 100%, $E$13)</f>
        <v>32.958199999999998</v>
      </c>
      <c r="I974" s="64">
        <f>32.9583 * CHOOSE(CONTROL!$C$22, $C$13, 100%, $E$13)</f>
        <v>32.958300000000001</v>
      </c>
      <c r="J974" s="64">
        <f>19.1003 * CHOOSE(CONTROL!$C$22, $C$13, 100%, $E$13)</f>
        <v>19.100300000000001</v>
      </c>
      <c r="K974" s="64">
        <f>19.1004 * CHOOSE(CONTROL!$C$22, $C$13, 100%, $E$13)</f>
        <v>19.1004</v>
      </c>
    </row>
    <row r="975" spans="1:11" ht="15">
      <c r="A975" s="13">
        <v>71164</v>
      </c>
      <c r="B975" s="63">
        <f>16.9727 * CHOOSE(CONTROL!$C$22, $C$13, 100%, $E$13)</f>
        <v>16.9727</v>
      </c>
      <c r="C975" s="63">
        <f>16.9727 * CHOOSE(CONTROL!$C$22, $C$13, 100%, $E$13)</f>
        <v>16.9727</v>
      </c>
      <c r="D975" s="63">
        <f>16.9727 * CHOOSE(CONTROL!$C$22, $C$13, 100%, $E$13)</f>
        <v>16.9727</v>
      </c>
      <c r="E975" s="64">
        <f>19.1742 * CHOOSE(CONTROL!$C$22, $C$13, 100%, $E$13)</f>
        <v>19.174199999999999</v>
      </c>
      <c r="F975" s="64">
        <f>19.1742 * CHOOSE(CONTROL!$C$22, $C$13, 100%, $E$13)</f>
        <v>19.174199999999999</v>
      </c>
      <c r="G975" s="64">
        <f>19.1743 * CHOOSE(CONTROL!$C$22, $C$13, 100%, $E$13)</f>
        <v>19.174299999999999</v>
      </c>
      <c r="H975" s="64">
        <f>33.0268* CHOOSE(CONTROL!$C$22, $C$13, 100%, $E$13)</f>
        <v>33.026800000000001</v>
      </c>
      <c r="I975" s="64">
        <f>33.0269 * CHOOSE(CONTROL!$C$22, $C$13, 100%, $E$13)</f>
        <v>33.026899999999998</v>
      </c>
      <c r="J975" s="64">
        <f>19.1742 * CHOOSE(CONTROL!$C$22, $C$13, 100%, $E$13)</f>
        <v>19.174199999999999</v>
      </c>
      <c r="K975" s="64">
        <f>19.1743 * CHOOSE(CONTROL!$C$22, $C$13, 100%, $E$13)</f>
        <v>19.174299999999999</v>
      </c>
    </row>
    <row r="976" spans="1:11" ht="15">
      <c r="A976" s="13">
        <v>71194</v>
      </c>
      <c r="B976" s="63">
        <f>16.9727 * CHOOSE(CONTROL!$C$22, $C$13, 100%, $E$13)</f>
        <v>16.9727</v>
      </c>
      <c r="C976" s="63">
        <f>16.9727 * CHOOSE(CONTROL!$C$22, $C$13, 100%, $E$13)</f>
        <v>16.9727</v>
      </c>
      <c r="D976" s="63">
        <f>16.9727 * CHOOSE(CONTROL!$C$22, $C$13, 100%, $E$13)</f>
        <v>16.9727</v>
      </c>
      <c r="E976" s="64">
        <f>18.9948 * CHOOSE(CONTROL!$C$22, $C$13, 100%, $E$13)</f>
        <v>18.994800000000001</v>
      </c>
      <c r="F976" s="64">
        <f>18.9948 * CHOOSE(CONTROL!$C$22, $C$13, 100%, $E$13)</f>
        <v>18.994800000000001</v>
      </c>
      <c r="G976" s="64">
        <f>18.9949 * CHOOSE(CONTROL!$C$22, $C$13, 100%, $E$13)</f>
        <v>18.994900000000001</v>
      </c>
      <c r="H976" s="64">
        <f>33.0957* CHOOSE(CONTROL!$C$22, $C$13, 100%, $E$13)</f>
        <v>33.095700000000001</v>
      </c>
      <c r="I976" s="64">
        <f>33.0957 * CHOOSE(CONTROL!$C$22, $C$13, 100%, $E$13)</f>
        <v>33.095700000000001</v>
      </c>
      <c r="J976" s="64">
        <f>18.9948 * CHOOSE(CONTROL!$C$22, $C$13, 100%, $E$13)</f>
        <v>18.994800000000001</v>
      </c>
      <c r="K976" s="64">
        <f>18.9949 * CHOOSE(CONTROL!$C$22, $C$13, 100%, $E$13)</f>
        <v>18.994900000000001</v>
      </c>
    </row>
    <row r="977" spans="1:11" ht="15">
      <c r="A977" s="13">
        <v>71225</v>
      </c>
      <c r="B977" s="63">
        <f>16.9056 * CHOOSE(CONTROL!$C$22, $C$13, 100%, $E$13)</f>
        <v>16.9056</v>
      </c>
      <c r="C977" s="63">
        <f>16.9056 * CHOOSE(CONTROL!$C$22, $C$13, 100%, $E$13)</f>
        <v>16.9056</v>
      </c>
      <c r="D977" s="63">
        <f>16.9056 * CHOOSE(CONTROL!$C$22, $C$13, 100%, $E$13)</f>
        <v>16.9056</v>
      </c>
      <c r="E977" s="64">
        <f>19.0697 * CHOOSE(CONTROL!$C$22, $C$13, 100%, $E$13)</f>
        <v>19.069700000000001</v>
      </c>
      <c r="F977" s="64">
        <f>19.0697 * CHOOSE(CONTROL!$C$22, $C$13, 100%, $E$13)</f>
        <v>19.069700000000001</v>
      </c>
      <c r="G977" s="64">
        <f>19.0697 * CHOOSE(CONTROL!$C$22, $C$13, 100%, $E$13)</f>
        <v>19.069700000000001</v>
      </c>
      <c r="H977" s="64">
        <f>32.7925* CHOOSE(CONTROL!$C$22, $C$13, 100%, $E$13)</f>
        <v>32.792499999999997</v>
      </c>
      <c r="I977" s="64">
        <f>32.7926 * CHOOSE(CONTROL!$C$22, $C$13, 100%, $E$13)</f>
        <v>32.7926</v>
      </c>
      <c r="J977" s="64">
        <f>19.0697 * CHOOSE(CONTROL!$C$22, $C$13, 100%, $E$13)</f>
        <v>19.069700000000001</v>
      </c>
      <c r="K977" s="64">
        <f>19.0697 * CHOOSE(CONTROL!$C$22, $C$13, 100%, $E$13)</f>
        <v>19.069700000000001</v>
      </c>
    </row>
    <row r="978" spans="1:11" ht="15">
      <c r="A978" s="13">
        <v>71256</v>
      </c>
      <c r="B978" s="63">
        <f>16.9025 * CHOOSE(CONTROL!$C$22, $C$13, 100%, $E$13)</f>
        <v>16.9025</v>
      </c>
      <c r="C978" s="63">
        <f>16.9025 * CHOOSE(CONTROL!$C$22, $C$13, 100%, $E$13)</f>
        <v>16.9025</v>
      </c>
      <c r="D978" s="63">
        <f>16.9026 * CHOOSE(CONTROL!$C$22, $C$13, 100%, $E$13)</f>
        <v>16.9026</v>
      </c>
      <c r="E978" s="64">
        <f>18.7237 * CHOOSE(CONTROL!$C$22, $C$13, 100%, $E$13)</f>
        <v>18.723700000000001</v>
      </c>
      <c r="F978" s="64">
        <f>18.7237 * CHOOSE(CONTROL!$C$22, $C$13, 100%, $E$13)</f>
        <v>18.723700000000001</v>
      </c>
      <c r="G978" s="64">
        <f>18.7238 * CHOOSE(CONTROL!$C$22, $C$13, 100%, $E$13)</f>
        <v>18.723800000000001</v>
      </c>
      <c r="H978" s="64">
        <f>32.8608* CHOOSE(CONTROL!$C$22, $C$13, 100%, $E$13)</f>
        <v>32.860799999999998</v>
      </c>
      <c r="I978" s="64">
        <f>32.8609 * CHOOSE(CONTROL!$C$22, $C$13, 100%, $E$13)</f>
        <v>32.860900000000001</v>
      </c>
      <c r="J978" s="64">
        <f>18.7237 * CHOOSE(CONTROL!$C$22, $C$13, 100%, $E$13)</f>
        <v>18.723700000000001</v>
      </c>
      <c r="K978" s="64">
        <f>18.7238 * CHOOSE(CONTROL!$C$22, $C$13, 100%, $E$13)</f>
        <v>18.723800000000001</v>
      </c>
    </row>
    <row r="979" spans="1:11" ht="15">
      <c r="A979" s="13">
        <v>71284</v>
      </c>
      <c r="B979" s="63">
        <f>16.8995 * CHOOSE(CONTROL!$C$22, $C$13, 100%, $E$13)</f>
        <v>16.8995</v>
      </c>
      <c r="C979" s="63">
        <f>16.8995 * CHOOSE(CONTROL!$C$22, $C$13, 100%, $E$13)</f>
        <v>16.8995</v>
      </c>
      <c r="D979" s="63">
        <f>16.8995 * CHOOSE(CONTROL!$C$22, $C$13, 100%, $E$13)</f>
        <v>16.8995</v>
      </c>
      <c r="E979" s="64">
        <f>18.9926 * CHOOSE(CONTROL!$C$22, $C$13, 100%, $E$13)</f>
        <v>18.992599999999999</v>
      </c>
      <c r="F979" s="64">
        <f>18.9926 * CHOOSE(CONTROL!$C$22, $C$13, 100%, $E$13)</f>
        <v>18.992599999999999</v>
      </c>
      <c r="G979" s="64">
        <f>18.9927 * CHOOSE(CONTROL!$C$22, $C$13, 100%, $E$13)</f>
        <v>18.992699999999999</v>
      </c>
      <c r="H979" s="64">
        <f>32.9293* CHOOSE(CONTROL!$C$22, $C$13, 100%, $E$13)</f>
        <v>32.929299999999998</v>
      </c>
      <c r="I979" s="64">
        <f>32.9294 * CHOOSE(CONTROL!$C$22, $C$13, 100%, $E$13)</f>
        <v>32.929400000000001</v>
      </c>
      <c r="J979" s="64">
        <f>18.9926 * CHOOSE(CONTROL!$C$22, $C$13, 100%, $E$13)</f>
        <v>18.992599999999999</v>
      </c>
      <c r="K979" s="64">
        <f>18.9927 * CHOOSE(CONTROL!$C$22, $C$13, 100%, $E$13)</f>
        <v>18.992699999999999</v>
      </c>
    </row>
    <row r="980" spans="1:11" ht="15">
      <c r="A980" s="13">
        <v>71315</v>
      </c>
      <c r="B980" s="63">
        <f>16.9079 * CHOOSE(CONTROL!$C$22, $C$13, 100%, $E$13)</f>
        <v>16.907900000000001</v>
      </c>
      <c r="C980" s="63">
        <f>16.9079 * CHOOSE(CONTROL!$C$22, $C$13, 100%, $E$13)</f>
        <v>16.907900000000001</v>
      </c>
      <c r="D980" s="63">
        <f>16.9079 * CHOOSE(CONTROL!$C$22, $C$13, 100%, $E$13)</f>
        <v>16.907900000000001</v>
      </c>
      <c r="E980" s="64">
        <f>19.2795 * CHOOSE(CONTROL!$C$22, $C$13, 100%, $E$13)</f>
        <v>19.279499999999999</v>
      </c>
      <c r="F980" s="64">
        <f>19.2795 * CHOOSE(CONTROL!$C$22, $C$13, 100%, $E$13)</f>
        <v>19.279499999999999</v>
      </c>
      <c r="G980" s="64">
        <f>19.2796 * CHOOSE(CONTROL!$C$22, $C$13, 100%, $E$13)</f>
        <v>19.279599999999999</v>
      </c>
      <c r="H980" s="64">
        <f>32.9979* CHOOSE(CONTROL!$C$22, $C$13, 100%, $E$13)</f>
        <v>32.997900000000001</v>
      </c>
      <c r="I980" s="64">
        <f>32.998 * CHOOSE(CONTROL!$C$22, $C$13, 100%, $E$13)</f>
        <v>32.997999999999998</v>
      </c>
      <c r="J980" s="64">
        <f>19.2795 * CHOOSE(CONTROL!$C$22, $C$13, 100%, $E$13)</f>
        <v>19.279499999999999</v>
      </c>
      <c r="K980" s="64">
        <f>19.2796 * CHOOSE(CONTROL!$C$22, $C$13, 100%, $E$13)</f>
        <v>19.279599999999999</v>
      </c>
    </row>
    <row r="981" spans="1:11" ht="15">
      <c r="A981" s="13">
        <v>71345</v>
      </c>
      <c r="B981" s="63">
        <f>16.9079 * CHOOSE(CONTROL!$C$22, $C$13, 100%, $E$13)</f>
        <v>16.907900000000001</v>
      </c>
      <c r="C981" s="63">
        <f>16.9079 * CHOOSE(CONTROL!$C$22, $C$13, 100%, $E$13)</f>
        <v>16.907900000000001</v>
      </c>
      <c r="D981" s="63">
        <f>16.9164 * CHOOSE(CONTROL!$C$22, $C$13, 100%, $E$13)</f>
        <v>16.916399999999999</v>
      </c>
      <c r="E981" s="64">
        <f>19.3887 * CHOOSE(CONTROL!$C$22, $C$13, 100%, $E$13)</f>
        <v>19.3887</v>
      </c>
      <c r="F981" s="64">
        <f>19.3887 * CHOOSE(CONTROL!$C$22, $C$13, 100%, $E$13)</f>
        <v>19.3887</v>
      </c>
      <c r="G981" s="64">
        <f>19.3989 * CHOOSE(CONTROL!$C$22, $C$13, 100%, $E$13)</f>
        <v>19.398900000000001</v>
      </c>
      <c r="H981" s="64">
        <f>33.0666* CHOOSE(CONTROL!$C$22, $C$13, 100%, $E$13)</f>
        <v>33.066600000000001</v>
      </c>
      <c r="I981" s="64">
        <f>33.0768 * CHOOSE(CONTROL!$C$22, $C$13, 100%, $E$13)</f>
        <v>33.076799999999999</v>
      </c>
      <c r="J981" s="64">
        <f>19.3887 * CHOOSE(CONTROL!$C$22, $C$13, 100%, $E$13)</f>
        <v>19.3887</v>
      </c>
      <c r="K981" s="64">
        <f>19.3989 * CHOOSE(CONTROL!$C$22, $C$13, 100%, $E$13)</f>
        <v>19.398900000000001</v>
      </c>
    </row>
    <row r="982" spans="1:11" ht="15">
      <c r="A982" s="13">
        <v>71376</v>
      </c>
      <c r="B982" s="63">
        <f>16.914 * CHOOSE(CONTROL!$C$22, $C$13, 100%, $E$13)</f>
        <v>16.914000000000001</v>
      </c>
      <c r="C982" s="63">
        <f>16.914 * CHOOSE(CONTROL!$C$22, $C$13, 100%, $E$13)</f>
        <v>16.914000000000001</v>
      </c>
      <c r="D982" s="63">
        <f>16.9224 * CHOOSE(CONTROL!$C$22, $C$13, 100%, $E$13)</f>
        <v>16.9224</v>
      </c>
      <c r="E982" s="64">
        <f>19.2838 * CHOOSE(CONTROL!$C$22, $C$13, 100%, $E$13)</f>
        <v>19.283799999999999</v>
      </c>
      <c r="F982" s="64">
        <f>19.2838 * CHOOSE(CONTROL!$C$22, $C$13, 100%, $E$13)</f>
        <v>19.283799999999999</v>
      </c>
      <c r="G982" s="64">
        <f>19.294 * CHOOSE(CONTROL!$C$22, $C$13, 100%, $E$13)</f>
        <v>19.294</v>
      </c>
      <c r="H982" s="64">
        <f>33.1355* CHOOSE(CONTROL!$C$22, $C$13, 100%, $E$13)</f>
        <v>33.1355</v>
      </c>
      <c r="I982" s="64">
        <f>33.1457 * CHOOSE(CONTROL!$C$22, $C$13, 100%, $E$13)</f>
        <v>33.145699999999998</v>
      </c>
      <c r="J982" s="64">
        <f>19.2838 * CHOOSE(CONTROL!$C$22, $C$13, 100%, $E$13)</f>
        <v>19.283799999999999</v>
      </c>
      <c r="K982" s="64">
        <f>19.294 * CHOOSE(CONTROL!$C$22, $C$13, 100%, $E$13)</f>
        <v>19.294</v>
      </c>
    </row>
    <row r="983" spans="1:11" ht="15">
      <c r="A983" s="13">
        <v>71406</v>
      </c>
      <c r="B983" s="63">
        <f>17.1686 * CHOOSE(CONTROL!$C$22, $C$13, 100%, $E$13)</f>
        <v>17.168600000000001</v>
      </c>
      <c r="C983" s="63">
        <f>17.1686 * CHOOSE(CONTROL!$C$22, $C$13, 100%, $E$13)</f>
        <v>17.168600000000001</v>
      </c>
      <c r="D983" s="63">
        <f>17.177 * CHOOSE(CONTROL!$C$22, $C$13, 100%, $E$13)</f>
        <v>17.177</v>
      </c>
      <c r="E983" s="64">
        <f>19.5882 * CHOOSE(CONTROL!$C$22, $C$13, 100%, $E$13)</f>
        <v>19.588200000000001</v>
      </c>
      <c r="F983" s="64">
        <f>19.5882 * CHOOSE(CONTROL!$C$22, $C$13, 100%, $E$13)</f>
        <v>19.588200000000001</v>
      </c>
      <c r="G983" s="64">
        <f>19.5984 * CHOOSE(CONTROL!$C$22, $C$13, 100%, $E$13)</f>
        <v>19.598400000000002</v>
      </c>
      <c r="H983" s="64">
        <f>33.2045* CHOOSE(CONTROL!$C$22, $C$13, 100%, $E$13)</f>
        <v>33.204500000000003</v>
      </c>
      <c r="I983" s="64">
        <f>33.2148 * CHOOSE(CONTROL!$C$22, $C$13, 100%, $E$13)</f>
        <v>33.214799999999997</v>
      </c>
      <c r="J983" s="64">
        <f>19.5882 * CHOOSE(CONTROL!$C$22, $C$13, 100%, $E$13)</f>
        <v>19.588200000000001</v>
      </c>
      <c r="K983" s="64">
        <f>19.5984 * CHOOSE(CONTROL!$C$22, $C$13, 100%, $E$13)</f>
        <v>19.598400000000002</v>
      </c>
    </row>
    <row r="984" spans="1:11" ht="15">
      <c r="A984" s="13">
        <v>71437</v>
      </c>
      <c r="B984" s="63">
        <f>17.1753 * CHOOSE(CONTROL!$C$22, $C$13, 100%, $E$13)</f>
        <v>17.1753</v>
      </c>
      <c r="C984" s="63">
        <f>17.1753 * CHOOSE(CONTROL!$C$22, $C$13, 100%, $E$13)</f>
        <v>17.1753</v>
      </c>
      <c r="D984" s="63">
        <f>17.1837 * CHOOSE(CONTROL!$C$22, $C$13, 100%, $E$13)</f>
        <v>17.183700000000002</v>
      </c>
      <c r="E984" s="64">
        <f>19.2653 * CHOOSE(CONTROL!$C$22, $C$13, 100%, $E$13)</f>
        <v>19.2653</v>
      </c>
      <c r="F984" s="64">
        <f>19.2653 * CHOOSE(CONTROL!$C$22, $C$13, 100%, $E$13)</f>
        <v>19.2653</v>
      </c>
      <c r="G984" s="64">
        <f>19.2755 * CHOOSE(CONTROL!$C$22, $C$13, 100%, $E$13)</f>
        <v>19.275500000000001</v>
      </c>
      <c r="H984" s="64">
        <f>33.2737* CHOOSE(CONTROL!$C$22, $C$13, 100%, $E$13)</f>
        <v>33.273699999999998</v>
      </c>
      <c r="I984" s="64">
        <f>33.2839 * CHOOSE(CONTROL!$C$22, $C$13, 100%, $E$13)</f>
        <v>33.283900000000003</v>
      </c>
      <c r="J984" s="64">
        <f>19.2653 * CHOOSE(CONTROL!$C$22, $C$13, 100%, $E$13)</f>
        <v>19.2653</v>
      </c>
      <c r="K984" s="64">
        <f>19.2755 * CHOOSE(CONTROL!$C$22, $C$13, 100%, $E$13)</f>
        <v>19.275500000000001</v>
      </c>
    </row>
    <row r="985" spans="1:11" ht="15">
      <c r="A985" s="13">
        <v>71468</v>
      </c>
      <c r="B985" s="63">
        <f>17.1722 * CHOOSE(CONTROL!$C$22, $C$13, 100%, $E$13)</f>
        <v>17.1722</v>
      </c>
      <c r="C985" s="63">
        <f>17.1722 * CHOOSE(CONTROL!$C$22, $C$13, 100%, $E$13)</f>
        <v>17.1722</v>
      </c>
      <c r="D985" s="63">
        <f>17.1807 * CHOOSE(CONTROL!$C$22, $C$13, 100%, $E$13)</f>
        <v>17.180700000000002</v>
      </c>
      <c r="E985" s="64">
        <f>19.2268 * CHOOSE(CONTROL!$C$22, $C$13, 100%, $E$13)</f>
        <v>19.226800000000001</v>
      </c>
      <c r="F985" s="64">
        <f>19.2268 * CHOOSE(CONTROL!$C$22, $C$13, 100%, $E$13)</f>
        <v>19.226800000000001</v>
      </c>
      <c r="G985" s="64">
        <f>19.237 * CHOOSE(CONTROL!$C$22, $C$13, 100%, $E$13)</f>
        <v>19.236999999999998</v>
      </c>
      <c r="H985" s="64">
        <f>33.343* CHOOSE(CONTROL!$C$22, $C$13, 100%, $E$13)</f>
        <v>33.343000000000004</v>
      </c>
      <c r="I985" s="64">
        <f>33.3533 * CHOOSE(CONTROL!$C$22, $C$13, 100%, $E$13)</f>
        <v>33.353299999999997</v>
      </c>
      <c r="J985" s="64">
        <f>19.2268 * CHOOSE(CONTROL!$C$22, $C$13, 100%, $E$13)</f>
        <v>19.226800000000001</v>
      </c>
      <c r="K985" s="64">
        <f>19.237 * CHOOSE(CONTROL!$C$22, $C$13, 100%, $E$13)</f>
        <v>19.236999999999998</v>
      </c>
    </row>
    <row r="986" spans="1:11" ht="15">
      <c r="A986" s="13">
        <v>71498</v>
      </c>
      <c r="B986" s="63">
        <f>17.2096 * CHOOSE(CONTROL!$C$22, $C$13, 100%, $E$13)</f>
        <v>17.209599999999998</v>
      </c>
      <c r="C986" s="63">
        <f>17.2096 * CHOOSE(CONTROL!$C$22, $C$13, 100%, $E$13)</f>
        <v>17.209599999999998</v>
      </c>
      <c r="D986" s="63">
        <f>17.2096 * CHOOSE(CONTROL!$C$22, $C$13, 100%, $E$13)</f>
        <v>17.209599999999998</v>
      </c>
      <c r="E986" s="64">
        <f>19.359 * CHOOSE(CONTROL!$C$22, $C$13, 100%, $E$13)</f>
        <v>19.359000000000002</v>
      </c>
      <c r="F986" s="64">
        <f>19.359 * CHOOSE(CONTROL!$C$22, $C$13, 100%, $E$13)</f>
        <v>19.359000000000002</v>
      </c>
      <c r="G986" s="64">
        <f>19.359 * CHOOSE(CONTROL!$C$22, $C$13, 100%, $E$13)</f>
        <v>19.359000000000002</v>
      </c>
      <c r="H986" s="64">
        <f>33.4125* CHOOSE(CONTROL!$C$22, $C$13, 100%, $E$13)</f>
        <v>33.412500000000001</v>
      </c>
      <c r="I986" s="64">
        <f>33.4126 * CHOOSE(CONTROL!$C$22, $C$13, 100%, $E$13)</f>
        <v>33.412599999999998</v>
      </c>
      <c r="J986" s="64">
        <f>19.359 * CHOOSE(CONTROL!$C$22, $C$13, 100%, $E$13)</f>
        <v>19.359000000000002</v>
      </c>
      <c r="K986" s="64">
        <f>19.359 * CHOOSE(CONTROL!$C$22, $C$13, 100%, $E$13)</f>
        <v>19.359000000000002</v>
      </c>
    </row>
    <row r="987" spans="1:11" ht="15">
      <c r="A987" s="13">
        <v>71529</v>
      </c>
      <c r="B987" s="63">
        <f>17.2126 * CHOOSE(CONTROL!$C$22, $C$13, 100%, $E$13)</f>
        <v>17.212599999999998</v>
      </c>
      <c r="C987" s="63">
        <f>17.2126 * CHOOSE(CONTROL!$C$22, $C$13, 100%, $E$13)</f>
        <v>17.212599999999998</v>
      </c>
      <c r="D987" s="63">
        <f>17.2126 * CHOOSE(CONTROL!$C$22, $C$13, 100%, $E$13)</f>
        <v>17.212599999999998</v>
      </c>
      <c r="E987" s="64">
        <f>19.4339 * CHOOSE(CONTROL!$C$22, $C$13, 100%, $E$13)</f>
        <v>19.433900000000001</v>
      </c>
      <c r="F987" s="64">
        <f>19.4339 * CHOOSE(CONTROL!$C$22, $C$13, 100%, $E$13)</f>
        <v>19.433900000000001</v>
      </c>
      <c r="G987" s="64">
        <f>19.4339 * CHOOSE(CONTROL!$C$22, $C$13, 100%, $E$13)</f>
        <v>19.433900000000001</v>
      </c>
      <c r="H987" s="64">
        <f>33.4821* CHOOSE(CONTROL!$C$22, $C$13, 100%, $E$13)</f>
        <v>33.482100000000003</v>
      </c>
      <c r="I987" s="64">
        <f>33.4822 * CHOOSE(CONTROL!$C$22, $C$13, 100%, $E$13)</f>
        <v>33.482199999999999</v>
      </c>
      <c r="J987" s="64">
        <f>19.4339 * CHOOSE(CONTROL!$C$22, $C$13, 100%, $E$13)</f>
        <v>19.433900000000001</v>
      </c>
      <c r="K987" s="64">
        <f>19.4339 * CHOOSE(CONTROL!$C$22, $C$13, 100%, $E$13)</f>
        <v>19.433900000000001</v>
      </c>
    </row>
    <row r="988" spans="1:11" ht="15">
      <c r="A988" s="13">
        <v>71559</v>
      </c>
      <c r="B988" s="63">
        <f>17.2126 * CHOOSE(CONTROL!$C$22, $C$13, 100%, $E$13)</f>
        <v>17.212599999999998</v>
      </c>
      <c r="C988" s="63">
        <f>17.2126 * CHOOSE(CONTROL!$C$22, $C$13, 100%, $E$13)</f>
        <v>17.212599999999998</v>
      </c>
      <c r="D988" s="63">
        <f>17.2126 * CHOOSE(CONTROL!$C$22, $C$13, 100%, $E$13)</f>
        <v>17.212599999999998</v>
      </c>
      <c r="E988" s="64">
        <f>19.2519 * CHOOSE(CONTROL!$C$22, $C$13, 100%, $E$13)</f>
        <v>19.251899999999999</v>
      </c>
      <c r="F988" s="64">
        <f>19.2519 * CHOOSE(CONTROL!$C$22, $C$13, 100%, $E$13)</f>
        <v>19.251899999999999</v>
      </c>
      <c r="G988" s="64">
        <f>19.252 * CHOOSE(CONTROL!$C$22, $C$13, 100%, $E$13)</f>
        <v>19.251999999999999</v>
      </c>
      <c r="H988" s="64">
        <f>33.5519* CHOOSE(CONTROL!$C$22, $C$13, 100%, $E$13)</f>
        <v>33.551900000000003</v>
      </c>
      <c r="I988" s="64">
        <f>33.5519 * CHOOSE(CONTROL!$C$22, $C$13, 100%, $E$13)</f>
        <v>33.551900000000003</v>
      </c>
      <c r="J988" s="64">
        <f>19.2519 * CHOOSE(CONTROL!$C$22, $C$13, 100%, $E$13)</f>
        <v>19.251899999999999</v>
      </c>
      <c r="K988" s="64">
        <f>19.252 * CHOOSE(CONTROL!$C$22, $C$13, 100%, $E$13)</f>
        <v>19.251999999999999</v>
      </c>
    </row>
    <row r="989" spans="1:11" ht="15">
      <c r="A989" s="13">
        <v>71590</v>
      </c>
      <c r="B989" s="63">
        <f>17.1412 * CHOOSE(CONTROL!$C$22, $C$13, 100%, $E$13)</f>
        <v>17.141200000000001</v>
      </c>
      <c r="C989" s="63">
        <f>17.1412 * CHOOSE(CONTROL!$C$22, $C$13, 100%, $E$13)</f>
        <v>17.141200000000001</v>
      </c>
      <c r="D989" s="63">
        <f>17.1412 * CHOOSE(CONTROL!$C$22, $C$13, 100%, $E$13)</f>
        <v>17.141200000000001</v>
      </c>
      <c r="E989" s="64">
        <f>19.3244 * CHOOSE(CONTROL!$C$22, $C$13, 100%, $E$13)</f>
        <v>19.324400000000001</v>
      </c>
      <c r="F989" s="64">
        <f>19.3244 * CHOOSE(CONTROL!$C$22, $C$13, 100%, $E$13)</f>
        <v>19.324400000000001</v>
      </c>
      <c r="G989" s="64">
        <f>19.3245 * CHOOSE(CONTROL!$C$22, $C$13, 100%, $E$13)</f>
        <v>19.3245</v>
      </c>
      <c r="H989" s="64">
        <f>33.2384* CHOOSE(CONTROL!$C$22, $C$13, 100%, $E$13)</f>
        <v>33.238399999999999</v>
      </c>
      <c r="I989" s="64">
        <f>33.2385 * CHOOSE(CONTROL!$C$22, $C$13, 100%, $E$13)</f>
        <v>33.238500000000002</v>
      </c>
      <c r="J989" s="64">
        <f>19.3244 * CHOOSE(CONTROL!$C$22, $C$13, 100%, $E$13)</f>
        <v>19.324400000000001</v>
      </c>
      <c r="K989" s="64">
        <f>19.3245 * CHOOSE(CONTROL!$C$22, $C$13, 100%, $E$13)</f>
        <v>19.3245</v>
      </c>
    </row>
    <row r="990" spans="1:11" ht="15">
      <c r="A990" s="13">
        <v>71621</v>
      </c>
      <c r="B990" s="63">
        <f>17.1381 * CHOOSE(CONTROL!$C$22, $C$13, 100%, $E$13)</f>
        <v>17.138100000000001</v>
      </c>
      <c r="C990" s="63">
        <f>17.1381 * CHOOSE(CONTROL!$C$22, $C$13, 100%, $E$13)</f>
        <v>17.138100000000001</v>
      </c>
      <c r="D990" s="63">
        <f>17.1381 * CHOOSE(CONTROL!$C$22, $C$13, 100%, $E$13)</f>
        <v>17.138100000000001</v>
      </c>
      <c r="E990" s="64">
        <f>18.9735 * CHOOSE(CONTROL!$C$22, $C$13, 100%, $E$13)</f>
        <v>18.973500000000001</v>
      </c>
      <c r="F990" s="64">
        <f>18.9735 * CHOOSE(CONTROL!$C$22, $C$13, 100%, $E$13)</f>
        <v>18.973500000000001</v>
      </c>
      <c r="G990" s="64">
        <f>18.9735 * CHOOSE(CONTROL!$C$22, $C$13, 100%, $E$13)</f>
        <v>18.973500000000001</v>
      </c>
      <c r="H990" s="64">
        <f>33.3076* CHOOSE(CONTROL!$C$22, $C$13, 100%, $E$13)</f>
        <v>33.307600000000001</v>
      </c>
      <c r="I990" s="64">
        <f>33.3077 * CHOOSE(CONTROL!$C$22, $C$13, 100%, $E$13)</f>
        <v>33.307699999999997</v>
      </c>
      <c r="J990" s="64">
        <f>18.9735 * CHOOSE(CONTROL!$C$22, $C$13, 100%, $E$13)</f>
        <v>18.973500000000001</v>
      </c>
      <c r="K990" s="64">
        <f>18.9735 * CHOOSE(CONTROL!$C$22, $C$13, 100%, $E$13)</f>
        <v>18.973500000000001</v>
      </c>
    </row>
    <row r="991" spans="1:11" ht="15">
      <c r="A991" s="13">
        <v>71650</v>
      </c>
      <c r="B991" s="63">
        <f>17.1351 * CHOOSE(CONTROL!$C$22, $C$13, 100%, $E$13)</f>
        <v>17.135100000000001</v>
      </c>
      <c r="C991" s="63">
        <f>17.1351 * CHOOSE(CONTROL!$C$22, $C$13, 100%, $E$13)</f>
        <v>17.135100000000001</v>
      </c>
      <c r="D991" s="63">
        <f>17.1351 * CHOOSE(CONTROL!$C$22, $C$13, 100%, $E$13)</f>
        <v>17.135100000000001</v>
      </c>
      <c r="E991" s="64">
        <f>19.2463 * CHOOSE(CONTROL!$C$22, $C$13, 100%, $E$13)</f>
        <v>19.246300000000002</v>
      </c>
      <c r="F991" s="64">
        <f>19.2463 * CHOOSE(CONTROL!$C$22, $C$13, 100%, $E$13)</f>
        <v>19.246300000000002</v>
      </c>
      <c r="G991" s="64">
        <f>19.2464 * CHOOSE(CONTROL!$C$22, $C$13, 100%, $E$13)</f>
        <v>19.246400000000001</v>
      </c>
      <c r="H991" s="64">
        <f>33.377* CHOOSE(CONTROL!$C$22, $C$13, 100%, $E$13)</f>
        <v>33.377000000000002</v>
      </c>
      <c r="I991" s="64">
        <f>33.3771 * CHOOSE(CONTROL!$C$22, $C$13, 100%, $E$13)</f>
        <v>33.377099999999999</v>
      </c>
      <c r="J991" s="64">
        <f>19.2463 * CHOOSE(CONTROL!$C$22, $C$13, 100%, $E$13)</f>
        <v>19.246300000000002</v>
      </c>
      <c r="K991" s="64">
        <f>19.2464 * CHOOSE(CONTROL!$C$22, $C$13, 100%, $E$13)</f>
        <v>19.246400000000001</v>
      </c>
    </row>
    <row r="992" spans="1:11" ht="15">
      <c r="A992" s="13">
        <v>71681</v>
      </c>
      <c r="B992" s="63">
        <f>17.1437 * CHOOSE(CONTROL!$C$22, $C$13, 100%, $E$13)</f>
        <v>17.143699999999999</v>
      </c>
      <c r="C992" s="63">
        <f>17.1437 * CHOOSE(CONTROL!$C$22, $C$13, 100%, $E$13)</f>
        <v>17.143699999999999</v>
      </c>
      <c r="D992" s="63">
        <f>17.1437 * CHOOSE(CONTROL!$C$22, $C$13, 100%, $E$13)</f>
        <v>17.143699999999999</v>
      </c>
      <c r="E992" s="64">
        <f>19.5374 * CHOOSE(CONTROL!$C$22, $C$13, 100%, $E$13)</f>
        <v>19.537400000000002</v>
      </c>
      <c r="F992" s="64">
        <f>19.5374 * CHOOSE(CONTROL!$C$22, $C$13, 100%, $E$13)</f>
        <v>19.537400000000002</v>
      </c>
      <c r="G992" s="64">
        <f>19.5375 * CHOOSE(CONTROL!$C$22, $C$13, 100%, $E$13)</f>
        <v>19.537500000000001</v>
      </c>
      <c r="H992" s="64">
        <f>33.4466* CHOOSE(CONTROL!$C$22, $C$13, 100%, $E$13)</f>
        <v>33.446599999999997</v>
      </c>
      <c r="I992" s="64">
        <f>33.4466 * CHOOSE(CONTROL!$C$22, $C$13, 100%, $E$13)</f>
        <v>33.446599999999997</v>
      </c>
      <c r="J992" s="64">
        <f>19.5374 * CHOOSE(CONTROL!$C$22, $C$13, 100%, $E$13)</f>
        <v>19.537400000000002</v>
      </c>
      <c r="K992" s="64">
        <f>19.5375 * CHOOSE(CONTROL!$C$22, $C$13, 100%, $E$13)</f>
        <v>19.537500000000001</v>
      </c>
    </row>
    <row r="993" spans="1:11" ht="15">
      <c r="A993" s="13">
        <v>71711</v>
      </c>
      <c r="B993" s="63">
        <f>17.1437 * CHOOSE(CONTROL!$C$22, $C$13, 100%, $E$13)</f>
        <v>17.143699999999999</v>
      </c>
      <c r="C993" s="63">
        <f>17.1437 * CHOOSE(CONTROL!$C$22, $C$13, 100%, $E$13)</f>
        <v>17.143699999999999</v>
      </c>
      <c r="D993" s="63">
        <f>17.1521 * CHOOSE(CONTROL!$C$22, $C$13, 100%, $E$13)</f>
        <v>17.152100000000001</v>
      </c>
      <c r="E993" s="64">
        <f>19.6481 * CHOOSE(CONTROL!$C$22, $C$13, 100%, $E$13)</f>
        <v>19.648099999999999</v>
      </c>
      <c r="F993" s="64">
        <f>19.6481 * CHOOSE(CONTROL!$C$22, $C$13, 100%, $E$13)</f>
        <v>19.648099999999999</v>
      </c>
      <c r="G993" s="64">
        <f>19.6583 * CHOOSE(CONTROL!$C$22, $C$13, 100%, $E$13)</f>
        <v>19.658300000000001</v>
      </c>
      <c r="H993" s="64">
        <f>33.5162* CHOOSE(CONTROL!$C$22, $C$13, 100%, $E$13)</f>
        <v>33.516199999999998</v>
      </c>
      <c r="I993" s="64">
        <f>33.5265 * CHOOSE(CONTROL!$C$22, $C$13, 100%, $E$13)</f>
        <v>33.526499999999999</v>
      </c>
      <c r="J993" s="64">
        <f>19.6481 * CHOOSE(CONTROL!$C$22, $C$13, 100%, $E$13)</f>
        <v>19.648099999999999</v>
      </c>
      <c r="K993" s="64">
        <f>19.6583 * CHOOSE(CONTROL!$C$22, $C$13, 100%, $E$13)</f>
        <v>19.658300000000001</v>
      </c>
    </row>
    <row r="994" spans="1:11" ht="15">
      <c r="A994" s="13">
        <v>71742</v>
      </c>
      <c r="B994" s="63">
        <f>17.1498 * CHOOSE(CONTROL!$C$22, $C$13, 100%, $E$13)</f>
        <v>17.149799999999999</v>
      </c>
      <c r="C994" s="63">
        <f>17.1498 * CHOOSE(CONTROL!$C$22, $C$13, 100%, $E$13)</f>
        <v>17.149799999999999</v>
      </c>
      <c r="D994" s="63">
        <f>17.1582 * CHOOSE(CONTROL!$C$22, $C$13, 100%, $E$13)</f>
        <v>17.158200000000001</v>
      </c>
      <c r="E994" s="64">
        <f>19.5416 * CHOOSE(CONTROL!$C$22, $C$13, 100%, $E$13)</f>
        <v>19.541599999999999</v>
      </c>
      <c r="F994" s="64">
        <f>19.5416 * CHOOSE(CONTROL!$C$22, $C$13, 100%, $E$13)</f>
        <v>19.541599999999999</v>
      </c>
      <c r="G994" s="64">
        <f>19.5518 * CHOOSE(CONTROL!$C$22, $C$13, 100%, $E$13)</f>
        <v>19.5518</v>
      </c>
      <c r="H994" s="64">
        <f>33.5861* CHOOSE(CONTROL!$C$22, $C$13, 100%, $E$13)</f>
        <v>33.586100000000002</v>
      </c>
      <c r="I994" s="64">
        <f>33.5963 * CHOOSE(CONTROL!$C$22, $C$13, 100%, $E$13)</f>
        <v>33.596299999999999</v>
      </c>
      <c r="J994" s="64">
        <f>19.5416 * CHOOSE(CONTROL!$C$22, $C$13, 100%, $E$13)</f>
        <v>19.541599999999999</v>
      </c>
      <c r="K994" s="64">
        <f>19.5518 * CHOOSE(CONTROL!$C$22, $C$13, 100%, $E$13)</f>
        <v>19.5518</v>
      </c>
    </row>
    <row r="995" spans="1:11" ht="15">
      <c r="A995" s="13">
        <v>71772</v>
      </c>
      <c r="B995" s="63">
        <f>17.4078 * CHOOSE(CONTROL!$C$22, $C$13, 100%, $E$13)</f>
        <v>17.407800000000002</v>
      </c>
      <c r="C995" s="63">
        <f>17.4078 * CHOOSE(CONTROL!$C$22, $C$13, 100%, $E$13)</f>
        <v>17.407800000000002</v>
      </c>
      <c r="D995" s="63">
        <f>17.4162 * CHOOSE(CONTROL!$C$22, $C$13, 100%, $E$13)</f>
        <v>17.4162</v>
      </c>
      <c r="E995" s="64">
        <f>19.8499 * CHOOSE(CONTROL!$C$22, $C$13, 100%, $E$13)</f>
        <v>19.849900000000002</v>
      </c>
      <c r="F995" s="64">
        <f>19.8499 * CHOOSE(CONTROL!$C$22, $C$13, 100%, $E$13)</f>
        <v>19.849900000000002</v>
      </c>
      <c r="G995" s="64">
        <f>19.8602 * CHOOSE(CONTROL!$C$22, $C$13, 100%, $E$13)</f>
        <v>19.860199999999999</v>
      </c>
      <c r="H995" s="64">
        <f>33.656* CHOOSE(CONTROL!$C$22, $C$13, 100%, $E$13)</f>
        <v>33.655999999999999</v>
      </c>
      <c r="I995" s="64">
        <f>33.6663 * CHOOSE(CONTROL!$C$22, $C$13, 100%, $E$13)</f>
        <v>33.6663</v>
      </c>
      <c r="J995" s="64">
        <f>19.8499 * CHOOSE(CONTROL!$C$22, $C$13, 100%, $E$13)</f>
        <v>19.849900000000002</v>
      </c>
      <c r="K995" s="64">
        <f>19.8602 * CHOOSE(CONTROL!$C$22, $C$13, 100%, $E$13)</f>
        <v>19.860199999999999</v>
      </c>
    </row>
    <row r="996" spans="1:11" ht="15">
      <c r="A996" s="13">
        <v>71803</v>
      </c>
      <c r="B996" s="63">
        <f>17.4144 * CHOOSE(CONTROL!$C$22, $C$13, 100%, $E$13)</f>
        <v>17.414400000000001</v>
      </c>
      <c r="C996" s="63">
        <f>17.4144 * CHOOSE(CONTROL!$C$22, $C$13, 100%, $E$13)</f>
        <v>17.414400000000001</v>
      </c>
      <c r="D996" s="63">
        <f>17.4229 * CHOOSE(CONTROL!$C$22, $C$13, 100%, $E$13)</f>
        <v>17.422899999999998</v>
      </c>
      <c r="E996" s="64">
        <f>19.5224 * CHOOSE(CONTROL!$C$22, $C$13, 100%, $E$13)</f>
        <v>19.522400000000001</v>
      </c>
      <c r="F996" s="64">
        <f>19.5224 * CHOOSE(CONTROL!$C$22, $C$13, 100%, $E$13)</f>
        <v>19.522400000000001</v>
      </c>
      <c r="G996" s="64">
        <f>19.5326 * CHOOSE(CONTROL!$C$22, $C$13, 100%, $E$13)</f>
        <v>19.532599999999999</v>
      </c>
      <c r="H996" s="64">
        <f>33.7262* CHOOSE(CONTROL!$C$22, $C$13, 100%, $E$13)</f>
        <v>33.726199999999999</v>
      </c>
      <c r="I996" s="64">
        <f>33.7364 * CHOOSE(CONTROL!$C$22, $C$13, 100%, $E$13)</f>
        <v>33.736400000000003</v>
      </c>
      <c r="J996" s="64">
        <f>19.5224 * CHOOSE(CONTROL!$C$22, $C$13, 100%, $E$13)</f>
        <v>19.522400000000001</v>
      </c>
      <c r="K996" s="64">
        <f>19.5326 * CHOOSE(CONTROL!$C$22, $C$13, 100%, $E$13)</f>
        <v>19.532599999999999</v>
      </c>
    </row>
    <row r="997" spans="1:11" ht="15">
      <c r="A997" s="13">
        <v>71834</v>
      </c>
      <c r="B997" s="63">
        <f>17.4114 * CHOOSE(CONTROL!$C$22, $C$13, 100%, $E$13)</f>
        <v>17.4114</v>
      </c>
      <c r="C997" s="63">
        <f>17.4114 * CHOOSE(CONTROL!$C$22, $C$13, 100%, $E$13)</f>
        <v>17.4114</v>
      </c>
      <c r="D997" s="63">
        <f>17.4198 * CHOOSE(CONTROL!$C$22, $C$13, 100%, $E$13)</f>
        <v>17.419799999999999</v>
      </c>
      <c r="E997" s="64">
        <f>19.4834 * CHOOSE(CONTROL!$C$22, $C$13, 100%, $E$13)</f>
        <v>19.4834</v>
      </c>
      <c r="F997" s="64">
        <f>19.4834 * CHOOSE(CONTROL!$C$22, $C$13, 100%, $E$13)</f>
        <v>19.4834</v>
      </c>
      <c r="G997" s="64">
        <f>19.4936 * CHOOSE(CONTROL!$C$22, $C$13, 100%, $E$13)</f>
        <v>19.493600000000001</v>
      </c>
      <c r="H997" s="64">
        <f>33.7964* CHOOSE(CONTROL!$C$22, $C$13, 100%, $E$13)</f>
        <v>33.796399999999998</v>
      </c>
      <c r="I997" s="64">
        <f>33.8066 * CHOOSE(CONTROL!$C$22, $C$13, 100%, $E$13)</f>
        <v>33.806600000000003</v>
      </c>
      <c r="J997" s="64">
        <f>19.4834 * CHOOSE(CONTROL!$C$22, $C$13, 100%, $E$13)</f>
        <v>19.4834</v>
      </c>
      <c r="K997" s="64">
        <f>19.4936 * CHOOSE(CONTROL!$C$22, $C$13, 100%, $E$13)</f>
        <v>19.493600000000001</v>
      </c>
    </row>
    <row r="998" spans="1:11" ht="15">
      <c r="A998" s="13">
        <v>71864</v>
      </c>
      <c r="B998" s="63">
        <f>17.4495 * CHOOSE(CONTROL!$C$22, $C$13, 100%, $E$13)</f>
        <v>17.4495</v>
      </c>
      <c r="C998" s="63">
        <f>17.4495 * CHOOSE(CONTROL!$C$22, $C$13, 100%, $E$13)</f>
        <v>17.4495</v>
      </c>
      <c r="D998" s="63">
        <f>17.4495 * CHOOSE(CONTROL!$C$22, $C$13, 100%, $E$13)</f>
        <v>17.4495</v>
      </c>
      <c r="E998" s="64">
        <f>19.6176 * CHOOSE(CONTROL!$C$22, $C$13, 100%, $E$13)</f>
        <v>19.617599999999999</v>
      </c>
      <c r="F998" s="64">
        <f>19.6176 * CHOOSE(CONTROL!$C$22, $C$13, 100%, $E$13)</f>
        <v>19.617599999999999</v>
      </c>
      <c r="G998" s="64">
        <f>19.6177 * CHOOSE(CONTROL!$C$22, $C$13, 100%, $E$13)</f>
        <v>19.617699999999999</v>
      </c>
      <c r="H998" s="64">
        <f>33.8668* CHOOSE(CONTROL!$C$22, $C$13, 100%, $E$13)</f>
        <v>33.866799999999998</v>
      </c>
      <c r="I998" s="64">
        <f>33.8669 * CHOOSE(CONTROL!$C$22, $C$13, 100%, $E$13)</f>
        <v>33.866900000000001</v>
      </c>
      <c r="J998" s="64">
        <f>19.6176 * CHOOSE(CONTROL!$C$22, $C$13, 100%, $E$13)</f>
        <v>19.617599999999999</v>
      </c>
      <c r="K998" s="64">
        <f>19.6177 * CHOOSE(CONTROL!$C$22, $C$13, 100%, $E$13)</f>
        <v>19.617699999999999</v>
      </c>
    </row>
    <row r="999" spans="1:11" ht="15">
      <c r="A999" s="13">
        <v>71895</v>
      </c>
      <c r="B999" s="63">
        <f>17.4526 * CHOOSE(CONTROL!$C$22, $C$13, 100%, $E$13)</f>
        <v>17.4526</v>
      </c>
      <c r="C999" s="63">
        <f>17.4526 * CHOOSE(CONTROL!$C$22, $C$13, 100%, $E$13)</f>
        <v>17.4526</v>
      </c>
      <c r="D999" s="63">
        <f>17.4526 * CHOOSE(CONTROL!$C$22, $C$13, 100%, $E$13)</f>
        <v>17.4526</v>
      </c>
      <c r="E999" s="64">
        <f>19.6935 * CHOOSE(CONTROL!$C$22, $C$13, 100%, $E$13)</f>
        <v>19.6935</v>
      </c>
      <c r="F999" s="64">
        <f>19.6935 * CHOOSE(CONTROL!$C$22, $C$13, 100%, $E$13)</f>
        <v>19.6935</v>
      </c>
      <c r="G999" s="64">
        <f>19.6936 * CHOOSE(CONTROL!$C$22, $C$13, 100%, $E$13)</f>
        <v>19.6936</v>
      </c>
      <c r="H999" s="64">
        <f>33.9374* CHOOSE(CONTROL!$C$22, $C$13, 100%, $E$13)</f>
        <v>33.937399999999997</v>
      </c>
      <c r="I999" s="64">
        <f>33.9375 * CHOOSE(CONTROL!$C$22, $C$13, 100%, $E$13)</f>
        <v>33.9375</v>
      </c>
      <c r="J999" s="64">
        <f>19.6935 * CHOOSE(CONTROL!$C$22, $C$13, 100%, $E$13)</f>
        <v>19.6935</v>
      </c>
      <c r="K999" s="64">
        <f>19.6936 * CHOOSE(CONTROL!$C$22, $C$13, 100%, $E$13)</f>
        <v>19.6936</v>
      </c>
    </row>
    <row r="1000" spans="1:11" ht="15">
      <c r="A1000" s="13">
        <v>71925</v>
      </c>
      <c r="B1000" s="63">
        <f>17.4526 * CHOOSE(CONTROL!$C$22, $C$13, 100%, $E$13)</f>
        <v>17.4526</v>
      </c>
      <c r="C1000" s="63">
        <f>17.4526 * CHOOSE(CONTROL!$C$22, $C$13, 100%, $E$13)</f>
        <v>17.4526</v>
      </c>
      <c r="D1000" s="63">
        <f>17.4526 * CHOOSE(CONTROL!$C$22, $C$13, 100%, $E$13)</f>
        <v>17.4526</v>
      </c>
      <c r="E1000" s="64">
        <f>19.509 * CHOOSE(CONTROL!$C$22, $C$13, 100%, $E$13)</f>
        <v>19.509</v>
      </c>
      <c r="F1000" s="64">
        <f>19.509 * CHOOSE(CONTROL!$C$22, $C$13, 100%, $E$13)</f>
        <v>19.509</v>
      </c>
      <c r="G1000" s="64">
        <f>19.5091 * CHOOSE(CONTROL!$C$22, $C$13, 100%, $E$13)</f>
        <v>19.5091</v>
      </c>
      <c r="H1000" s="64">
        <f>34.0081* CHOOSE(CONTROL!$C$22, $C$13, 100%, $E$13)</f>
        <v>34.008099999999999</v>
      </c>
      <c r="I1000" s="64">
        <f>34.0082 * CHOOSE(CONTROL!$C$22, $C$13, 100%, $E$13)</f>
        <v>34.008200000000002</v>
      </c>
      <c r="J1000" s="64">
        <f>19.509 * CHOOSE(CONTROL!$C$22, $C$13, 100%, $E$13)</f>
        <v>19.509</v>
      </c>
      <c r="K1000" s="64">
        <f>19.5091 * CHOOSE(CONTROL!$C$22, $C$13, 100%, $E$13)</f>
        <v>19.5091</v>
      </c>
    </row>
    <row r="1001" spans="1:11" ht="15">
      <c r="A1001" s="13">
        <v>71956</v>
      </c>
      <c r="B1001" s="63">
        <f>17.3767 * CHOOSE(CONTROL!$C$22, $C$13, 100%, $E$13)</f>
        <v>17.3767</v>
      </c>
      <c r="C1001" s="63">
        <f>17.3767 * CHOOSE(CONTROL!$C$22, $C$13, 100%, $E$13)</f>
        <v>17.3767</v>
      </c>
      <c r="D1001" s="63">
        <f>17.3767 * CHOOSE(CONTROL!$C$22, $C$13, 100%, $E$13)</f>
        <v>17.3767</v>
      </c>
      <c r="E1001" s="64">
        <f>19.5791 * CHOOSE(CONTROL!$C$22, $C$13, 100%, $E$13)</f>
        <v>19.5791</v>
      </c>
      <c r="F1001" s="64">
        <f>19.5791 * CHOOSE(CONTROL!$C$22, $C$13, 100%, $E$13)</f>
        <v>19.5791</v>
      </c>
      <c r="G1001" s="64">
        <f>19.5792 * CHOOSE(CONTROL!$C$22, $C$13, 100%, $E$13)</f>
        <v>19.5792</v>
      </c>
      <c r="H1001" s="64">
        <f>33.6843* CHOOSE(CONTROL!$C$22, $C$13, 100%, $E$13)</f>
        <v>33.6843</v>
      </c>
      <c r="I1001" s="64">
        <f>33.6844 * CHOOSE(CONTROL!$C$22, $C$13, 100%, $E$13)</f>
        <v>33.684399999999997</v>
      </c>
      <c r="J1001" s="64">
        <f>19.5791 * CHOOSE(CONTROL!$C$22, $C$13, 100%, $E$13)</f>
        <v>19.5791</v>
      </c>
      <c r="K1001" s="64">
        <f>19.5792 * CHOOSE(CONTROL!$C$22, $C$13, 100%, $E$13)</f>
        <v>19.5792</v>
      </c>
    </row>
    <row r="1002" spans="1:11" ht="15">
      <c r="A1002" s="13">
        <v>71987</v>
      </c>
      <c r="B1002" s="63">
        <f>17.3737 * CHOOSE(CONTROL!$C$22, $C$13, 100%, $E$13)</f>
        <v>17.373699999999999</v>
      </c>
      <c r="C1002" s="63">
        <f>17.3737 * CHOOSE(CONTROL!$C$22, $C$13, 100%, $E$13)</f>
        <v>17.373699999999999</v>
      </c>
      <c r="D1002" s="63">
        <f>17.3737 * CHOOSE(CONTROL!$C$22, $C$13, 100%, $E$13)</f>
        <v>17.373699999999999</v>
      </c>
      <c r="E1002" s="64">
        <f>19.2233 * CHOOSE(CONTROL!$C$22, $C$13, 100%, $E$13)</f>
        <v>19.223299999999998</v>
      </c>
      <c r="F1002" s="64">
        <f>19.2233 * CHOOSE(CONTROL!$C$22, $C$13, 100%, $E$13)</f>
        <v>19.223299999999998</v>
      </c>
      <c r="G1002" s="64">
        <f>19.2233 * CHOOSE(CONTROL!$C$22, $C$13, 100%, $E$13)</f>
        <v>19.223299999999998</v>
      </c>
      <c r="H1002" s="64">
        <f>33.7545* CHOOSE(CONTROL!$C$22, $C$13, 100%, $E$13)</f>
        <v>33.7545</v>
      </c>
      <c r="I1002" s="64">
        <f>33.7545 * CHOOSE(CONTROL!$C$22, $C$13, 100%, $E$13)</f>
        <v>33.7545</v>
      </c>
      <c r="J1002" s="64">
        <f>19.2233 * CHOOSE(CONTROL!$C$22, $C$13, 100%, $E$13)</f>
        <v>19.223299999999998</v>
      </c>
      <c r="K1002" s="64">
        <f>19.2233 * CHOOSE(CONTROL!$C$22, $C$13, 100%, $E$13)</f>
        <v>19.223299999999998</v>
      </c>
    </row>
    <row r="1003" spans="1:11" ht="15">
      <c r="A1003" s="13">
        <v>72015</v>
      </c>
      <c r="B1003" s="63">
        <f>17.3706 * CHOOSE(CONTROL!$C$22, $C$13, 100%, $E$13)</f>
        <v>17.3706</v>
      </c>
      <c r="C1003" s="63">
        <f>17.3706 * CHOOSE(CONTROL!$C$22, $C$13, 100%, $E$13)</f>
        <v>17.3706</v>
      </c>
      <c r="D1003" s="63">
        <f>17.3707 * CHOOSE(CONTROL!$C$22, $C$13, 100%, $E$13)</f>
        <v>17.370699999999999</v>
      </c>
      <c r="E1003" s="64">
        <f>19.5 * CHOOSE(CONTROL!$C$22, $C$13, 100%, $E$13)</f>
        <v>19.5</v>
      </c>
      <c r="F1003" s="64">
        <f>19.5 * CHOOSE(CONTROL!$C$22, $C$13, 100%, $E$13)</f>
        <v>19.5</v>
      </c>
      <c r="G1003" s="64">
        <f>19.5001 * CHOOSE(CONTROL!$C$22, $C$13, 100%, $E$13)</f>
        <v>19.5001</v>
      </c>
      <c r="H1003" s="64">
        <f>33.8248* CHOOSE(CONTROL!$C$22, $C$13, 100%, $E$13)</f>
        <v>33.824800000000003</v>
      </c>
      <c r="I1003" s="64">
        <f>33.8249 * CHOOSE(CONTROL!$C$22, $C$13, 100%, $E$13)</f>
        <v>33.8249</v>
      </c>
      <c r="J1003" s="64">
        <f>19.5 * CHOOSE(CONTROL!$C$22, $C$13, 100%, $E$13)</f>
        <v>19.5</v>
      </c>
      <c r="K1003" s="64">
        <f>19.5001 * CHOOSE(CONTROL!$C$22, $C$13, 100%, $E$13)</f>
        <v>19.5001</v>
      </c>
    </row>
    <row r="1004" spans="1:11" ht="15">
      <c r="A1004" s="13">
        <v>72046</v>
      </c>
      <c r="B1004" s="63">
        <f>17.3795 * CHOOSE(CONTROL!$C$22, $C$13, 100%, $E$13)</f>
        <v>17.3795</v>
      </c>
      <c r="C1004" s="63">
        <f>17.3795 * CHOOSE(CONTROL!$C$22, $C$13, 100%, $E$13)</f>
        <v>17.3795</v>
      </c>
      <c r="D1004" s="63">
        <f>17.3795 * CHOOSE(CONTROL!$C$22, $C$13, 100%, $E$13)</f>
        <v>17.3795</v>
      </c>
      <c r="E1004" s="64">
        <f>19.7952 * CHOOSE(CONTROL!$C$22, $C$13, 100%, $E$13)</f>
        <v>19.795200000000001</v>
      </c>
      <c r="F1004" s="64">
        <f>19.7952 * CHOOSE(CONTROL!$C$22, $C$13, 100%, $E$13)</f>
        <v>19.795200000000001</v>
      </c>
      <c r="G1004" s="64">
        <f>19.7953 * CHOOSE(CONTROL!$C$22, $C$13, 100%, $E$13)</f>
        <v>19.795300000000001</v>
      </c>
      <c r="H1004" s="64">
        <f>33.8952* CHOOSE(CONTROL!$C$22, $C$13, 100%, $E$13)</f>
        <v>33.895200000000003</v>
      </c>
      <c r="I1004" s="64">
        <f>33.8953 * CHOOSE(CONTROL!$C$22, $C$13, 100%, $E$13)</f>
        <v>33.895299999999999</v>
      </c>
      <c r="J1004" s="64">
        <f>19.7952 * CHOOSE(CONTROL!$C$22, $C$13, 100%, $E$13)</f>
        <v>19.795200000000001</v>
      </c>
      <c r="K1004" s="64">
        <f>19.7953 * CHOOSE(CONTROL!$C$22, $C$13, 100%, $E$13)</f>
        <v>19.795300000000001</v>
      </c>
    </row>
    <row r="1005" spans="1:11" ht="15">
      <c r="A1005" s="13">
        <v>72076</v>
      </c>
      <c r="B1005" s="63">
        <f>17.3795 * CHOOSE(CONTROL!$C$22, $C$13, 100%, $E$13)</f>
        <v>17.3795</v>
      </c>
      <c r="C1005" s="63">
        <f>17.3795 * CHOOSE(CONTROL!$C$22, $C$13, 100%, $E$13)</f>
        <v>17.3795</v>
      </c>
      <c r="D1005" s="63">
        <f>17.3879 * CHOOSE(CONTROL!$C$22, $C$13, 100%, $E$13)</f>
        <v>17.387899999999998</v>
      </c>
      <c r="E1005" s="64">
        <f>19.9075 * CHOOSE(CONTROL!$C$22, $C$13, 100%, $E$13)</f>
        <v>19.907499999999999</v>
      </c>
      <c r="F1005" s="64">
        <f>19.9075 * CHOOSE(CONTROL!$C$22, $C$13, 100%, $E$13)</f>
        <v>19.907499999999999</v>
      </c>
      <c r="G1005" s="64">
        <f>19.9178 * CHOOSE(CONTROL!$C$22, $C$13, 100%, $E$13)</f>
        <v>19.9178</v>
      </c>
      <c r="H1005" s="64">
        <f>33.9659* CHOOSE(CONTROL!$C$22, $C$13, 100%, $E$13)</f>
        <v>33.965899999999998</v>
      </c>
      <c r="I1005" s="64">
        <f>33.9761 * CHOOSE(CONTROL!$C$22, $C$13, 100%, $E$13)</f>
        <v>33.976100000000002</v>
      </c>
      <c r="J1005" s="64">
        <f>19.9075 * CHOOSE(CONTROL!$C$22, $C$13, 100%, $E$13)</f>
        <v>19.907499999999999</v>
      </c>
      <c r="K1005" s="64">
        <f>19.9178 * CHOOSE(CONTROL!$C$22, $C$13, 100%, $E$13)</f>
        <v>19.9178</v>
      </c>
    </row>
    <row r="1006" spans="1:11" ht="15">
      <c r="A1006" s="13">
        <v>72107</v>
      </c>
      <c r="B1006" s="63">
        <f>17.3855 * CHOOSE(CONTROL!$C$22, $C$13, 100%, $E$13)</f>
        <v>17.3855</v>
      </c>
      <c r="C1006" s="63">
        <f>17.3855 * CHOOSE(CONTROL!$C$22, $C$13, 100%, $E$13)</f>
        <v>17.3855</v>
      </c>
      <c r="D1006" s="63">
        <f>17.394 * CHOOSE(CONTROL!$C$22, $C$13, 100%, $E$13)</f>
        <v>17.393999999999998</v>
      </c>
      <c r="E1006" s="64">
        <f>19.7995 * CHOOSE(CONTROL!$C$22, $C$13, 100%, $E$13)</f>
        <v>19.799499999999998</v>
      </c>
      <c r="F1006" s="64">
        <f>19.7995 * CHOOSE(CONTROL!$C$22, $C$13, 100%, $E$13)</f>
        <v>19.799499999999998</v>
      </c>
      <c r="G1006" s="64">
        <f>19.8097 * CHOOSE(CONTROL!$C$22, $C$13, 100%, $E$13)</f>
        <v>19.809699999999999</v>
      </c>
      <c r="H1006" s="64">
        <f>34.0366* CHOOSE(CONTROL!$C$22, $C$13, 100%, $E$13)</f>
        <v>34.0366</v>
      </c>
      <c r="I1006" s="64">
        <f>34.0468 * CHOOSE(CONTROL!$C$22, $C$13, 100%, $E$13)</f>
        <v>34.046799999999998</v>
      </c>
      <c r="J1006" s="64">
        <f>19.7995 * CHOOSE(CONTROL!$C$22, $C$13, 100%, $E$13)</f>
        <v>19.799499999999998</v>
      </c>
      <c r="K1006" s="64">
        <f>19.8097 * CHOOSE(CONTROL!$C$22, $C$13, 100%, $E$13)</f>
        <v>19.809699999999999</v>
      </c>
    </row>
    <row r="1007" spans="1:11" ht="15">
      <c r="A1007" s="13">
        <v>72137</v>
      </c>
      <c r="B1007" s="63">
        <f>17.6469 * CHOOSE(CONTROL!$C$22, $C$13, 100%, $E$13)</f>
        <v>17.646899999999999</v>
      </c>
      <c r="C1007" s="63">
        <f>17.6469 * CHOOSE(CONTROL!$C$22, $C$13, 100%, $E$13)</f>
        <v>17.646899999999999</v>
      </c>
      <c r="D1007" s="63">
        <f>17.6554 * CHOOSE(CONTROL!$C$22, $C$13, 100%, $E$13)</f>
        <v>17.6554</v>
      </c>
      <c r="E1007" s="64">
        <f>20.1117 * CHOOSE(CONTROL!$C$22, $C$13, 100%, $E$13)</f>
        <v>20.111699999999999</v>
      </c>
      <c r="F1007" s="64">
        <f>20.1117 * CHOOSE(CONTROL!$C$22, $C$13, 100%, $E$13)</f>
        <v>20.111699999999999</v>
      </c>
      <c r="G1007" s="64">
        <f>20.1219 * CHOOSE(CONTROL!$C$22, $C$13, 100%, $E$13)</f>
        <v>20.1219</v>
      </c>
      <c r="H1007" s="64">
        <f>34.1075* CHOOSE(CONTROL!$C$22, $C$13, 100%, $E$13)</f>
        <v>34.107500000000002</v>
      </c>
      <c r="I1007" s="64">
        <f>34.1178 * CHOOSE(CONTROL!$C$22, $C$13, 100%, $E$13)</f>
        <v>34.117800000000003</v>
      </c>
      <c r="J1007" s="64">
        <f>20.1117 * CHOOSE(CONTROL!$C$22, $C$13, 100%, $E$13)</f>
        <v>20.111699999999999</v>
      </c>
      <c r="K1007" s="64">
        <f>20.1219 * CHOOSE(CONTROL!$C$22, $C$13, 100%, $E$13)</f>
        <v>20.1219</v>
      </c>
    </row>
    <row r="1008" spans="1:11" ht="15">
      <c r="A1008" s="13">
        <v>72168</v>
      </c>
      <c r="B1008" s="63">
        <f>17.6536 * CHOOSE(CONTROL!$C$22, $C$13, 100%, $E$13)</f>
        <v>17.653600000000001</v>
      </c>
      <c r="C1008" s="63">
        <f>17.6536 * CHOOSE(CONTROL!$C$22, $C$13, 100%, $E$13)</f>
        <v>17.653600000000001</v>
      </c>
      <c r="D1008" s="63">
        <f>17.6621 * CHOOSE(CONTROL!$C$22, $C$13, 100%, $E$13)</f>
        <v>17.662099999999999</v>
      </c>
      <c r="E1008" s="64">
        <f>19.7795 * CHOOSE(CONTROL!$C$22, $C$13, 100%, $E$13)</f>
        <v>19.779499999999999</v>
      </c>
      <c r="F1008" s="64">
        <f>19.7795 * CHOOSE(CONTROL!$C$22, $C$13, 100%, $E$13)</f>
        <v>19.779499999999999</v>
      </c>
      <c r="G1008" s="64">
        <f>19.7897 * CHOOSE(CONTROL!$C$22, $C$13, 100%, $E$13)</f>
        <v>19.7897</v>
      </c>
      <c r="H1008" s="64">
        <f>34.1786* CHOOSE(CONTROL!$C$22, $C$13, 100%, $E$13)</f>
        <v>34.178600000000003</v>
      </c>
      <c r="I1008" s="64">
        <f>34.1888 * CHOOSE(CONTROL!$C$22, $C$13, 100%, $E$13)</f>
        <v>34.188800000000001</v>
      </c>
      <c r="J1008" s="64">
        <f>19.7795 * CHOOSE(CONTROL!$C$22, $C$13, 100%, $E$13)</f>
        <v>19.779499999999999</v>
      </c>
      <c r="K1008" s="64">
        <f>19.7897 * CHOOSE(CONTROL!$C$22, $C$13, 100%, $E$13)</f>
        <v>19.7897</v>
      </c>
    </row>
    <row r="1009" spans="1:11" ht="15">
      <c r="A1009" s="13">
        <v>72199</v>
      </c>
      <c r="B1009" s="63">
        <f>17.6506 * CHOOSE(CONTROL!$C$22, $C$13, 100%, $E$13)</f>
        <v>17.650600000000001</v>
      </c>
      <c r="C1009" s="63">
        <f>17.6506 * CHOOSE(CONTROL!$C$22, $C$13, 100%, $E$13)</f>
        <v>17.650600000000001</v>
      </c>
      <c r="D1009" s="63">
        <f>17.659 * CHOOSE(CONTROL!$C$22, $C$13, 100%, $E$13)</f>
        <v>17.658999999999999</v>
      </c>
      <c r="E1009" s="64">
        <f>19.7399 * CHOOSE(CONTROL!$C$22, $C$13, 100%, $E$13)</f>
        <v>19.739899999999999</v>
      </c>
      <c r="F1009" s="64">
        <f>19.7399 * CHOOSE(CONTROL!$C$22, $C$13, 100%, $E$13)</f>
        <v>19.739899999999999</v>
      </c>
      <c r="G1009" s="64">
        <f>19.7501 * CHOOSE(CONTROL!$C$22, $C$13, 100%, $E$13)</f>
        <v>19.7501</v>
      </c>
      <c r="H1009" s="64">
        <f>34.2498* CHOOSE(CONTROL!$C$22, $C$13, 100%, $E$13)</f>
        <v>34.2498</v>
      </c>
      <c r="I1009" s="64">
        <f>34.26 * CHOOSE(CONTROL!$C$22, $C$13, 100%, $E$13)</f>
        <v>34.26</v>
      </c>
      <c r="J1009" s="64">
        <f>19.7399 * CHOOSE(CONTROL!$C$22, $C$13, 100%, $E$13)</f>
        <v>19.739899999999999</v>
      </c>
      <c r="K1009" s="64">
        <f>19.7501 * CHOOSE(CONTROL!$C$22, $C$13, 100%, $E$13)</f>
        <v>19.7501</v>
      </c>
    </row>
    <row r="1010" spans="1:11" ht="15">
      <c r="A1010" s="13">
        <v>72229</v>
      </c>
      <c r="B1010" s="63">
        <f>17.6895 * CHOOSE(CONTROL!$C$22, $C$13, 100%, $E$13)</f>
        <v>17.689499999999999</v>
      </c>
      <c r="C1010" s="63">
        <f>17.6895 * CHOOSE(CONTROL!$C$22, $C$13, 100%, $E$13)</f>
        <v>17.689499999999999</v>
      </c>
      <c r="D1010" s="63">
        <f>17.6895 * CHOOSE(CONTROL!$C$22, $C$13, 100%, $E$13)</f>
        <v>17.689499999999999</v>
      </c>
      <c r="E1010" s="64">
        <f>19.8762 * CHOOSE(CONTROL!$C$22, $C$13, 100%, $E$13)</f>
        <v>19.876200000000001</v>
      </c>
      <c r="F1010" s="64">
        <f>19.8762 * CHOOSE(CONTROL!$C$22, $C$13, 100%, $E$13)</f>
        <v>19.876200000000001</v>
      </c>
      <c r="G1010" s="64">
        <f>19.8763 * CHOOSE(CONTROL!$C$22, $C$13, 100%, $E$13)</f>
        <v>19.876300000000001</v>
      </c>
      <c r="H1010" s="64">
        <f>34.3211* CHOOSE(CONTROL!$C$22, $C$13, 100%, $E$13)</f>
        <v>34.321100000000001</v>
      </c>
      <c r="I1010" s="64">
        <f>34.3212 * CHOOSE(CONTROL!$C$22, $C$13, 100%, $E$13)</f>
        <v>34.321199999999997</v>
      </c>
      <c r="J1010" s="64">
        <f>19.8762 * CHOOSE(CONTROL!$C$22, $C$13, 100%, $E$13)</f>
        <v>19.876200000000001</v>
      </c>
      <c r="K1010" s="64">
        <f>19.8763 * CHOOSE(CONTROL!$C$22, $C$13, 100%, $E$13)</f>
        <v>19.876300000000001</v>
      </c>
    </row>
    <row r="1011" spans="1:11" ht="15">
      <c r="A1011" s="13">
        <v>72260</v>
      </c>
      <c r="B1011" s="63">
        <f>17.6925 * CHOOSE(CONTROL!$C$22, $C$13, 100%, $E$13)</f>
        <v>17.692499999999999</v>
      </c>
      <c r="C1011" s="63">
        <f>17.6925 * CHOOSE(CONTROL!$C$22, $C$13, 100%, $E$13)</f>
        <v>17.692499999999999</v>
      </c>
      <c r="D1011" s="63">
        <f>17.6925 * CHOOSE(CONTROL!$C$22, $C$13, 100%, $E$13)</f>
        <v>17.692499999999999</v>
      </c>
      <c r="E1011" s="64">
        <f>19.9532 * CHOOSE(CONTROL!$C$22, $C$13, 100%, $E$13)</f>
        <v>19.953199999999999</v>
      </c>
      <c r="F1011" s="64">
        <f>19.9532 * CHOOSE(CONTROL!$C$22, $C$13, 100%, $E$13)</f>
        <v>19.953199999999999</v>
      </c>
      <c r="G1011" s="64">
        <f>19.9533 * CHOOSE(CONTROL!$C$22, $C$13, 100%, $E$13)</f>
        <v>19.953299999999999</v>
      </c>
      <c r="H1011" s="64">
        <f>34.3927* CHOOSE(CONTROL!$C$22, $C$13, 100%, $E$13)</f>
        <v>34.392699999999998</v>
      </c>
      <c r="I1011" s="64">
        <f>34.3927 * CHOOSE(CONTROL!$C$22, $C$13, 100%, $E$13)</f>
        <v>34.392699999999998</v>
      </c>
      <c r="J1011" s="64">
        <f>19.9532 * CHOOSE(CONTROL!$C$22, $C$13, 100%, $E$13)</f>
        <v>19.953199999999999</v>
      </c>
      <c r="K1011" s="64">
        <f>19.9533 * CHOOSE(CONTROL!$C$22, $C$13, 100%, $E$13)</f>
        <v>19.953299999999999</v>
      </c>
    </row>
    <row r="1012" spans="1:11" ht="15">
      <c r="A1012" s="13">
        <v>72290</v>
      </c>
      <c r="B1012" s="63">
        <f>17.6925 * CHOOSE(CONTROL!$C$22, $C$13, 100%, $E$13)</f>
        <v>17.692499999999999</v>
      </c>
      <c r="C1012" s="63">
        <f>17.6925 * CHOOSE(CONTROL!$C$22, $C$13, 100%, $E$13)</f>
        <v>17.692499999999999</v>
      </c>
      <c r="D1012" s="63">
        <f>17.6925 * CHOOSE(CONTROL!$C$22, $C$13, 100%, $E$13)</f>
        <v>17.692499999999999</v>
      </c>
      <c r="E1012" s="64">
        <f>19.766 * CHOOSE(CONTROL!$C$22, $C$13, 100%, $E$13)</f>
        <v>19.765999999999998</v>
      </c>
      <c r="F1012" s="64">
        <f>19.766 * CHOOSE(CONTROL!$C$22, $C$13, 100%, $E$13)</f>
        <v>19.765999999999998</v>
      </c>
      <c r="G1012" s="64">
        <f>19.7661 * CHOOSE(CONTROL!$C$22, $C$13, 100%, $E$13)</f>
        <v>19.766100000000002</v>
      </c>
      <c r="H1012" s="64">
        <f>34.4643* CHOOSE(CONTROL!$C$22, $C$13, 100%, $E$13)</f>
        <v>34.464300000000001</v>
      </c>
      <c r="I1012" s="64">
        <f>34.4644 * CHOOSE(CONTROL!$C$22, $C$13, 100%, $E$13)</f>
        <v>34.464399999999998</v>
      </c>
      <c r="J1012" s="64">
        <f>19.766 * CHOOSE(CONTROL!$C$22, $C$13, 100%, $E$13)</f>
        <v>19.765999999999998</v>
      </c>
      <c r="K1012" s="64">
        <f>19.7661 * CHOOSE(CONTROL!$C$22, $C$13, 100%, $E$13)</f>
        <v>19.766100000000002</v>
      </c>
    </row>
    <row r="1013" spans="1:11" ht="15">
      <c r="A1013" s="13">
        <v>72321</v>
      </c>
      <c r="B1013" s="63">
        <f>17.6123 * CHOOSE(CONTROL!$C$22, $C$13, 100%, $E$13)</f>
        <v>17.612300000000001</v>
      </c>
      <c r="C1013" s="63">
        <f>17.6123 * CHOOSE(CONTROL!$C$22, $C$13, 100%, $E$13)</f>
        <v>17.612300000000001</v>
      </c>
      <c r="D1013" s="63">
        <f>17.6123 * CHOOSE(CONTROL!$C$22, $C$13, 100%, $E$13)</f>
        <v>17.612300000000001</v>
      </c>
      <c r="E1013" s="64">
        <f>19.8338 * CHOOSE(CONTROL!$C$22, $C$13, 100%, $E$13)</f>
        <v>19.8338</v>
      </c>
      <c r="F1013" s="64">
        <f>19.8338 * CHOOSE(CONTROL!$C$22, $C$13, 100%, $E$13)</f>
        <v>19.8338</v>
      </c>
      <c r="G1013" s="64">
        <f>19.8339 * CHOOSE(CONTROL!$C$22, $C$13, 100%, $E$13)</f>
        <v>19.8339</v>
      </c>
      <c r="H1013" s="64">
        <f>34.1302* CHOOSE(CONTROL!$C$22, $C$13, 100%, $E$13)</f>
        <v>34.130200000000002</v>
      </c>
      <c r="I1013" s="64">
        <f>34.1303 * CHOOSE(CONTROL!$C$22, $C$13, 100%, $E$13)</f>
        <v>34.130299999999998</v>
      </c>
      <c r="J1013" s="64">
        <f>19.8338 * CHOOSE(CONTROL!$C$22, $C$13, 100%, $E$13)</f>
        <v>19.8338</v>
      </c>
      <c r="K1013" s="64">
        <f>19.8339 * CHOOSE(CONTROL!$C$22, $C$13, 100%, $E$13)</f>
        <v>19.8339</v>
      </c>
    </row>
    <row r="1014" spans="1:11" ht="15">
      <c r="A1014" s="13">
        <v>72352</v>
      </c>
      <c r="B1014" s="63">
        <f>17.6093 * CHOOSE(CONTROL!$C$22, $C$13, 100%, $E$13)</f>
        <v>17.609300000000001</v>
      </c>
      <c r="C1014" s="63">
        <f>17.6093 * CHOOSE(CONTROL!$C$22, $C$13, 100%, $E$13)</f>
        <v>17.609300000000001</v>
      </c>
      <c r="D1014" s="63">
        <f>17.6093 * CHOOSE(CONTROL!$C$22, $C$13, 100%, $E$13)</f>
        <v>17.609300000000001</v>
      </c>
      <c r="E1014" s="64">
        <f>19.473 * CHOOSE(CONTROL!$C$22, $C$13, 100%, $E$13)</f>
        <v>19.472999999999999</v>
      </c>
      <c r="F1014" s="64">
        <f>19.473 * CHOOSE(CONTROL!$C$22, $C$13, 100%, $E$13)</f>
        <v>19.472999999999999</v>
      </c>
      <c r="G1014" s="64">
        <f>19.4731 * CHOOSE(CONTROL!$C$22, $C$13, 100%, $E$13)</f>
        <v>19.473099999999999</v>
      </c>
      <c r="H1014" s="64">
        <f>34.2013* CHOOSE(CONTROL!$C$22, $C$13, 100%, $E$13)</f>
        <v>34.201300000000003</v>
      </c>
      <c r="I1014" s="64">
        <f>34.2014 * CHOOSE(CONTROL!$C$22, $C$13, 100%, $E$13)</f>
        <v>34.2014</v>
      </c>
      <c r="J1014" s="64">
        <f>19.473 * CHOOSE(CONTROL!$C$22, $C$13, 100%, $E$13)</f>
        <v>19.472999999999999</v>
      </c>
      <c r="K1014" s="64">
        <f>19.4731 * CHOOSE(CONTROL!$C$22, $C$13, 100%, $E$13)</f>
        <v>19.473099999999999</v>
      </c>
    </row>
    <row r="1015" spans="1:11" ht="15">
      <c r="A1015" s="13">
        <v>72380</v>
      </c>
      <c r="B1015" s="63">
        <f>17.6062 * CHOOSE(CONTROL!$C$22, $C$13, 100%, $E$13)</f>
        <v>17.606200000000001</v>
      </c>
      <c r="C1015" s="63">
        <f>17.6062 * CHOOSE(CONTROL!$C$22, $C$13, 100%, $E$13)</f>
        <v>17.606200000000001</v>
      </c>
      <c r="D1015" s="63">
        <f>17.6062 * CHOOSE(CONTROL!$C$22, $C$13, 100%, $E$13)</f>
        <v>17.606200000000001</v>
      </c>
      <c r="E1015" s="64">
        <f>19.7537 * CHOOSE(CONTROL!$C$22, $C$13, 100%, $E$13)</f>
        <v>19.753699999999998</v>
      </c>
      <c r="F1015" s="64">
        <f>19.7537 * CHOOSE(CONTROL!$C$22, $C$13, 100%, $E$13)</f>
        <v>19.753699999999998</v>
      </c>
      <c r="G1015" s="64">
        <f>19.7538 * CHOOSE(CONTROL!$C$22, $C$13, 100%, $E$13)</f>
        <v>19.753799999999998</v>
      </c>
      <c r="H1015" s="64">
        <f>34.2725* CHOOSE(CONTROL!$C$22, $C$13, 100%, $E$13)</f>
        <v>34.272500000000001</v>
      </c>
      <c r="I1015" s="64">
        <f>34.2726 * CHOOSE(CONTROL!$C$22, $C$13, 100%, $E$13)</f>
        <v>34.272599999999997</v>
      </c>
      <c r="J1015" s="64">
        <f>19.7537 * CHOOSE(CONTROL!$C$22, $C$13, 100%, $E$13)</f>
        <v>19.753699999999998</v>
      </c>
      <c r="K1015" s="64">
        <f>19.7538 * CHOOSE(CONTROL!$C$22, $C$13, 100%, $E$13)</f>
        <v>19.753799999999998</v>
      </c>
    </row>
    <row r="1016" spans="1:11" ht="15">
      <c r="A1016" s="13">
        <v>72411</v>
      </c>
      <c r="B1016" s="63">
        <f>17.6152 * CHOOSE(CONTROL!$C$22, $C$13, 100%, $E$13)</f>
        <v>17.615200000000002</v>
      </c>
      <c r="C1016" s="63">
        <f>17.6152 * CHOOSE(CONTROL!$C$22, $C$13, 100%, $E$13)</f>
        <v>17.615200000000002</v>
      </c>
      <c r="D1016" s="63">
        <f>17.6152 * CHOOSE(CONTROL!$C$22, $C$13, 100%, $E$13)</f>
        <v>17.615200000000002</v>
      </c>
      <c r="E1016" s="64">
        <f>20.0531 * CHOOSE(CONTROL!$C$22, $C$13, 100%, $E$13)</f>
        <v>20.053100000000001</v>
      </c>
      <c r="F1016" s="64">
        <f>20.0531 * CHOOSE(CONTROL!$C$22, $C$13, 100%, $E$13)</f>
        <v>20.053100000000001</v>
      </c>
      <c r="G1016" s="64">
        <f>20.0532 * CHOOSE(CONTROL!$C$22, $C$13, 100%, $E$13)</f>
        <v>20.0532</v>
      </c>
      <c r="H1016" s="64">
        <f>34.3439* CHOOSE(CONTROL!$C$22, $C$13, 100%, $E$13)</f>
        <v>34.343899999999998</v>
      </c>
      <c r="I1016" s="64">
        <f>34.344 * CHOOSE(CONTROL!$C$22, $C$13, 100%, $E$13)</f>
        <v>34.344000000000001</v>
      </c>
      <c r="J1016" s="64">
        <f>20.0531 * CHOOSE(CONTROL!$C$22, $C$13, 100%, $E$13)</f>
        <v>20.053100000000001</v>
      </c>
      <c r="K1016" s="64">
        <f>20.0532 * CHOOSE(CONTROL!$C$22, $C$13, 100%, $E$13)</f>
        <v>20.0532</v>
      </c>
    </row>
    <row r="1017" spans="1:11" ht="15">
      <c r="A1017" s="13">
        <v>72441</v>
      </c>
      <c r="B1017" s="63">
        <f>17.6152 * CHOOSE(CONTROL!$C$22, $C$13, 100%, $E$13)</f>
        <v>17.615200000000002</v>
      </c>
      <c r="C1017" s="63">
        <f>17.6152 * CHOOSE(CONTROL!$C$22, $C$13, 100%, $E$13)</f>
        <v>17.615200000000002</v>
      </c>
      <c r="D1017" s="63">
        <f>17.6237 * CHOOSE(CONTROL!$C$22, $C$13, 100%, $E$13)</f>
        <v>17.623699999999999</v>
      </c>
      <c r="E1017" s="64">
        <f>20.167 * CHOOSE(CONTROL!$C$22, $C$13, 100%, $E$13)</f>
        <v>20.167000000000002</v>
      </c>
      <c r="F1017" s="64">
        <f>20.167 * CHOOSE(CONTROL!$C$22, $C$13, 100%, $E$13)</f>
        <v>20.167000000000002</v>
      </c>
      <c r="G1017" s="64">
        <f>20.1772 * CHOOSE(CONTROL!$C$22, $C$13, 100%, $E$13)</f>
        <v>20.177199999999999</v>
      </c>
      <c r="H1017" s="64">
        <f>34.4155* CHOOSE(CONTROL!$C$22, $C$13, 100%, $E$13)</f>
        <v>34.415500000000002</v>
      </c>
      <c r="I1017" s="64">
        <f>34.4257 * CHOOSE(CONTROL!$C$22, $C$13, 100%, $E$13)</f>
        <v>34.425699999999999</v>
      </c>
      <c r="J1017" s="64">
        <f>20.167 * CHOOSE(CONTROL!$C$22, $C$13, 100%, $E$13)</f>
        <v>20.167000000000002</v>
      </c>
      <c r="K1017" s="64">
        <f>20.1772 * CHOOSE(CONTROL!$C$22, $C$13, 100%, $E$13)</f>
        <v>20.177199999999999</v>
      </c>
    </row>
    <row r="1018" spans="1:11" ht="15">
      <c r="A1018" s="13">
        <v>72472</v>
      </c>
      <c r="B1018" s="63">
        <f>17.6213 * CHOOSE(CONTROL!$C$22, $C$13, 100%, $E$13)</f>
        <v>17.621300000000002</v>
      </c>
      <c r="C1018" s="63">
        <f>17.6213 * CHOOSE(CONTROL!$C$22, $C$13, 100%, $E$13)</f>
        <v>17.621300000000002</v>
      </c>
      <c r="D1018" s="63">
        <f>17.6297 * CHOOSE(CONTROL!$C$22, $C$13, 100%, $E$13)</f>
        <v>17.6297</v>
      </c>
      <c r="E1018" s="64">
        <f>20.0573 * CHOOSE(CONTROL!$C$22, $C$13, 100%, $E$13)</f>
        <v>20.057300000000001</v>
      </c>
      <c r="F1018" s="64">
        <f>20.0573 * CHOOSE(CONTROL!$C$22, $C$13, 100%, $E$13)</f>
        <v>20.057300000000001</v>
      </c>
      <c r="G1018" s="64">
        <f>20.0676 * CHOOSE(CONTROL!$C$22, $C$13, 100%, $E$13)</f>
        <v>20.067599999999999</v>
      </c>
      <c r="H1018" s="64">
        <f>34.4872* CHOOSE(CONTROL!$C$22, $C$13, 100%, $E$13)</f>
        <v>34.487200000000001</v>
      </c>
      <c r="I1018" s="64">
        <f>34.4974 * CHOOSE(CONTROL!$C$22, $C$13, 100%, $E$13)</f>
        <v>34.497399999999999</v>
      </c>
      <c r="J1018" s="64">
        <f>20.0573 * CHOOSE(CONTROL!$C$22, $C$13, 100%, $E$13)</f>
        <v>20.057300000000001</v>
      </c>
      <c r="K1018" s="64">
        <f>20.0676 * CHOOSE(CONTROL!$C$22, $C$13, 100%, $E$13)</f>
        <v>20.067599999999999</v>
      </c>
    </row>
    <row r="1019" spans="1:11" ht="15">
      <c r="A1019" s="13">
        <v>72502</v>
      </c>
      <c r="B1019" s="63">
        <f>17.8861 * CHOOSE(CONTROL!$C$22, $C$13, 100%, $E$13)</f>
        <v>17.886099999999999</v>
      </c>
      <c r="C1019" s="63">
        <f>17.8861 * CHOOSE(CONTROL!$C$22, $C$13, 100%, $E$13)</f>
        <v>17.886099999999999</v>
      </c>
      <c r="D1019" s="63">
        <f>17.8945 * CHOOSE(CONTROL!$C$22, $C$13, 100%, $E$13)</f>
        <v>17.894500000000001</v>
      </c>
      <c r="E1019" s="64">
        <f>20.3735 * CHOOSE(CONTROL!$C$22, $C$13, 100%, $E$13)</f>
        <v>20.3735</v>
      </c>
      <c r="F1019" s="64">
        <f>20.3735 * CHOOSE(CONTROL!$C$22, $C$13, 100%, $E$13)</f>
        <v>20.3735</v>
      </c>
      <c r="G1019" s="64">
        <f>20.3837 * CHOOSE(CONTROL!$C$22, $C$13, 100%, $E$13)</f>
        <v>20.383700000000001</v>
      </c>
      <c r="H1019" s="64">
        <f>34.559* CHOOSE(CONTROL!$C$22, $C$13, 100%, $E$13)</f>
        <v>34.558999999999997</v>
      </c>
      <c r="I1019" s="64">
        <f>34.5692 * CHOOSE(CONTROL!$C$22, $C$13, 100%, $E$13)</f>
        <v>34.569200000000002</v>
      </c>
      <c r="J1019" s="64">
        <f>20.3735 * CHOOSE(CONTROL!$C$22, $C$13, 100%, $E$13)</f>
        <v>20.3735</v>
      </c>
      <c r="K1019" s="64">
        <f>20.3837 * CHOOSE(CONTROL!$C$22, $C$13, 100%, $E$13)</f>
        <v>20.383700000000001</v>
      </c>
    </row>
    <row r="1020" spans="1:11" ht="15">
      <c r="A1020" s="13">
        <v>72533</v>
      </c>
      <c r="B1020" s="63">
        <f>17.8928 * CHOOSE(CONTROL!$C$22, $C$13, 100%, $E$13)</f>
        <v>17.892800000000001</v>
      </c>
      <c r="C1020" s="63">
        <f>17.8928 * CHOOSE(CONTROL!$C$22, $C$13, 100%, $E$13)</f>
        <v>17.892800000000001</v>
      </c>
      <c r="D1020" s="63">
        <f>17.9012 * CHOOSE(CONTROL!$C$22, $C$13, 100%, $E$13)</f>
        <v>17.901199999999999</v>
      </c>
      <c r="E1020" s="64">
        <f>20.0365 * CHOOSE(CONTROL!$C$22, $C$13, 100%, $E$13)</f>
        <v>20.0365</v>
      </c>
      <c r="F1020" s="64">
        <f>20.0365 * CHOOSE(CONTROL!$C$22, $C$13, 100%, $E$13)</f>
        <v>20.0365</v>
      </c>
      <c r="G1020" s="64">
        <f>20.0468 * CHOOSE(CONTROL!$C$22, $C$13, 100%, $E$13)</f>
        <v>20.046800000000001</v>
      </c>
      <c r="H1020" s="64">
        <f>34.631* CHOOSE(CONTROL!$C$22, $C$13, 100%, $E$13)</f>
        <v>34.631</v>
      </c>
      <c r="I1020" s="64">
        <f>34.6412 * CHOOSE(CONTROL!$C$22, $C$13, 100%, $E$13)</f>
        <v>34.641199999999998</v>
      </c>
      <c r="J1020" s="64">
        <f>20.0365 * CHOOSE(CONTROL!$C$22, $C$13, 100%, $E$13)</f>
        <v>20.0365</v>
      </c>
      <c r="K1020" s="64">
        <f>20.0468 * CHOOSE(CONTROL!$C$22, $C$13, 100%, $E$13)</f>
        <v>20.046800000000001</v>
      </c>
    </row>
    <row r="1021" spans="1:11" ht="15">
      <c r="A1021" s="13">
        <v>72564</v>
      </c>
      <c r="B1021" s="63">
        <f>17.8898 * CHOOSE(CONTROL!$C$22, $C$13, 100%, $E$13)</f>
        <v>17.889800000000001</v>
      </c>
      <c r="C1021" s="63">
        <f>17.8898 * CHOOSE(CONTROL!$C$22, $C$13, 100%, $E$13)</f>
        <v>17.889800000000001</v>
      </c>
      <c r="D1021" s="63">
        <f>17.8982 * CHOOSE(CONTROL!$C$22, $C$13, 100%, $E$13)</f>
        <v>17.898199999999999</v>
      </c>
      <c r="E1021" s="64">
        <f>19.9965 * CHOOSE(CONTROL!$C$22, $C$13, 100%, $E$13)</f>
        <v>19.996500000000001</v>
      </c>
      <c r="F1021" s="64">
        <f>19.9965 * CHOOSE(CONTROL!$C$22, $C$13, 100%, $E$13)</f>
        <v>19.996500000000001</v>
      </c>
      <c r="G1021" s="64">
        <f>20.0067 * CHOOSE(CONTROL!$C$22, $C$13, 100%, $E$13)</f>
        <v>20.006699999999999</v>
      </c>
      <c r="H1021" s="64">
        <f>34.7032* CHOOSE(CONTROL!$C$22, $C$13, 100%, $E$13)</f>
        <v>34.703200000000002</v>
      </c>
      <c r="I1021" s="64">
        <f>34.7134 * CHOOSE(CONTROL!$C$22, $C$13, 100%, $E$13)</f>
        <v>34.7134</v>
      </c>
      <c r="J1021" s="64">
        <f>19.9965 * CHOOSE(CONTROL!$C$22, $C$13, 100%, $E$13)</f>
        <v>19.996500000000001</v>
      </c>
      <c r="K1021" s="64">
        <f>20.0067 * CHOOSE(CONTROL!$C$22, $C$13, 100%, $E$13)</f>
        <v>20.006699999999999</v>
      </c>
    </row>
    <row r="1022" spans="1:11" ht="15">
      <c r="A1022" s="13">
        <v>72594</v>
      </c>
      <c r="B1022" s="63">
        <f>17.9294 * CHOOSE(CONTROL!$C$22, $C$13, 100%, $E$13)</f>
        <v>17.929400000000001</v>
      </c>
      <c r="C1022" s="63">
        <f>17.9294 * CHOOSE(CONTROL!$C$22, $C$13, 100%, $E$13)</f>
        <v>17.929400000000001</v>
      </c>
      <c r="D1022" s="63">
        <f>17.9294 * CHOOSE(CONTROL!$C$22, $C$13, 100%, $E$13)</f>
        <v>17.929400000000001</v>
      </c>
      <c r="E1022" s="64">
        <f>20.1349 * CHOOSE(CONTROL!$C$22, $C$13, 100%, $E$13)</f>
        <v>20.134899999999998</v>
      </c>
      <c r="F1022" s="64">
        <f>20.1349 * CHOOSE(CONTROL!$C$22, $C$13, 100%, $E$13)</f>
        <v>20.134899999999998</v>
      </c>
      <c r="G1022" s="64">
        <f>20.1349 * CHOOSE(CONTROL!$C$22, $C$13, 100%, $E$13)</f>
        <v>20.134899999999998</v>
      </c>
      <c r="H1022" s="64">
        <f>34.7755* CHOOSE(CONTROL!$C$22, $C$13, 100%, $E$13)</f>
        <v>34.775500000000001</v>
      </c>
      <c r="I1022" s="64">
        <f>34.7756 * CHOOSE(CONTROL!$C$22, $C$13, 100%, $E$13)</f>
        <v>34.775599999999997</v>
      </c>
      <c r="J1022" s="64">
        <f>20.1349 * CHOOSE(CONTROL!$C$22, $C$13, 100%, $E$13)</f>
        <v>20.134899999999998</v>
      </c>
      <c r="K1022" s="64">
        <f>20.1349 * CHOOSE(CONTROL!$C$22, $C$13, 100%, $E$13)</f>
        <v>20.134899999999998</v>
      </c>
    </row>
    <row r="1023" spans="1:11" ht="15">
      <c r="A1023" s="13">
        <v>72625</v>
      </c>
      <c r="B1023" s="63">
        <f>17.9324 * CHOOSE(CONTROL!$C$22, $C$13, 100%, $E$13)</f>
        <v>17.932400000000001</v>
      </c>
      <c r="C1023" s="63">
        <f>17.9324 * CHOOSE(CONTROL!$C$22, $C$13, 100%, $E$13)</f>
        <v>17.932400000000001</v>
      </c>
      <c r="D1023" s="63">
        <f>17.9324 * CHOOSE(CONTROL!$C$22, $C$13, 100%, $E$13)</f>
        <v>17.932400000000001</v>
      </c>
      <c r="E1023" s="64">
        <f>20.2129 * CHOOSE(CONTROL!$C$22, $C$13, 100%, $E$13)</f>
        <v>20.212900000000001</v>
      </c>
      <c r="F1023" s="64">
        <f>20.2129 * CHOOSE(CONTROL!$C$22, $C$13, 100%, $E$13)</f>
        <v>20.212900000000001</v>
      </c>
      <c r="G1023" s="64">
        <f>20.213 * CHOOSE(CONTROL!$C$22, $C$13, 100%, $E$13)</f>
        <v>20.213000000000001</v>
      </c>
      <c r="H1023" s="64">
        <f>34.8479* CHOOSE(CONTROL!$C$22, $C$13, 100%, $E$13)</f>
        <v>34.847900000000003</v>
      </c>
      <c r="I1023" s="64">
        <f>34.848 * CHOOSE(CONTROL!$C$22, $C$13, 100%, $E$13)</f>
        <v>34.847999999999999</v>
      </c>
      <c r="J1023" s="64">
        <f>20.2129 * CHOOSE(CONTROL!$C$22, $C$13, 100%, $E$13)</f>
        <v>20.212900000000001</v>
      </c>
      <c r="K1023" s="64">
        <f>20.213 * CHOOSE(CONTROL!$C$22, $C$13, 100%, $E$13)</f>
        <v>20.213000000000001</v>
      </c>
    </row>
    <row r="1024" spans="1:11" ht="15">
      <c r="A1024" s="13">
        <v>72655</v>
      </c>
      <c r="B1024" s="63">
        <f>17.9324 * CHOOSE(CONTROL!$C$22, $C$13, 100%, $E$13)</f>
        <v>17.932400000000001</v>
      </c>
      <c r="C1024" s="63">
        <f>17.9324 * CHOOSE(CONTROL!$C$22, $C$13, 100%, $E$13)</f>
        <v>17.932400000000001</v>
      </c>
      <c r="D1024" s="63">
        <f>17.9324 * CHOOSE(CONTROL!$C$22, $C$13, 100%, $E$13)</f>
        <v>17.932400000000001</v>
      </c>
      <c r="E1024" s="64">
        <f>20.0231 * CHOOSE(CONTROL!$C$22, $C$13, 100%, $E$13)</f>
        <v>20.023099999999999</v>
      </c>
      <c r="F1024" s="64">
        <f>20.0231 * CHOOSE(CONTROL!$C$22, $C$13, 100%, $E$13)</f>
        <v>20.023099999999999</v>
      </c>
      <c r="G1024" s="64">
        <f>20.0232 * CHOOSE(CONTROL!$C$22, $C$13, 100%, $E$13)</f>
        <v>20.023199999999999</v>
      </c>
      <c r="H1024" s="64">
        <f>34.9205* CHOOSE(CONTROL!$C$22, $C$13, 100%, $E$13)</f>
        <v>34.920499999999997</v>
      </c>
      <c r="I1024" s="64">
        <f>34.9206 * CHOOSE(CONTROL!$C$22, $C$13, 100%, $E$13)</f>
        <v>34.9206</v>
      </c>
      <c r="J1024" s="64">
        <f>20.0231 * CHOOSE(CONTROL!$C$22, $C$13, 100%, $E$13)</f>
        <v>20.023099999999999</v>
      </c>
      <c r="K1024" s="64">
        <f>20.0232 * CHOOSE(CONTROL!$C$22, $C$13, 100%, $E$13)</f>
        <v>20.023199999999999</v>
      </c>
    </row>
    <row r="1025" spans="1:11" ht="15">
      <c r="A1025" s="13">
        <v>72686</v>
      </c>
      <c r="B1025" s="63">
        <f>17.8479 * CHOOSE(CONTROL!$C$22, $C$13, 100%, $E$13)</f>
        <v>17.847899999999999</v>
      </c>
      <c r="C1025" s="63">
        <f>17.8479 * CHOOSE(CONTROL!$C$22, $C$13, 100%, $E$13)</f>
        <v>17.847899999999999</v>
      </c>
      <c r="D1025" s="63">
        <f>17.8479 * CHOOSE(CONTROL!$C$22, $C$13, 100%, $E$13)</f>
        <v>17.847899999999999</v>
      </c>
      <c r="E1025" s="64">
        <f>20.0886 * CHOOSE(CONTROL!$C$22, $C$13, 100%, $E$13)</f>
        <v>20.0886</v>
      </c>
      <c r="F1025" s="64">
        <f>20.0886 * CHOOSE(CONTROL!$C$22, $C$13, 100%, $E$13)</f>
        <v>20.0886</v>
      </c>
      <c r="G1025" s="64">
        <f>20.0886 * CHOOSE(CONTROL!$C$22, $C$13, 100%, $E$13)</f>
        <v>20.0886</v>
      </c>
      <c r="H1025" s="64">
        <f>34.5761* CHOOSE(CONTROL!$C$22, $C$13, 100%, $E$13)</f>
        <v>34.576099999999997</v>
      </c>
      <c r="I1025" s="64">
        <f>34.5761 * CHOOSE(CONTROL!$C$22, $C$13, 100%, $E$13)</f>
        <v>34.576099999999997</v>
      </c>
      <c r="J1025" s="64">
        <f>20.0886 * CHOOSE(CONTROL!$C$22, $C$13, 100%, $E$13)</f>
        <v>20.0886</v>
      </c>
      <c r="K1025" s="64">
        <f>20.0886 * CHOOSE(CONTROL!$C$22, $C$13, 100%, $E$13)</f>
        <v>20.0886</v>
      </c>
    </row>
    <row r="1026" spans="1:11" ht="15">
      <c r="A1026" s="13">
        <v>72717</v>
      </c>
      <c r="B1026" s="63">
        <f>17.8448 * CHOOSE(CONTROL!$C$22, $C$13, 100%, $E$13)</f>
        <v>17.844799999999999</v>
      </c>
      <c r="C1026" s="63">
        <f>17.8448 * CHOOSE(CONTROL!$C$22, $C$13, 100%, $E$13)</f>
        <v>17.844799999999999</v>
      </c>
      <c r="D1026" s="63">
        <f>17.8448 * CHOOSE(CONTROL!$C$22, $C$13, 100%, $E$13)</f>
        <v>17.844799999999999</v>
      </c>
      <c r="E1026" s="64">
        <f>19.7228 * CHOOSE(CONTROL!$C$22, $C$13, 100%, $E$13)</f>
        <v>19.722799999999999</v>
      </c>
      <c r="F1026" s="64">
        <f>19.7228 * CHOOSE(CONTROL!$C$22, $C$13, 100%, $E$13)</f>
        <v>19.722799999999999</v>
      </c>
      <c r="G1026" s="64">
        <f>19.7229 * CHOOSE(CONTROL!$C$22, $C$13, 100%, $E$13)</f>
        <v>19.722899999999999</v>
      </c>
      <c r="H1026" s="64">
        <f>34.6481* CHOOSE(CONTROL!$C$22, $C$13, 100%, $E$13)</f>
        <v>34.648099999999999</v>
      </c>
      <c r="I1026" s="64">
        <f>34.6482 * CHOOSE(CONTROL!$C$22, $C$13, 100%, $E$13)</f>
        <v>34.648200000000003</v>
      </c>
      <c r="J1026" s="64">
        <f>19.7228 * CHOOSE(CONTROL!$C$22, $C$13, 100%, $E$13)</f>
        <v>19.722799999999999</v>
      </c>
      <c r="K1026" s="64">
        <f>19.7229 * CHOOSE(CONTROL!$C$22, $C$13, 100%, $E$13)</f>
        <v>19.722899999999999</v>
      </c>
    </row>
    <row r="1027" spans="1:11" ht="15">
      <c r="A1027" s="13">
        <v>72745</v>
      </c>
      <c r="B1027" s="63">
        <f>17.8418 * CHOOSE(CONTROL!$C$22, $C$13, 100%, $E$13)</f>
        <v>17.841799999999999</v>
      </c>
      <c r="C1027" s="63">
        <f>17.8418 * CHOOSE(CONTROL!$C$22, $C$13, 100%, $E$13)</f>
        <v>17.841799999999999</v>
      </c>
      <c r="D1027" s="63">
        <f>17.8418 * CHOOSE(CONTROL!$C$22, $C$13, 100%, $E$13)</f>
        <v>17.841799999999999</v>
      </c>
      <c r="E1027" s="64">
        <f>20.0074 * CHOOSE(CONTROL!$C$22, $C$13, 100%, $E$13)</f>
        <v>20.007400000000001</v>
      </c>
      <c r="F1027" s="64">
        <f>20.0074 * CHOOSE(CONTROL!$C$22, $C$13, 100%, $E$13)</f>
        <v>20.007400000000001</v>
      </c>
      <c r="G1027" s="64">
        <f>20.0074 * CHOOSE(CONTROL!$C$22, $C$13, 100%, $E$13)</f>
        <v>20.007400000000001</v>
      </c>
      <c r="H1027" s="64">
        <f>34.7203* CHOOSE(CONTROL!$C$22, $C$13, 100%, $E$13)</f>
        <v>34.720300000000002</v>
      </c>
      <c r="I1027" s="64">
        <f>34.7204 * CHOOSE(CONTROL!$C$22, $C$13, 100%, $E$13)</f>
        <v>34.720399999999998</v>
      </c>
      <c r="J1027" s="64">
        <f>20.0074 * CHOOSE(CONTROL!$C$22, $C$13, 100%, $E$13)</f>
        <v>20.007400000000001</v>
      </c>
      <c r="K1027" s="64">
        <f>20.0074 * CHOOSE(CONTROL!$C$22, $C$13, 100%, $E$13)</f>
        <v>20.007400000000001</v>
      </c>
    </row>
    <row r="1028" spans="1:11" ht="15">
      <c r="A1028" s="13">
        <v>72776</v>
      </c>
      <c r="B1028" s="63">
        <f>17.851 * CHOOSE(CONTROL!$C$22, $C$13, 100%, $E$13)</f>
        <v>17.850999999999999</v>
      </c>
      <c r="C1028" s="63">
        <f>17.851 * CHOOSE(CONTROL!$C$22, $C$13, 100%, $E$13)</f>
        <v>17.850999999999999</v>
      </c>
      <c r="D1028" s="63">
        <f>17.851 * CHOOSE(CONTROL!$C$22, $C$13, 100%, $E$13)</f>
        <v>17.850999999999999</v>
      </c>
      <c r="E1028" s="64">
        <f>20.311 * CHOOSE(CONTROL!$C$22, $C$13, 100%, $E$13)</f>
        <v>20.311</v>
      </c>
      <c r="F1028" s="64">
        <f>20.311 * CHOOSE(CONTROL!$C$22, $C$13, 100%, $E$13)</f>
        <v>20.311</v>
      </c>
      <c r="G1028" s="64">
        <f>20.311 * CHOOSE(CONTROL!$C$22, $C$13, 100%, $E$13)</f>
        <v>20.311</v>
      </c>
      <c r="H1028" s="64">
        <f>34.7926* CHOOSE(CONTROL!$C$22, $C$13, 100%, $E$13)</f>
        <v>34.7926</v>
      </c>
      <c r="I1028" s="64">
        <f>34.7927 * CHOOSE(CONTROL!$C$22, $C$13, 100%, $E$13)</f>
        <v>34.792700000000004</v>
      </c>
      <c r="J1028" s="64">
        <f>20.311 * CHOOSE(CONTROL!$C$22, $C$13, 100%, $E$13)</f>
        <v>20.311</v>
      </c>
      <c r="K1028" s="64">
        <f>20.311 * CHOOSE(CONTROL!$C$22, $C$13, 100%, $E$13)</f>
        <v>20.311</v>
      </c>
    </row>
    <row r="1029" spans="1:11" ht="15">
      <c r="A1029" s="13">
        <v>72806</v>
      </c>
      <c r="B1029" s="63">
        <f>17.851 * CHOOSE(CONTROL!$C$22, $C$13, 100%, $E$13)</f>
        <v>17.850999999999999</v>
      </c>
      <c r="C1029" s="63">
        <f>17.851 * CHOOSE(CONTROL!$C$22, $C$13, 100%, $E$13)</f>
        <v>17.850999999999999</v>
      </c>
      <c r="D1029" s="63">
        <f>17.8594 * CHOOSE(CONTROL!$C$22, $C$13, 100%, $E$13)</f>
        <v>17.859400000000001</v>
      </c>
      <c r="E1029" s="64">
        <f>20.4264 * CHOOSE(CONTROL!$C$22, $C$13, 100%, $E$13)</f>
        <v>20.426400000000001</v>
      </c>
      <c r="F1029" s="64">
        <f>20.4264 * CHOOSE(CONTROL!$C$22, $C$13, 100%, $E$13)</f>
        <v>20.426400000000001</v>
      </c>
      <c r="G1029" s="64">
        <f>20.4366 * CHOOSE(CONTROL!$C$22, $C$13, 100%, $E$13)</f>
        <v>20.436599999999999</v>
      </c>
      <c r="H1029" s="64">
        <f>34.8651* CHOOSE(CONTROL!$C$22, $C$13, 100%, $E$13)</f>
        <v>34.865099999999998</v>
      </c>
      <c r="I1029" s="64">
        <f>34.8753 * CHOOSE(CONTROL!$C$22, $C$13, 100%, $E$13)</f>
        <v>34.875300000000003</v>
      </c>
      <c r="J1029" s="64">
        <f>20.4264 * CHOOSE(CONTROL!$C$22, $C$13, 100%, $E$13)</f>
        <v>20.426400000000001</v>
      </c>
      <c r="K1029" s="64">
        <f>20.4366 * CHOOSE(CONTROL!$C$22, $C$13, 100%, $E$13)</f>
        <v>20.436599999999999</v>
      </c>
    </row>
    <row r="1030" spans="1:11" ht="15">
      <c r="A1030" s="13">
        <v>72837</v>
      </c>
      <c r="B1030" s="63">
        <f>17.8571 * CHOOSE(CONTROL!$C$22, $C$13, 100%, $E$13)</f>
        <v>17.857099999999999</v>
      </c>
      <c r="C1030" s="63">
        <f>17.8571 * CHOOSE(CONTROL!$C$22, $C$13, 100%, $E$13)</f>
        <v>17.857099999999999</v>
      </c>
      <c r="D1030" s="63">
        <f>17.8655 * CHOOSE(CONTROL!$C$22, $C$13, 100%, $E$13)</f>
        <v>17.865500000000001</v>
      </c>
      <c r="E1030" s="64">
        <f>20.3152 * CHOOSE(CONTROL!$C$22, $C$13, 100%, $E$13)</f>
        <v>20.315200000000001</v>
      </c>
      <c r="F1030" s="64">
        <f>20.3152 * CHOOSE(CONTROL!$C$22, $C$13, 100%, $E$13)</f>
        <v>20.315200000000001</v>
      </c>
      <c r="G1030" s="64">
        <f>20.3254 * CHOOSE(CONTROL!$C$22, $C$13, 100%, $E$13)</f>
        <v>20.325399999999998</v>
      </c>
      <c r="H1030" s="64">
        <f>34.9377* CHOOSE(CONTROL!$C$22, $C$13, 100%, $E$13)</f>
        <v>34.9377</v>
      </c>
      <c r="I1030" s="64">
        <f>34.948 * CHOOSE(CONTROL!$C$22, $C$13, 100%, $E$13)</f>
        <v>34.948</v>
      </c>
      <c r="J1030" s="64">
        <f>20.3152 * CHOOSE(CONTROL!$C$22, $C$13, 100%, $E$13)</f>
        <v>20.315200000000001</v>
      </c>
      <c r="K1030" s="64">
        <f>20.3254 * CHOOSE(CONTROL!$C$22, $C$13, 100%, $E$13)</f>
        <v>20.325399999999998</v>
      </c>
    </row>
    <row r="1031" spans="1:11" ht="15">
      <c r="A1031" s="13">
        <v>72867</v>
      </c>
      <c r="B1031" s="63">
        <f>18.1253 * CHOOSE(CONTROL!$C$22, $C$13, 100%, $E$13)</f>
        <v>18.125299999999999</v>
      </c>
      <c r="C1031" s="63">
        <f>18.1253 * CHOOSE(CONTROL!$C$22, $C$13, 100%, $E$13)</f>
        <v>18.125299999999999</v>
      </c>
      <c r="D1031" s="63">
        <f>18.1337 * CHOOSE(CONTROL!$C$22, $C$13, 100%, $E$13)</f>
        <v>18.133700000000001</v>
      </c>
      <c r="E1031" s="64">
        <f>20.6353 * CHOOSE(CONTROL!$C$22, $C$13, 100%, $E$13)</f>
        <v>20.635300000000001</v>
      </c>
      <c r="F1031" s="64">
        <f>20.6353 * CHOOSE(CONTROL!$C$22, $C$13, 100%, $E$13)</f>
        <v>20.635300000000001</v>
      </c>
      <c r="G1031" s="64">
        <f>20.6455 * CHOOSE(CONTROL!$C$22, $C$13, 100%, $E$13)</f>
        <v>20.645499999999998</v>
      </c>
      <c r="H1031" s="64">
        <f>35.0105* CHOOSE(CONTROL!$C$22, $C$13, 100%, $E$13)</f>
        <v>35.0105</v>
      </c>
      <c r="I1031" s="64">
        <f>35.0207 * CHOOSE(CONTROL!$C$22, $C$13, 100%, $E$13)</f>
        <v>35.020699999999998</v>
      </c>
      <c r="J1031" s="64">
        <f>20.6353 * CHOOSE(CONTROL!$C$22, $C$13, 100%, $E$13)</f>
        <v>20.635300000000001</v>
      </c>
      <c r="K1031" s="64">
        <f>20.6455 * CHOOSE(CONTROL!$C$22, $C$13, 100%, $E$13)</f>
        <v>20.645499999999998</v>
      </c>
    </row>
    <row r="1032" spans="1:11" ht="15">
      <c r="A1032" s="13">
        <v>72898</v>
      </c>
      <c r="B1032" s="63">
        <f>18.132 * CHOOSE(CONTROL!$C$22, $C$13, 100%, $E$13)</f>
        <v>18.132000000000001</v>
      </c>
      <c r="C1032" s="63">
        <f>18.132 * CHOOSE(CONTROL!$C$22, $C$13, 100%, $E$13)</f>
        <v>18.132000000000001</v>
      </c>
      <c r="D1032" s="63">
        <f>18.1404 * CHOOSE(CONTROL!$C$22, $C$13, 100%, $E$13)</f>
        <v>18.1404</v>
      </c>
      <c r="E1032" s="64">
        <f>20.2936 * CHOOSE(CONTROL!$C$22, $C$13, 100%, $E$13)</f>
        <v>20.293600000000001</v>
      </c>
      <c r="F1032" s="64">
        <f>20.2936 * CHOOSE(CONTROL!$C$22, $C$13, 100%, $E$13)</f>
        <v>20.293600000000001</v>
      </c>
      <c r="G1032" s="64">
        <f>20.3038 * CHOOSE(CONTROL!$C$22, $C$13, 100%, $E$13)</f>
        <v>20.303799999999999</v>
      </c>
      <c r="H1032" s="64">
        <f>35.0835* CHOOSE(CONTROL!$C$22, $C$13, 100%, $E$13)</f>
        <v>35.083500000000001</v>
      </c>
      <c r="I1032" s="64">
        <f>35.0937 * CHOOSE(CONTROL!$C$22, $C$13, 100%, $E$13)</f>
        <v>35.093699999999998</v>
      </c>
      <c r="J1032" s="64">
        <f>20.2936 * CHOOSE(CONTROL!$C$22, $C$13, 100%, $E$13)</f>
        <v>20.293600000000001</v>
      </c>
      <c r="K1032" s="64">
        <f>20.3038 * CHOOSE(CONTROL!$C$22, $C$13, 100%, $E$13)</f>
        <v>20.303799999999999</v>
      </c>
    </row>
    <row r="1033" spans="1:11" ht="15">
      <c r="A1033" s="13">
        <v>72929</v>
      </c>
      <c r="B1033" s="63">
        <f>18.1289 * CHOOSE(CONTROL!$C$22, $C$13, 100%, $E$13)</f>
        <v>18.128900000000002</v>
      </c>
      <c r="C1033" s="63">
        <f>18.1289 * CHOOSE(CONTROL!$C$22, $C$13, 100%, $E$13)</f>
        <v>18.128900000000002</v>
      </c>
      <c r="D1033" s="63">
        <f>18.1374 * CHOOSE(CONTROL!$C$22, $C$13, 100%, $E$13)</f>
        <v>18.1374</v>
      </c>
      <c r="E1033" s="64">
        <f>20.253 * CHOOSE(CONTROL!$C$22, $C$13, 100%, $E$13)</f>
        <v>20.253</v>
      </c>
      <c r="F1033" s="64">
        <f>20.253 * CHOOSE(CONTROL!$C$22, $C$13, 100%, $E$13)</f>
        <v>20.253</v>
      </c>
      <c r="G1033" s="64">
        <f>20.2632 * CHOOSE(CONTROL!$C$22, $C$13, 100%, $E$13)</f>
        <v>20.263200000000001</v>
      </c>
      <c r="H1033" s="64">
        <f>35.1565* CHOOSE(CONTROL!$C$22, $C$13, 100%, $E$13)</f>
        <v>35.156500000000001</v>
      </c>
      <c r="I1033" s="64">
        <f>35.1668 * CHOOSE(CONTROL!$C$22, $C$13, 100%, $E$13)</f>
        <v>35.166800000000002</v>
      </c>
      <c r="J1033" s="64">
        <f>20.253 * CHOOSE(CONTROL!$C$22, $C$13, 100%, $E$13)</f>
        <v>20.253</v>
      </c>
      <c r="K1033" s="64">
        <f>20.2632 * CHOOSE(CONTROL!$C$22, $C$13, 100%, $E$13)</f>
        <v>20.263200000000001</v>
      </c>
    </row>
    <row r="1034" spans="1:11" ht="15">
      <c r="A1034" s="13">
        <v>72959</v>
      </c>
      <c r="B1034" s="63">
        <f>18.1693 * CHOOSE(CONTROL!$C$22, $C$13, 100%, $E$13)</f>
        <v>18.1693</v>
      </c>
      <c r="C1034" s="63">
        <f>18.1693 * CHOOSE(CONTROL!$C$22, $C$13, 100%, $E$13)</f>
        <v>18.1693</v>
      </c>
      <c r="D1034" s="63">
        <f>18.1693 * CHOOSE(CONTROL!$C$22, $C$13, 100%, $E$13)</f>
        <v>18.1693</v>
      </c>
      <c r="E1034" s="64">
        <f>20.3935 * CHOOSE(CONTROL!$C$22, $C$13, 100%, $E$13)</f>
        <v>20.3935</v>
      </c>
      <c r="F1034" s="64">
        <f>20.3935 * CHOOSE(CONTROL!$C$22, $C$13, 100%, $E$13)</f>
        <v>20.3935</v>
      </c>
      <c r="G1034" s="64">
        <f>20.3936 * CHOOSE(CONTROL!$C$22, $C$13, 100%, $E$13)</f>
        <v>20.393599999999999</v>
      </c>
      <c r="H1034" s="64">
        <f>35.2298* CHOOSE(CONTROL!$C$22, $C$13, 100%, $E$13)</f>
        <v>35.229799999999997</v>
      </c>
      <c r="I1034" s="64">
        <f>35.2299 * CHOOSE(CONTROL!$C$22, $C$13, 100%, $E$13)</f>
        <v>35.229900000000001</v>
      </c>
      <c r="J1034" s="64">
        <f>20.3935 * CHOOSE(CONTROL!$C$22, $C$13, 100%, $E$13)</f>
        <v>20.3935</v>
      </c>
      <c r="K1034" s="64">
        <f>20.3936 * CHOOSE(CONTROL!$C$22, $C$13, 100%, $E$13)</f>
        <v>20.393599999999999</v>
      </c>
    </row>
    <row r="1035" spans="1:11" ht="15">
      <c r="A1035" s="13">
        <v>72990</v>
      </c>
      <c r="B1035" s="63">
        <f>18.1724 * CHOOSE(CONTROL!$C$22, $C$13, 100%, $E$13)</f>
        <v>18.1724</v>
      </c>
      <c r="C1035" s="63">
        <f>18.1724 * CHOOSE(CONTROL!$C$22, $C$13, 100%, $E$13)</f>
        <v>18.1724</v>
      </c>
      <c r="D1035" s="63">
        <f>18.1724 * CHOOSE(CONTROL!$C$22, $C$13, 100%, $E$13)</f>
        <v>18.1724</v>
      </c>
      <c r="E1035" s="64">
        <f>20.4726 * CHOOSE(CONTROL!$C$22, $C$13, 100%, $E$13)</f>
        <v>20.4726</v>
      </c>
      <c r="F1035" s="64">
        <f>20.4726 * CHOOSE(CONTROL!$C$22, $C$13, 100%, $E$13)</f>
        <v>20.4726</v>
      </c>
      <c r="G1035" s="64">
        <f>20.4727 * CHOOSE(CONTROL!$C$22, $C$13, 100%, $E$13)</f>
        <v>20.4727</v>
      </c>
      <c r="H1035" s="64">
        <f>35.3032* CHOOSE(CONTROL!$C$22, $C$13, 100%, $E$13)</f>
        <v>35.303199999999997</v>
      </c>
      <c r="I1035" s="64">
        <f>35.3033 * CHOOSE(CONTROL!$C$22, $C$13, 100%, $E$13)</f>
        <v>35.3033</v>
      </c>
      <c r="J1035" s="64">
        <f>20.4726 * CHOOSE(CONTROL!$C$22, $C$13, 100%, $E$13)</f>
        <v>20.4726</v>
      </c>
      <c r="K1035" s="64">
        <f>20.4727 * CHOOSE(CONTROL!$C$22, $C$13, 100%, $E$13)</f>
        <v>20.4727</v>
      </c>
    </row>
    <row r="1036" spans="1:11" ht="15">
      <c r="A1036" s="13">
        <v>73020</v>
      </c>
      <c r="B1036" s="63">
        <f>18.1724 * CHOOSE(CONTROL!$C$22, $C$13, 100%, $E$13)</f>
        <v>18.1724</v>
      </c>
      <c r="C1036" s="63">
        <f>18.1724 * CHOOSE(CONTROL!$C$22, $C$13, 100%, $E$13)</f>
        <v>18.1724</v>
      </c>
      <c r="D1036" s="63">
        <f>18.1724 * CHOOSE(CONTROL!$C$22, $C$13, 100%, $E$13)</f>
        <v>18.1724</v>
      </c>
      <c r="E1036" s="64">
        <f>20.2802 * CHOOSE(CONTROL!$C$22, $C$13, 100%, $E$13)</f>
        <v>20.280200000000001</v>
      </c>
      <c r="F1036" s="64">
        <f>20.2802 * CHOOSE(CONTROL!$C$22, $C$13, 100%, $E$13)</f>
        <v>20.280200000000001</v>
      </c>
      <c r="G1036" s="64">
        <f>20.2803 * CHOOSE(CONTROL!$C$22, $C$13, 100%, $E$13)</f>
        <v>20.2803</v>
      </c>
      <c r="H1036" s="64">
        <f>35.3767* CHOOSE(CONTROL!$C$22, $C$13, 100%, $E$13)</f>
        <v>35.3767</v>
      </c>
      <c r="I1036" s="64">
        <f>35.3768 * CHOOSE(CONTROL!$C$22, $C$13, 100%, $E$13)</f>
        <v>35.376800000000003</v>
      </c>
      <c r="J1036" s="64">
        <f>20.2802 * CHOOSE(CONTROL!$C$22, $C$13, 100%, $E$13)</f>
        <v>20.280200000000001</v>
      </c>
      <c r="K1036" s="64">
        <f>20.2803 * CHOOSE(CONTROL!$C$22, $C$13, 100%, $E$13)</f>
        <v>20.2803</v>
      </c>
    </row>
    <row r="1037" spans="1:11" ht="15">
      <c r="A1037" s="13">
        <v>73051</v>
      </c>
      <c r="B1037" s="63">
        <f>18.0834 * CHOOSE(CONTROL!$C$22, $C$13, 100%, $E$13)</f>
        <v>18.083400000000001</v>
      </c>
      <c r="C1037" s="63">
        <f>18.0834 * CHOOSE(CONTROL!$C$22, $C$13, 100%, $E$13)</f>
        <v>18.083400000000001</v>
      </c>
      <c r="D1037" s="63">
        <f>18.0834 * CHOOSE(CONTROL!$C$22, $C$13, 100%, $E$13)</f>
        <v>18.083400000000001</v>
      </c>
      <c r="E1037" s="64">
        <f>20.3433 * CHOOSE(CONTROL!$C$22, $C$13, 100%, $E$13)</f>
        <v>20.343299999999999</v>
      </c>
      <c r="F1037" s="64">
        <f>20.3433 * CHOOSE(CONTROL!$C$22, $C$13, 100%, $E$13)</f>
        <v>20.343299999999999</v>
      </c>
      <c r="G1037" s="64">
        <f>20.3434 * CHOOSE(CONTROL!$C$22, $C$13, 100%, $E$13)</f>
        <v>20.343399999999999</v>
      </c>
      <c r="H1037" s="64">
        <f>35.022* CHOOSE(CONTROL!$C$22, $C$13, 100%, $E$13)</f>
        <v>35.021999999999998</v>
      </c>
      <c r="I1037" s="64">
        <f>35.022 * CHOOSE(CONTROL!$C$22, $C$13, 100%, $E$13)</f>
        <v>35.021999999999998</v>
      </c>
      <c r="J1037" s="64">
        <f>20.3433 * CHOOSE(CONTROL!$C$22, $C$13, 100%, $E$13)</f>
        <v>20.343299999999999</v>
      </c>
      <c r="K1037" s="64">
        <f>20.3434 * CHOOSE(CONTROL!$C$22, $C$13, 100%, $E$13)</f>
        <v>20.343399999999999</v>
      </c>
    </row>
    <row r="1038" spans="1:11" ht="15">
      <c r="A1038" s="13">
        <v>73082</v>
      </c>
      <c r="B1038" s="63">
        <f>18.0804 * CHOOSE(CONTROL!$C$22, $C$13, 100%, $E$13)</f>
        <v>18.080400000000001</v>
      </c>
      <c r="C1038" s="63">
        <f>18.0804 * CHOOSE(CONTROL!$C$22, $C$13, 100%, $E$13)</f>
        <v>18.080400000000001</v>
      </c>
      <c r="D1038" s="63">
        <f>18.0804 * CHOOSE(CONTROL!$C$22, $C$13, 100%, $E$13)</f>
        <v>18.080400000000001</v>
      </c>
      <c r="E1038" s="64">
        <f>19.9726 * CHOOSE(CONTROL!$C$22, $C$13, 100%, $E$13)</f>
        <v>19.9726</v>
      </c>
      <c r="F1038" s="64">
        <f>19.9726 * CHOOSE(CONTROL!$C$22, $C$13, 100%, $E$13)</f>
        <v>19.9726</v>
      </c>
      <c r="G1038" s="64">
        <f>19.9727 * CHOOSE(CONTROL!$C$22, $C$13, 100%, $E$13)</f>
        <v>19.9727</v>
      </c>
      <c r="H1038" s="64">
        <f>35.0949* CHOOSE(CONTROL!$C$22, $C$13, 100%, $E$13)</f>
        <v>35.094900000000003</v>
      </c>
      <c r="I1038" s="64">
        <f>35.095 * CHOOSE(CONTROL!$C$22, $C$13, 100%, $E$13)</f>
        <v>35.094999999999999</v>
      </c>
      <c r="J1038" s="64">
        <f>19.9726 * CHOOSE(CONTROL!$C$22, $C$13, 100%, $E$13)</f>
        <v>19.9726</v>
      </c>
      <c r="K1038" s="64">
        <f>19.9727 * CHOOSE(CONTROL!$C$22, $C$13, 100%, $E$13)</f>
        <v>19.9727</v>
      </c>
    </row>
    <row r="1039" spans="1:11" ht="15">
      <c r="A1039" s="13">
        <v>73110</v>
      </c>
      <c r="B1039" s="63">
        <f>18.0774 * CHOOSE(CONTROL!$C$22, $C$13, 100%, $E$13)</f>
        <v>18.077400000000001</v>
      </c>
      <c r="C1039" s="63">
        <f>18.0774 * CHOOSE(CONTROL!$C$22, $C$13, 100%, $E$13)</f>
        <v>18.077400000000001</v>
      </c>
      <c r="D1039" s="63">
        <f>18.0774 * CHOOSE(CONTROL!$C$22, $C$13, 100%, $E$13)</f>
        <v>18.077400000000001</v>
      </c>
      <c r="E1039" s="64">
        <f>20.261 * CHOOSE(CONTROL!$C$22, $C$13, 100%, $E$13)</f>
        <v>20.260999999999999</v>
      </c>
      <c r="F1039" s="64">
        <f>20.261 * CHOOSE(CONTROL!$C$22, $C$13, 100%, $E$13)</f>
        <v>20.260999999999999</v>
      </c>
      <c r="G1039" s="64">
        <f>20.2611 * CHOOSE(CONTROL!$C$22, $C$13, 100%, $E$13)</f>
        <v>20.261099999999999</v>
      </c>
      <c r="H1039" s="64">
        <f>35.168* CHOOSE(CONTROL!$C$22, $C$13, 100%, $E$13)</f>
        <v>35.167999999999999</v>
      </c>
      <c r="I1039" s="64">
        <f>35.1681 * CHOOSE(CONTROL!$C$22, $C$13, 100%, $E$13)</f>
        <v>35.168100000000003</v>
      </c>
      <c r="J1039" s="64">
        <f>20.261 * CHOOSE(CONTROL!$C$22, $C$13, 100%, $E$13)</f>
        <v>20.260999999999999</v>
      </c>
      <c r="K1039" s="64">
        <f>20.2611 * CHOOSE(CONTROL!$C$22, $C$13, 100%, $E$13)</f>
        <v>20.261099999999999</v>
      </c>
    </row>
    <row r="1040" spans="1:11" ht="15">
      <c r="A1040" s="13">
        <v>73141</v>
      </c>
      <c r="B1040" s="63">
        <f>18.0868 * CHOOSE(CONTROL!$C$22, $C$13, 100%, $E$13)</f>
        <v>18.0868</v>
      </c>
      <c r="C1040" s="63">
        <f>18.0868 * CHOOSE(CONTROL!$C$22, $C$13, 100%, $E$13)</f>
        <v>18.0868</v>
      </c>
      <c r="D1040" s="63">
        <f>18.0868 * CHOOSE(CONTROL!$C$22, $C$13, 100%, $E$13)</f>
        <v>18.0868</v>
      </c>
      <c r="E1040" s="64">
        <f>20.5688 * CHOOSE(CONTROL!$C$22, $C$13, 100%, $E$13)</f>
        <v>20.5688</v>
      </c>
      <c r="F1040" s="64">
        <f>20.5688 * CHOOSE(CONTROL!$C$22, $C$13, 100%, $E$13)</f>
        <v>20.5688</v>
      </c>
      <c r="G1040" s="64">
        <f>20.5689 * CHOOSE(CONTROL!$C$22, $C$13, 100%, $E$13)</f>
        <v>20.568899999999999</v>
      </c>
      <c r="H1040" s="64">
        <f>35.2413* CHOOSE(CONTROL!$C$22, $C$13, 100%, $E$13)</f>
        <v>35.241300000000003</v>
      </c>
      <c r="I1040" s="64">
        <f>35.2414 * CHOOSE(CONTROL!$C$22, $C$13, 100%, $E$13)</f>
        <v>35.241399999999999</v>
      </c>
      <c r="J1040" s="64">
        <f>20.5688 * CHOOSE(CONTROL!$C$22, $C$13, 100%, $E$13)</f>
        <v>20.5688</v>
      </c>
      <c r="K1040" s="64">
        <f>20.5689 * CHOOSE(CONTROL!$C$22, $C$13, 100%, $E$13)</f>
        <v>20.568899999999999</v>
      </c>
    </row>
    <row r="1041" spans="1:11" ht="15">
      <c r="A1041" s="13">
        <v>73171</v>
      </c>
      <c r="B1041" s="63">
        <f>18.0868 * CHOOSE(CONTROL!$C$22, $C$13, 100%, $E$13)</f>
        <v>18.0868</v>
      </c>
      <c r="C1041" s="63">
        <f>18.0868 * CHOOSE(CONTROL!$C$22, $C$13, 100%, $E$13)</f>
        <v>18.0868</v>
      </c>
      <c r="D1041" s="63">
        <f>18.0952 * CHOOSE(CONTROL!$C$22, $C$13, 100%, $E$13)</f>
        <v>18.095199999999998</v>
      </c>
      <c r="E1041" s="64">
        <f>20.6858 * CHOOSE(CONTROL!$C$22, $C$13, 100%, $E$13)</f>
        <v>20.6858</v>
      </c>
      <c r="F1041" s="64">
        <f>20.6858 * CHOOSE(CONTROL!$C$22, $C$13, 100%, $E$13)</f>
        <v>20.6858</v>
      </c>
      <c r="G1041" s="64">
        <f>20.6961 * CHOOSE(CONTROL!$C$22, $C$13, 100%, $E$13)</f>
        <v>20.696100000000001</v>
      </c>
      <c r="H1041" s="64">
        <f>35.3147* CHOOSE(CONTROL!$C$22, $C$13, 100%, $E$13)</f>
        <v>35.314700000000002</v>
      </c>
      <c r="I1041" s="64">
        <f>35.3249 * CHOOSE(CONTROL!$C$22, $C$13, 100%, $E$13)</f>
        <v>35.3249</v>
      </c>
      <c r="J1041" s="64">
        <f>20.6858 * CHOOSE(CONTROL!$C$22, $C$13, 100%, $E$13)</f>
        <v>20.6858</v>
      </c>
      <c r="K1041" s="64">
        <f>20.6961 * CHOOSE(CONTROL!$C$22, $C$13, 100%, $E$13)</f>
        <v>20.696100000000001</v>
      </c>
    </row>
    <row r="1042" spans="1:11" ht="15">
      <c r="A1042" s="13">
        <v>73202</v>
      </c>
      <c r="B1042" s="63">
        <f>18.0928 * CHOOSE(CONTROL!$C$22, $C$13, 100%, $E$13)</f>
        <v>18.0928</v>
      </c>
      <c r="C1042" s="63">
        <f>18.0928 * CHOOSE(CONTROL!$C$22, $C$13, 100%, $E$13)</f>
        <v>18.0928</v>
      </c>
      <c r="D1042" s="63">
        <f>18.1013 * CHOOSE(CONTROL!$C$22, $C$13, 100%, $E$13)</f>
        <v>18.101299999999998</v>
      </c>
      <c r="E1042" s="64">
        <f>20.5731 * CHOOSE(CONTROL!$C$22, $C$13, 100%, $E$13)</f>
        <v>20.5731</v>
      </c>
      <c r="F1042" s="64">
        <f>20.5731 * CHOOSE(CONTROL!$C$22, $C$13, 100%, $E$13)</f>
        <v>20.5731</v>
      </c>
      <c r="G1042" s="64">
        <f>20.5833 * CHOOSE(CONTROL!$C$22, $C$13, 100%, $E$13)</f>
        <v>20.583300000000001</v>
      </c>
      <c r="H1042" s="64">
        <f>35.3883* CHOOSE(CONTROL!$C$22, $C$13, 100%, $E$13)</f>
        <v>35.388300000000001</v>
      </c>
      <c r="I1042" s="64">
        <f>35.3985 * CHOOSE(CONTROL!$C$22, $C$13, 100%, $E$13)</f>
        <v>35.398499999999999</v>
      </c>
      <c r="J1042" s="64">
        <f>20.5731 * CHOOSE(CONTROL!$C$22, $C$13, 100%, $E$13)</f>
        <v>20.5731</v>
      </c>
      <c r="K1042" s="64">
        <f>20.5833 * CHOOSE(CONTROL!$C$22, $C$13, 100%, $E$13)</f>
        <v>20.583300000000001</v>
      </c>
    </row>
    <row r="1043" spans="1:11" ht="15">
      <c r="A1043" s="13">
        <v>73232</v>
      </c>
      <c r="B1043" s="63">
        <f>18.3645 * CHOOSE(CONTROL!$C$22, $C$13, 100%, $E$13)</f>
        <v>18.3645</v>
      </c>
      <c r="C1043" s="63">
        <f>18.3645 * CHOOSE(CONTROL!$C$22, $C$13, 100%, $E$13)</f>
        <v>18.3645</v>
      </c>
      <c r="D1043" s="63">
        <f>18.3729 * CHOOSE(CONTROL!$C$22, $C$13, 100%, $E$13)</f>
        <v>18.372900000000001</v>
      </c>
      <c r="E1043" s="64">
        <f>20.897 * CHOOSE(CONTROL!$C$22, $C$13, 100%, $E$13)</f>
        <v>20.896999999999998</v>
      </c>
      <c r="F1043" s="64">
        <f>20.897 * CHOOSE(CONTROL!$C$22, $C$13, 100%, $E$13)</f>
        <v>20.896999999999998</v>
      </c>
      <c r="G1043" s="64">
        <f>20.9073 * CHOOSE(CONTROL!$C$22, $C$13, 100%, $E$13)</f>
        <v>20.907299999999999</v>
      </c>
      <c r="H1043" s="64">
        <f>35.462* CHOOSE(CONTROL!$C$22, $C$13, 100%, $E$13)</f>
        <v>35.462000000000003</v>
      </c>
      <c r="I1043" s="64">
        <f>35.4722 * CHOOSE(CONTROL!$C$22, $C$13, 100%, $E$13)</f>
        <v>35.472200000000001</v>
      </c>
      <c r="J1043" s="64">
        <f>20.897 * CHOOSE(CONTROL!$C$22, $C$13, 100%, $E$13)</f>
        <v>20.896999999999998</v>
      </c>
      <c r="K1043" s="64">
        <f>20.9073 * CHOOSE(CONTROL!$C$22, $C$13, 100%, $E$13)</f>
        <v>20.907299999999999</v>
      </c>
    </row>
    <row r="1044" spans="1:11" ht="15">
      <c r="A1044" s="13">
        <v>73263</v>
      </c>
      <c r="B1044" s="63">
        <f>18.3712 * CHOOSE(CONTROL!$C$22, $C$13, 100%, $E$13)</f>
        <v>18.371200000000002</v>
      </c>
      <c r="C1044" s="63">
        <f>18.3712 * CHOOSE(CONTROL!$C$22, $C$13, 100%, $E$13)</f>
        <v>18.371200000000002</v>
      </c>
      <c r="D1044" s="63">
        <f>18.3796 * CHOOSE(CONTROL!$C$22, $C$13, 100%, $E$13)</f>
        <v>18.3796</v>
      </c>
      <c r="E1044" s="64">
        <f>20.5507 * CHOOSE(CONTROL!$C$22, $C$13, 100%, $E$13)</f>
        <v>20.550699999999999</v>
      </c>
      <c r="F1044" s="64">
        <f>20.5507 * CHOOSE(CONTROL!$C$22, $C$13, 100%, $E$13)</f>
        <v>20.550699999999999</v>
      </c>
      <c r="G1044" s="64">
        <f>20.5609 * CHOOSE(CONTROL!$C$22, $C$13, 100%, $E$13)</f>
        <v>20.5609</v>
      </c>
      <c r="H1044" s="64">
        <f>35.5359* CHOOSE(CONTROL!$C$22, $C$13, 100%, $E$13)</f>
        <v>35.535899999999998</v>
      </c>
      <c r="I1044" s="64">
        <f>35.5461 * CHOOSE(CONTROL!$C$22, $C$13, 100%, $E$13)</f>
        <v>35.546100000000003</v>
      </c>
      <c r="J1044" s="64">
        <f>20.5507 * CHOOSE(CONTROL!$C$22, $C$13, 100%, $E$13)</f>
        <v>20.550699999999999</v>
      </c>
      <c r="K1044" s="64">
        <f>20.5609 * CHOOSE(CONTROL!$C$22, $C$13, 100%, $E$13)</f>
        <v>20.5609</v>
      </c>
    </row>
    <row r="1045" spans="1:11" ht="15">
      <c r="A1045" s="13">
        <v>73294</v>
      </c>
      <c r="B1045" s="63">
        <f>18.3681 * CHOOSE(CONTROL!$C$22, $C$13, 100%, $E$13)</f>
        <v>18.368099999999998</v>
      </c>
      <c r="C1045" s="63">
        <f>18.3681 * CHOOSE(CONTROL!$C$22, $C$13, 100%, $E$13)</f>
        <v>18.368099999999998</v>
      </c>
      <c r="D1045" s="63">
        <f>18.3766 * CHOOSE(CONTROL!$C$22, $C$13, 100%, $E$13)</f>
        <v>18.3766</v>
      </c>
      <c r="E1045" s="64">
        <f>20.5095 * CHOOSE(CONTROL!$C$22, $C$13, 100%, $E$13)</f>
        <v>20.509499999999999</v>
      </c>
      <c r="F1045" s="64">
        <f>20.5095 * CHOOSE(CONTROL!$C$22, $C$13, 100%, $E$13)</f>
        <v>20.509499999999999</v>
      </c>
      <c r="G1045" s="64">
        <f>20.5198 * CHOOSE(CONTROL!$C$22, $C$13, 100%, $E$13)</f>
        <v>20.5198</v>
      </c>
      <c r="H1045" s="64">
        <f>35.6099* CHOOSE(CONTROL!$C$22, $C$13, 100%, $E$13)</f>
        <v>35.609900000000003</v>
      </c>
      <c r="I1045" s="64">
        <f>35.6201 * CHOOSE(CONTROL!$C$22, $C$13, 100%, $E$13)</f>
        <v>35.620100000000001</v>
      </c>
      <c r="J1045" s="64">
        <f>20.5095 * CHOOSE(CONTROL!$C$22, $C$13, 100%, $E$13)</f>
        <v>20.509499999999999</v>
      </c>
      <c r="K1045" s="64">
        <f>20.5198 * CHOOSE(CONTROL!$C$22, $C$13, 100%, $E$13)</f>
        <v>20.5198</v>
      </c>
    </row>
    <row r="1046" spans="1:11" ht="15">
      <c r="A1046" s="13">
        <v>73324</v>
      </c>
      <c r="B1046" s="63">
        <f>18.4093 * CHOOSE(CONTROL!$C$22, $C$13, 100%, $E$13)</f>
        <v>18.409300000000002</v>
      </c>
      <c r="C1046" s="63">
        <f>18.4093 * CHOOSE(CONTROL!$C$22, $C$13, 100%, $E$13)</f>
        <v>18.409300000000002</v>
      </c>
      <c r="D1046" s="63">
        <f>18.4093 * CHOOSE(CONTROL!$C$22, $C$13, 100%, $E$13)</f>
        <v>18.409300000000002</v>
      </c>
      <c r="E1046" s="64">
        <f>20.6521 * CHOOSE(CONTROL!$C$22, $C$13, 100%, $E$13)</f>
        <v>20.652100000000001</v>
      </c>
      <c r="F1046" s="64">
        <f>20.6521 * CHOOSE(CONTROL!$C$22, $C$13, 100%, $E$13)</f>
        <v>20.652100000000001</v>
      </c>
      <c r="G1046" s="64">
        <f>20.6522 * CHOOSE(CONTROL!$C$22, $C$13, 100%, $E$13)</f>
        <v>20.652200000000001</v>
      </c>
      <c r="H1046" s="64">
        <f>35.6841* CHOOSE(CONTROL!$C$22, $C$13, 100%, $E$13)</f>
        <v>35.684100000000001</v>
      </c>
      <c r="I1046" s="64">
        <f>35.6842 * CHOOSE(CONTROL!$C$22, $C$13, 100%, $E$13)</f>
        <v>35.684199999999997</v>
      </c>
      <c r="J1046" s="64">
        <f>20.6521 * CHOOSE(CONTROL!$C$22, $C$13, 100%, $E$13)</f>
        <v>20.652100000000001</v>
      </c>
      <c r="K1046" s="64">
        <f>20.6522 * CHOOSE(CONTROL!$C$22, $C$13, 100%, $E$13)</f>
        <v>20.652200000000001</v>
      </c>
    </row>
    <row r="1047" spans="1:11" ht="15">
      <c r="A1047" s="13">
        <v>73355</v>
      </c>
      <c r="B1047" s="63">
        <f>18.4123 * CHOOSE(CONTROL!$C$22, $C$13, 100%, $E$13)</f>
        <v>18.412299999999998</v>
      </c>
      <c r="C1047" s="63">
        <f>18.4123 * CHOOSE(CONTROL!$C$22, $C$13, 100%, $E$13)</f>
        <v>18.412299999999998</v>
      </c>
      <c r="D1047" s="63">
        <f>18.4123 * CHOOSE(CONTROL!$C$22, $C$13, 100%, $E$13)</f>
        <v>18.412299999999998</v>
      </c>
      <c r="E1047" s="64">
        <f>20.7323 * CHOOSE(CONTROL!$C$22, $C$13, 100%, $E$13)</f>
        <v>20.732299999999999</v>
      </c>
      <c r="F1047" s="64">
        <f>20.7323 * CHOOSE(CONTROL!$C$22, $C$13, 100%, $E$13)</f>
        <v>20.732299999999999</v>
      </c>
      <c r="G1047" s="64">
        <f>20.7323 * CHOOSE(CONTROL!$C$22, $C$13, 100%, $E$13)</f>
        <v>20.732299999999999</v>
      </c>
      <c r="H1047" s="64">
        <f>35.7585* CHOOSE(CONTROL!$C$22, $C$13, 100%, $E$13)</f>
        <v>35.758499999999998</v>
      </c>
      <c r="I1047" s="64">
        <f>35.7585 * CHOOSE(CONTROL!$C$22, $C$13, 100%, $E$13)</f>
        <v>35.758499999999998</v>
      </c>
      <c r="J1047" s="64">
        <f>20.7323 * CHOOSE(CONTROL!$C$22, $C$13, 100%, $E$13)</f>
        <v>20.732299999999999</v>
      </c>
      <c r="K1047" s="64">
        <f>20.7323 * CHOOSE(CONTROL!$C$22, $C$13, 100%, $E$13)</f>
        <v>20.732299999999999</v>
      </c>
    </row>
    <row r="1048" spans="1:11" ht="15">
      <c r="A1048" s="13">
        <v>73385</v>
      </c>
      <c r="B1048" s="63">
        <f>18.4123 * CHOOSE(CONTROL!$C$22, $C$13, 100%, $E$13)</f>
        <v>18.412299999999998</v>
      </c>
      <c r="C1048" s="63">
        <f>18.4123 * CHOOSE(CONTROL!$C$22, $C$13, 100%, $E$13)</f>
        <v>18.412299999999998</v>
      </c>
      <c r="D1048" s="63">
        <f>18.4123 * CHOOSE(CONTROL!$C$22, $C$13, 100%, $E$13)</f>
        <v>18.412299999999998</v>
      </c>
      <c r="E1048" s="64">
        <f>20.5373 * CHOOSE(CONTROL!$C$22, $C$13, 100%, $E$13)</f>
        <v>20.537299999999998</v>
      </c>
      <c r="F1048" s="64">
        <f>20.5373 * CHOOSE(CONTROL!$C$22, $C$13, 100%, $E$13)</f>
        <v>20.537299999999998</v>
      </c>
      <c r="G1048" s="64">
        <f>20.5373 * CHOOSE(CONTROL!$C$22, $C$13, 100%, $E$13)</f>
        <v>20.537299999999998</v>
      </c>
      <c r="H1048" s="64">
        <f>35.833* CHOOSE(CONTROL!$C$22, $C$13, 100%, $E$13)</f>
        <v>35.832999999999998</v>
      </c>
      <c r="I1048" s="64">
        <f>35.833 * CHOOSE(CONTROL!$C$22, $C$13, 100%, $E$13)</f>
        <v>35.832999999999998</v>
      </c>
      <c r="J1048" s="64">
        <f>20.5373 * CHOOSE(CONTROL!$C$22, $C$13, 100%, $E$13)</f>
        <v>20.537299999999998</v>
      </c>
      <c r="K1048" s="64">
        <f>20.5373 * CHOOSE(CONTROL!$C$22, $C$13, 100%, $E$13)</f>
        <v>20.537299999999998</v>
      </c>
    </row>
    <row r="1049" spans="1:11" ht="15">
      <c r="A1049" s="10"/>
      <c r="B1049" s="63"/>
      <c r="C1049" s="63"/>
      <c r="D1049" s="63"/>
      <c r="E1049" s="64"/>
      <c r="F1049" s="64"/>
      <c r="G1049" s="64"/>
      <c r="H1049" s="64"/>
      <c r="I1049" s="64"/>
      <c r="J1049" s="64"/>
      <c r="K1049" s="64"/>
    </row>
    <row r="1050" spans="1:11" ht="15">
      <c r="A1050" s="3">
        <v>2015</v>
      </c>
      <c r="B1050" s="63">
        <f t="shared" ref="B1050:K1050" si="0">AVERAGE(B17:B28)</f>
        <v>2.5009166666666673</v>
      </c>
      <c r="C1050" s="63">
        <f t="shared" si="0"/>
        <v>2.5282416666666667</v>
      </c>
      <c r="D1050" s="63">
        <f t="shared" si="0"/>
        <v>2.5317583333333329</v>
      </c>
      <c r="E1050" s="63">
        <f t="shared" si="0"/>
        <v>3.2090166666666664</v>
      </c>
      <c r="F1050" s="63">
        <f t="shared" si="0"/>
        <v>3.254</v>
      </c>
      <c r="G1050" s="63">
        <f t="shared" si="0"/>
        <v>3.2583083333333334</v>
      </c>
      <c r="H1050" s="63">
        <f t="shared" si="0"/>
        <v>5.6570916666666671</v>
      </c>
      <c r="I1050" s="63">
        <f t="shared" si="0"/>
        <v>5.6613916666666668</v>
      </c>
      <c r="J1050" s="63">
        <f t="shared" si="0"/>
        <v>3.2090166666666664</v>
      </c>
      <c r="K1050" s="63">
        <f t="shared" si="0"/>
        <v>3.213316666666667</v>
      </c>
    </row>
    <row r="1051" spans="1:11" ht="15">
      <c r="A1051" s="3">
        <v>2016</v>
      </c>
      <c r="B1051" s="63">
        <f t="shared" ref="B1051:K1051" si="1">AVERAGE(B29:B40)</f>
        <v>2.8711249999999997</v>
      </c>
      <c r="C1051" s="63">
        <f t="shared" si="1"/>
        <v>2.8711249999999997</v>
      </c>
      <c r="D1051" s="63">
        <f t="shared" si="1"/>
        <v>2.874625</v>
      </c>
      <c r="E1051" s="63">
        <f t="shared" si="1"/>
        <v>3.3873333333333338</v>
      </c>
      <c r="F1051" s="63">
        <f t="shared" si="1"/>
        <v>3.4460000000000002</v>
      </c>
      <c r="G1051" s="63">
        <f t="shared" si="1"/>
        <v>3.4503083333333335</v>
      </c>
      <c r="H1051" s="63">
        <f t="shared" si="1"/>
        <v>5.7971666666666666</v>
      </c>
      <c r="I1051" s="63">
        <f t="shared" si="1"/>
        <v>5.8014749999999999</v>
      </c>
      <c r="J1051" s="63">
        <f t="shared" si="1"/>
        <v>3.3873333333333338</v>
      </c>
      <c r="K1051" s="63">
        <f t="shared" si="1"/>
        <v>3.3916416666666662</v>
      </c>
    </row>
    <row r="1052" spans="1:11" ht="15">
      <c r="A1052" s="3">
        <v>2017</v>
      </c>
      <c r="B1052" s="63">
        <f t="shared" ref="B1052:K1052" si="2">AVERAGE(B41:B52)</f>
        <v>3.0028000000000001</v>
      </c>
      <c r="C1052" s="63">
        <f t="shared" si="2"/>
        <v>3.0028000000000001</v>
      </c>
      <c r="D1052" s="63">
        <f t="shared" si="2"/>
        <v>3.0063249999999999</v>
      </c>
      <c r="E1052" s="63">
        <f t="shared" si="2"/>
        <v>3.5879916666666669</v>
      </c>
      <c r="F1052" s="63">
        <f t="shared" si="2"/>
        <v>3.5879916666666669</v>
      </c>
      <c r="G1052" s="63">
        <f t="shared" si="2"/>
        <v>3.5922999999999998</v>
      </c>
      <c r="H1052" s="63">
        <f t="shared" si="2"/>
        <v>5.943766666666666</v>
      </c>
      <c r="I1052" s="63">
        <f t="shared" si="2"/>
        <v>5.9480666666666666</v>
      </c>
      <c r="J1052" s="63">
        <f t="shared" si="2"/>
        <v>3.5879916666666669</v>
      </c>
      <c r="K1052" s="63">
        <f t="shared" si="2"/>
        <v>3.5922999999999998</v>
      </c>
    </row>
    <row r="1053" spans="1:11" ht="15">
      <c r="A1053" s="3">
        <v>2018</v>
      </c>
      <c r="B1053" s="63">
        <f t="shared" ref="B1053:K1053" si="3">AVERAGE(B53:B64)</f>
        <v>3.1109000000000004</v>
      </c>
      <c r="C1053" s="63">
        <f t="shared" si="3"/>
        <v>3.1109000000000004</v>
      </c>
      <c r="D1053" s="63">
        <f t="shared" si="3"/>
        <v>3.1144083333333334</v>
      </c>
      <c r="E1053" s="63">
        <f t="shared" si="3"/>
        <v>3.7429000000000006</v>
      </c>
      <c r="F1053" s="63">
        <f t="shared" si="3"/>
        <v>3.7429000000000006</v>
      </c>
      <c r="G1053" s="63">
        <f t="shared" si="3"/>
        <v>3.7472083333333335</v>
      </c>
      <c r="H1053" s="63">
        <f t="shared" si="3"/>
        <v>6.0940916666666674</v>
      </c>
      <c r="I1053" s="63">
        <f t="shared" si="3"/>
        <v>6.0983749999999999</v>
      </c>
      <c r="J1053" s="63">
        <f t="shared" si="3"/>
        <v>3.7429000000000006</v>
      </c>
      <c r="K1053" s="63">
        <f t="shared" si="3"/>
        <v>3.7472083333333335</v>
      </c>
    </row>
    <row r="1054" spans="1:11" ht="15">
      <c r="A1054" s="3">
        <v>2019</v>
      </c>
      <c r="B1054" s="63">
        <f t="shared" ref="B1054:K1054" si="4">AVERAGE(B65:B76)</f>
        <v>3.1375166666666665</v>
      </c>
      <c r="C1054" s="63">
        <f t="shared" si="4"/>
        <v>3.1375166666666665</v>
      </c>
      <c r="D1054" s="63">
        <f t="shared" si="4"/>
        <v>3.1410249999999995</v>
      </c>
      <c r="E1054" s="63">
        <f t="shared" si="4"/>
        <v>3.8573833333333334</v>
      </c>
      <c r="F1054" s="63">
        <f t="shared" si="4"/>
        <v>3.8573833333333334</v>
      </c>
      <c r="G1054" s="63">
        <f t="shared" si="4"/>
        <v>3.8616916666666667</v>
      </c>
      <c r="H1054" s="63">
        <f t="shared" si="4"/>
        <v>6.2481916666666679</v>
      </c>
      <c r="I1054" s="63">
        <f t="shared" si="4"/>
        <v>6.2524916666666668</v>
      </c>
      <c r="J1054" s="63">
        <f t="shared" si="4"/>
        <v>3.8573833333333334</v>
      </c>
      <c r="K1054" s="63">
        <f t="shared" si="4"/>
        <v>3.8616916666666667</v>
      </c>
    </row>
    <row r="1055" spans="1:11" ht="15">
      <c r="A1055" s="3">
        <v>2020</v>
      </c>
      <c r="B1055" s="63">
        <f t="shared" ref="B1055:K1055" si="5">AVERAGE(B77:B88)</f>
        <v>3.1985999999999994</v>
      </c>
      <c r="C1055" s="63">
        <f t="shared" si="5"/>
        <v>3.1985999999999994</v>
      </c>
      <c r="D1055" s="63">
        <f t="shared" si="5"/>
        <v>3.2021166666666669</v>
      </c>
      <c r="E1055" s="63">
        <f t="shared" si="5"/>
        <v>3.7282833333333336</v>
      </c>
      <c r="F1055" s="63">
        <f t="shared" si="5"/>
        <v>3.7282833333333336</v>
      </c>
      <c r="G1055" s="63">
        <f t="shared" si="5"/>
        <v>3.7325916666666665</v>
      </c>
      <c r="H1055" s="63">
        <f t="shared" si="5"/>
        <v>6.4061999999999992</v>
      </c>
      <c r="I1055" s="63">
        <f t="shared" si="5"/>
        <v>6.4105083333333335</v>
      </c>
      <c r="J1055" s="63">
        <f t="shared" si="5"/>
        <v>3.7282833333333336</v>
      </c>
      <c r="K1055" s="63">
        <f t="shared" si="5"/>
        <v>3.7325916666666665</v>
      </c>
    </row>
    <row r="1056" spans="1:11" ht="15">
      <c r="A1056" s="3">
        <v>2021</v>
      </c>
      <c r="B1056" s="63">
        <f t="shared" ref="B1056:K1056" si="6">AVERAGE(B89:B100)</f>
        <v>3.2682833333333332</v>
      </c>
      <c r="C1056" s="63">
        <f t="shared" si="6"/>
        <v>3.2682833333333332</v>
      </c>
      <c r="D1056" s="63">
        <f t="shared" si="6"/>
        <v>3.2717916666666671</v>
      </c>
      <c r="E1056" s="63">
        <f t="shared" si="6"/>
        <v>3.7707666666666668</v>
      </c>
      <c r="F1056" s="63">
        <f t="shared" si="6"/>
        <v>3.7707666666666668</v>
      </c>
      <c r="G1056" s="63">
        <f t="shared" si="6"/>
        <v>3.7750750000000006</v>
      </c>
      <c r="H1056" s="63">
        <f t="shared" si="6"/>
        <v>6.5682</v>
      </c>
      <c r="I1056" s="63">
        <f t="shared" si="6"/>
        <v>6.5724999999999989</v>
      </c>
      <c r="J1056" s="63">
        <f t="shared" si="6"/>
        <v>3.7707666666666668</v>
      </c>
      <c r="K1056" s="63">
        <f t="shared" si="6"/>
        <v>3.7750750000000006</v>
      </c>
    </row>
    <row r="1057" spans="1:11" ht="15">
      <c r="A1057" s="3">
        <v>2022</v>
      </c>
      <c r="B1057" s="63">
        <f t="shared" ref="B1057:K1057" si="7">AVERAGE(B101:B112)</f>
        <v>3.3391416666666669</v>
      </c>
      <c r="C1057" s="63">
        <f t="shared" si="7"/>
        <v>3.3391416666666669</v>
      </c>
      <c r="D1057" s="63">
        <f t="shared" si="7"/>
        <v>3.342658333333334</v>
      </c>
      <c r="E1057" s="63">
        <f t="shared" si="7"/>
        <v>3.944116666666666</v>
      </c>
      <c r="F1057" s="63">
        <f t="shared" si="7"/>
        <v>3.944116666666666</v>
      </c>
      <c r="G1057" s="63">
        <f t="shared" si="7"/>
        <v>3.9484416666666662</v>
      </c>
      <c r="H1057" s="63">
        <f t="shared" si="7"/>
        <v>6.7342833333333338</v>
      </c>
      <c r="I1057" s="63">
        <f t="shared" si="7"/>
        <v>6.7386083333333326</v>
      </c>
      <c r="J1057" s="63">
        <f t="shared" si="7"/>
        <v>3.944116666666666</v>
      </c>
      <c r="K1057" s="63">
        <f t="shared" si="7"/>
        <v>3.9484416666666662</v>
      </c>
    </row>
    <row r="1058" spans="1:11" ht="15">
      <c r="A1058" s="3">
        <v>2023</v>
      </c>
      <c r="B1058" s="63">
        <f t="shared" ref="B1058:K1058" si="8">AVERAGE(B113:B124)</f>
        <v>3.4119833333333336</v>
      </c>
      <c r="C1058" s="63">
        <f t="shared" si="8"/>
        <v>3.4119833333333336</v>
      </c>
      <c r="D1058" s="63">
        <f t="shared" si="8"/>
        <v>3.4155083333333338</v>
      </c>
      <c r="E1058" s="63">
        <f t="shared" si="8"/>
        <v>4.0709833333333334</v>
      </c>
      <c r="F1058" s="63">
        <f t="shared" si="8"/>
        <v>4.0709833333333334</v>
      </c>
      <c r="G1058" s="63">
        <f t="shared" si="8"/>
        <v>4.0753000000000004</v>
      </c>
      <c r="H1058" s="63">
        <f t="shared" si="8"/>
        <v>6.9045916666666658</v>
      </c>
      <c r="I1058" s="63">
        <f t="shared" si="8"/>
        <v>6.9089083333333328</v>
      </c>
      <c r="J1058" s="63">
        <f t="shared" si="8"/>
        <v>4.0709833333333334</v>
      </c>
      <c r="K1058" s="63">
        <f t="shared" si="8"/>
        <v>4.0753000000000004</v>
      </c>
    </row>
    <row r="1059" spans="1:11" ht="15">
      <c r="A1059" s="3">
        <v>2024</v>
      </c>
      <c r="B1059" s="63">
        <f t="shared" ref="B1059:K1059" si="9">AVERAGE(B125:B136)</f>
        <v>3.4898833333333328</v>
      </c>
      <c r="C1059" s="63">
        <f t="shared" si="9"/>
        <v>3.4898833333333328</v>
      </c>
      <c r="D1059" s="63">
        <f t="shared" si="9"/>
        <v>3.4933999999999998</v>
      </c>
      <c r="E1059" s="63">
        <f t="shared" si="9"/>
        <v>4.1558083333333329</v>
      </c>
      <c r="F1059" s="63">
        <f t="shared" si="9"/>
        <v>4.1558083333333329</v>
      </c>
      <c r="G1059" s="63">
        <f t="shared" si="9"/>
        <v>4.1600916666666663</v>
      </c>
      <c r="H1059" s="63">
        <f t="shared" si="9"/>
        <v>7.0792083333333329</v>
      </c>
      <c r="I1059" s="63">
        <f t="shared" si="9"/>
        <v>7.0835166666666671</v>
      </c>
      <c r="J1059" s="63">
        <f t="shared" si="9"/>
        <v>4.1558083333333329</v>
      </c>
      <c r="K1059" s="63">
        <f t="shared" si="9"/>
        <v>4.1600916666666663</v>
      </c>
    </row>
    <row r="1060" spans="1:11" ht="15">
      <c r="A1060" s="3">
        <v>2025</v>
      </c>
      <c r="B1060" s="63">
        <f t="shared" ref="B1060:K1060" si="10">AVERAGE(B137:B148)</f>
        <v>3.5713666666666675</v>
      </c>
      <c r="C1060" s="63">
        <f t="shared" si="10"/>
        <v>3.5713666666666675</v>
      </c>
      <c r="D1060" s="63">
        <f t="shared" si="10"/>
        <v>3.5749000000000009</v>
      </c>
      <c r="E1060" s="63">
        <f t="shared" si="10"/>
        <v>4.2415750000000001</v>
      </c>
      <c r="F1060" s="63">
        <f t="shared" si="10"/>
        <v>4.2415750000000001</v>
      </c>
      <c r="G1060" s="63">
        <f t="shared" si="10"/>
        <v>4.2458916666666662</v>
      </c>
      <c r="H1060" s="63">
        <f t="shared" si="10"/>
        <v>7.2582250000000004</v>
      </c>
      <c r="I1060" s="63">
        <f t="shared" si="10"/>
        <v>7.2625249999999992</v>
      </c>
      <c r="J1060" s="63">
        <f t="shared" si="10"/>
        <v>4.2415750000000001</v>
      </c>
      <c r="K1060" s="63">
        <f t="shared" si="10"/>
        <v>4.2458916666666662</v>
      </c>
    </row>
    <row r="1061" spans="1:11" ht="15">
      <c r="A1061" s="3">
        <v>2026</v>
      </c>
      <c r="B1061" s="63">
        <f t="shared" ref="B1061:K1061" si="11">AVERAGE(B149:B160)</f>
        <v>3.6529916666666669</v>
      </c>
      <c r="C1061" s="63">
        <f t="shared" si="11"/>
        <v>3.6529916666666669</v>
      </c>
      <c r="D1061" s="63">
        <f t="shared" si="11"/>
        <v>3.6565333333333325</v>
      </c>
      <c r="E1061" s="63">
        <f t="shared" si="11"/>
        <v>4.3426083333333336</v>
      </c>
      <c r="F1061" s="63">
        <f t="shared" si="11"/>
        <v>4.3426083333333336</v>
      </c>
      <c r="G1061" s="63">
        <f t="shared" si="11"/>
        <v>4.346916666666667</v>
      </c>
      <c r="H1061" s="63">
        <f t="shared" si="11"/>
        <v>7.4417749999999998</v>
      </c>
      <c r="I1061" s="63">
        <f t="shared" si="11"/>
        <v>7.4460833333333332</v>
      </c>
      <c r="J1061" s="63">
        <f t="shared" si="11"/>
        <v>4.3426083333333336</v>
      </c>
      <c r="K1061" s="63">
        <f t="shared" si="11"/>
        <v>4.346916666666667</v>
      </c>
    </row>
    <row r="1062" spans="1:11" ht="15">
      <c r="A1062" s="3">
        <v>2027</v>
      </c>
      <c r="B1062" s="63">
        <f t="shared" ref="B1062:K1062" si="12">AVERAGE(B161:B172)</f>
        <v>3.7325916666666674</v>
      </c>
      <c r="C1062" s="63">
        <f t="shared" si="12"/>
        <v>3.7325916666666674</v>
      </c>
      <c r="D1062" s="63">
        <f t="shared" si="12"/>
        <v>3.7361083333333336</v>
      </c>
      <c r="E1062" s="63">
        <f t="shared" si="12"/>
        <v>4.4449999999999994</v>
      </c>
      <c r="F1062" s="63">
        <f t="shared" si="12"/>
        <v>4.4449999999999994</v>
      </c>
      <c r="G1062" s="63">
        <f t="shared" si="12"/>
        <v>4.4493083333333336</v>
      </c>
      <c r="H1062" s="63">
        <f t="shared" si="12"/>
        <v>7.6299583333333345</v>
      </c>
      <c r="I1062" s="63">
        <f t="shared" si="12"/>
        <v>7.6342666666666661</v>
      </c>
      <c r="J1062" s="63">
        <f t="shared" si="12"/>
        <v>4.4449999999999994</v>
      </c>
      <c r="K1062" s="63">
        <f t="shared" si="12"/>
        <v>4.4493083333333336</v>
      </c>
    </row>
    <row r="1063" spans="1:11" ht="15">
      <c r="A1063" s="3">
        <v>2028</v>
      </c>
      <c r="B1063" s="63">
        <f t="shared" ref="B1063:K1063" si="13">AVERAGE(B173:B184)</f>
        <v>3.8206500000000001</v>
      </c>
      <c r="C1063" s="63">
        <f t="shared" si="13"/>
        <v>3.8206500000000001</v>
      </c>
      <c r="D1063" s="63">
        <f t="shared" si="13"/>
        <v>3.8241749999999999</v>
      </c>
      <c r="E1063" s="63">
        <f t="shared" si="13"/>
        <v>4.5496749999999997</v>
      </c>
      <c r="F1063" s="63">
        <f t="shared" si="13"/>
        <v>4.5496749999999997</v>
      </c>
      <c r="G1063" s="63">
        <f t="shared" si="13"/>
        <v>4.5539916666666667</v>
      </c>
      <c r="H1063" s="63">
        <f t="shared" si="13"/>
        <v>7.822916666666667</v>
      </c>
      <c r="I1063" s="63">
        <f t="shared" si="13"/>
        <v>7.8272166666666658</v>
      </c>
      <c r="J1063" s="63">
        <f t="shared" si="13"/>
        <v>4.5496749999999997</v>
      </c>
      <c r="K1063" s="63">
        <f t="shared" si="13"/>
        <v>4.5539916666666667</v>
      </c>
    </row>
    <row r="1064" spans="1:11" ht="15">
      <c r="A1064" s="3">
        <v>2029</v>
      </c>
      <c r="B1064" s="63">
        <f t="shared" ref="B1064:K1064" si="14">AVERAGE(B185:B196)</f>
        <v>3.9070166666666659</v>
      </c>
      <c r="C1064" s="63">
        <f t="shared" si="14"/>
        <v>3.9070166666666659</v>
      </c>
      <c r="D1064" s="63">
        <f t="shared" si="14"/>
        <v>3.9105416666666657</v>
      </c>
      <c r="E1064" s="63">
        <f t="shared" si="14"/>
        <v>4.6572416666666667</v>
      </c>
      <c r="F1064" s="63">
        <f t="shared" si="14"/>
        <v>4.6572416666666667</v>
      </c>
      <c r="G1064" s="63">
        <f t="shared" si="14"/>
        <v>4.6615500000000001</v>
      </c>
      <c r="H1064" s="63">
        <f t="shared" si="14"/>
        <v>8.0207499999999996</v>
      </c>
      <c r="I1064" s="63">
        <f t="shared" si="14"/>
        <v>8.0250583333333338</v>
      </c>
      <c r="J1064" s="63">
        <f t="shared" si="14"/>
        <v>4.6572416666666667</v>
      </c>
      <c r="K1064" s="63">
        <f t="shared" si="14"/>
        <v>4.6615500000000001</v>
      </c>
    </row>
    <row r="1065" spans="1:11" ht="15">
      <c r="A1065" s="3">
        <v>2030</v>
      </c>
      <c r="B1065" s="63">
        <f t="shared" ref="B1065:K1065" si="15">AVERAGE(B197:B208)</f>
        <v>3.998324999999999</v>
      </c>
      <c r="C1065" s="63">
        <f t="shared" si="15"/>
        <v>3.998324999999999</v>
      </c>
      <c r="D1065" s="63">
        <f t="shared" si="15"/>
        <v>4.0018416666666656</v>
      </c>
      <c r="E1065" s="63">
        <f t="shared" si="15"/>
        <v>4.7692916666666667</v>
      </c>
      <c r="F1065" s="63">
        <f t="shared" si="15"/>
        <v>4.7692916666666667</v>
      </c>
      <c r="G1065" s="63">
        <f t="shared" si="15"/>
        <v>4.7736083333333328</v>
      </c>
      <c r="H1065" s="63">
        <f t="shared" si="15"/>
        <v>8.2235750000000003</v>
      </c>
      <c r="I1065" s="63">
        <f t="shared" si="15"/>
        <v>8.2278916666666664</v>
      </c>
      <c r="J1065" s="63">
        <f t="shared" si="15"/>
        <v>4.7692916666666667</v>
      </c>
      <c r="K1065" s="63">
        <f t="shared" si="15"/>
        <v>4.7736083333333328</v>
      </c>
    </row>
    <row r="1066" spans="1:11" ht="15">
      <c r="A1066" s="3">
        <v>2031</v>
      </c>
      <c r="B1066" s="63">
        <f t="shared" ref="B1066:K1066" si="16">AVERAGE(B209:B220)</f>
        <v>4.0933833333333327</v>
      </c>
      <c r="C1066" s="63">
        <f t="shared" si="16"/>
        <v>4.0933833333333327</v>
      </c>
      <c r="D1066" s="63">
        <f t="shared" si="16"/>
        <v>4.096891666666667</v>
      </c>
      <c r="E1066" s="63">
        <f t="shared" si="16"/>
        <v>4.915375</v>
      </c>
      <c r="F1066" s="63">
        <f t="shared" si="16"/>
        <v>4.915375</v>
      </c>
      <c r="G1066" s="63">
        <f t="shared" si="16"/>
        <v>4.9196916666666661</v>
      </c>
      <c r="H1066" s="63">
        <f t="shared" si="16"/>
        <v>8.4315499999999997</v>
      </c>
      <c r="I1066" s="63">
        <f t="shared" si="16"/>
        <v>8.4358333333333331</v>
      </c>
      <c r="J1066" s="63">
        <f t="shared" si="16"/>
        <v>4.915375</v>
      </c>
      <c r="K1066" s="63">
        <f t="shared" si="16"/>
        <v>4.9196916666666661</v>
      </c>
    </row>
    <row r="1067" spans="1:11" ht="15">
      <c r="A1067" s="3">
        <v>2032</v>
      </c>
      <c r="B1067" s="63">
        <f t="shared" ref="B1067:K1067" si="17">AVERAGE(B221:B232)</f>
        <v>4.1982249999999999</v>
      </c>
      <c r="C1067" s="63">
        <f t="shared" si="17"/>
        <v>4.1982249999999999</v>
      </c>
      <c r="D1067" s="63">
        <f t="shared" si="17"/>
        <v>4.2017333333333342</v>
      </c>
      <c r="E1067" s="63">
        <f t="shared" si="17"/>
        <v>5.0666166666666665</v>
      </c>
      <c r="F1067" s="63">
        <f t="shared" si="17"/>
        <v>5.0666166666666665</v>
      </c>
      <c r="G1067" s="63">
        <f t="shared" si="17"/>
        <v>5.0709083333333345</v>
      </c>
      <c r="H1067" s="63">
        <f t="shared" si="17"/>
        <v>8.6447666666666674</v>
      </c>
      <c r="I1067" s="63">
        <f t="shared" si="17"/>
        <v>8.649066666666668</v>
      </c>
      <c r="J1067" s="63">
        <f t="shared" si="17"/>
        <v>5.0666166666666665</v>
      </c>
      <c r="K1067" s="63">
        <f t="shared" si="17"/>
        <v>5.0709083333333345</v>
      </c>
    </row>
    <row r="1068" spans="1:11" ht="15">
      <c r="A1068" s="3">
        <v>2033</v>
      </c>
      <c r="B1068" s="63">
        <f t="shared" ref="B1068:K1068" si="18">AVERAGE(B233:B244)</f>
        <v>4.3121749999999999</v>
      </c>
      <c r="C1068" s="63">
        <f t="shared" si="18"/>
        <v>4.3121749999999999</v>
      </c>
      <c r="D1068" s="63">
        <f t="shared" si="18"/>
        <v>4.3157000000000005</v>
      </c>
      <c r="E1068" s="63">
        <f t="shared" si="18"/>
        <v>5.2221833333333327</v>
      </c>
      <c r="F1068" s="63">
        <f t="shared" si="18"/>
        <v>5.2221833333333327</v>
      </c>
      <c r="G1068" s="63">
        <f t="shared" si="18"/>
        <v>5.226491666666667</v>
      </c>
      <c r="H1068" s="63">
        <f t="shared" si="18"/>
        <v>8.8633666666666659</v>
      </c>
      <c r="I1068" s="63">
        <f t="shared" si="18"/>
        <v>8.8676666666666666</v>
      </c>
      <c r="J1068" s="63">
        <f t="shared" si="18"/>
        <v>5.2221833333333327</v>
      </c>
      <c r="K1068" s="63">
        <f t="shared" si="18"/>
        <v>5.226491666666667</v>
      </c>
    </row>
    <row r="1069" spans="1:11" ht="15">
      <c r="A1069" s="3">
        <v>2034</v>
      </c>
      <c r="B1069" s="63">
        <f t="shared" ref="B1069:K1069" si="19">AVERAGE(B245:B256)</f>
        <v>4.4314749999999998</v>
      </c>
      <c r="C1069" s="63">
        <f t="shared" si="19"/>
        <v>4.4314749999999998</v>
      </c>
      <c r="D1069" s="63">
        <f t="shared" si="19"/>
        <v>4.434991666666666</v>
      </c>
      <c r="E1069" s="63">
        <f t="shared" si="19"/>
        <v>5.3829916666666664</v>
      </c>
      <c r="F1069" s="63">
        <f t="shared" si="19"/>
        <v>5.3829916666666664</v>
      </c>
      <c r="G1069" s="63">
        <f t="shared" si="19"/>
        <v>5.3872833333333334</v>
      </c>
      <c r="H1069" s="63">
        <f t="shared" si="19"/>
        <v>9.0875166666666658</v>
      </c>
      <c r="I1069" s="63">
        <f t="shared" si="19"/>
        <v>9.0918166666666664</v>
      </c>
      <c r="J1069" s="63">
        <f t="shared" si="19"/>
        <v>5.3829916666666664</v>
      </c>
      <c r="K1069" s="63">
        <f t="shared" si="19"/>
        <v>5.3872833333333334</v>
      </c>
    </row>
    <row r="1070" spans="1:11" ht="15">
      <c r="A1070" s="3">
        <v>2035</v>
      </c>
      <c r="B1070" s="63">
        <f t="shared" ref="B1070:K1070" si="20">AVERAGE(B257:B268)</f>
        <v>4.5522083333333327</v>
      </c>
      <c r="C1070" s="63">
        <f t="shared" si="20"/>
        <v>4.5522083333333327</v>
      </c>
      <c r="D1070" s="63">
        <f t="shared" si="20"/>
        <v>4.5557166666666662</v>
      </c>
      <c r="E1070" s="63">
        <f t="shared" si="20"/>
        <v>5.5499833333333326</v>
      </c>
      <c r="F1070" s="63">
        <f t="shared" si="20"/>
        <v>5.5499833333333326</v>
      </c>
      <c r="G1070" s="63">
        <f t="shared" si="20"/>
        <v>5.5542750000000005</v>
      </c>
      <c r="H1070" s="63">
        <f t="shared" si="20"/>
        <v>9.3173083333333349</v>
      </c>
      <c r="I1070" s="63">
        <f t="shared" si="20"/>
        <v>9.3216166666666673</v>
      </c>
      <c r="J1070" s="63">
        <f t="shared" si="20"/>
        <v>5.5499833333333326</v>
      </c>
      <c r="K1070" s="63">
        <f t="shared" si="20"/>
        <v>5.5542750000000005</v>
      </c>
    </row>
    <row r="1071" spans="1:11" ht="15">
      <c r="A1071" s="3">
        <v>2036</v>
      </c>
      <c r="B1071" s="63">
        <f t="shared" ref="B1071:K1071" si="21">AVERAGE(B269:B280)</f>
        <v>4.6735916666666668</v>
      </c>
      <c r="C1071" s="63">
        <f t="shared" si="21"/>
        <v>4.6735916666666668</v>
      </c>
      <c r="D1071" s="63">
        <f t="shared" si="21"/>
        <v>4.6771000000000003</v>
      </c>
      <c r="E1071" s="63">
        <f t="shared" si="21"/>
        <v>5.7116166666666652</v>
      </c>
      <c r="F1071" s="63">
        <f t="shared" si="21"/>
        <v>5.7116166666666652</v>
      </c>
      <c r="G1071" s="63">
        <f t="shared" si="21"/>
        <v>5.7159333333333331</v>
      </c>
      <c r="H1071" s="63">
        <f t="shared" si="21"/>
        <v>9.5529416666666673</v>
      </c>
      <c r="I1071" s="63">
        <f t="shared" si="21"/>
        <v>9.557241666666668</v>
      </c>
      <c r="J1071" s="63">
        <f t="shared" si="21"/>
        <v>5.7116166666666652</v>
      </c>
      <c r="K1071" s="63">
        <f t="shared" si="21"/>
        <v>5.7159333333333331</v>
      </c>
    </row>
    <row r="1072" spans="1:11" ht="15">
      <c r="A1072" s="3">
        <v>2037</v>
      </c>
      <c r="B1072" s="63">
        <f t="shared" ref="B1072:K1072" si="22">AVERAGE(B281:B292)</f>
        <v>4.7968249999999992</v>
      </c>
      <c r="C1072" s="63">
        <f t="shared" si="22"/>
        <v>4.7968249999999992</v>
      </c>
      <c r="D1072" s="63">
        <f t="shared" si="22"/>
        <v>4.8003333333333336</v>
      </c>
      <c r="E1072" s="63">
        <f t="shared" si="22"/>
        <v>5.8677333333333328</v>
      </c>
      <c r="F1072" s="63">
        <f t="shared" si="22"/>
        <v>5.8677333333333328</v>
      </c>
      <c r="G1072" s="63">
        <f t="shared" si="22"/>
        <v>5.8720500000000007</v>
      </c>
      <c r="H1072" s="63">
        <f t="shared" si="22"/>
        <v>9.7945249999999984</v>
      </c>
      <c r="I1072" s="63">
        <f t="shared" si="22"/>
        <v>9.7988416666666662</v>
      </c>
      <c r="J1072" s="63">
        <f t="shared" si="22"/>
        <v>5.8677333333333328</v>
      </c>
      <c r="K1072" s="63">
        <f t="shared" si="22"/>
        <v>5.8720500000000007</v>
      </c>
    </row>
    <row r="1073" spans="1:11" ht="15">
      <c r="A1073" s="3">
        <v>2038</v>
      </c>
      <c r="B1073" s="63">
        <f t="shared" ref="B1073:K1073" si="23">AVERAGE(B293:B304)</f>
        <v>4.9241666666666664</v>
      </c>
      <c r="C1073" s="63">
        <f t="shared" si="23"/>
        <v>4.9241666666666664</v>
      </c>
      <c r="D1073" s="63">
        <f t="shared" si="23"/>
        <v>4.927691666666667</v>
      </c>
      <c r="E1073" s="63">
        <f t="shared" si="23"/>
        <v>6.0242416666666658</v>
      </c>
      <c r="F1073" s="63">
        <f t="shared" si="23"/>
        <v>6.0242416666666658</v>
      </c>
      <c r="G1073" s="63">
        <f t="shared" si="23"/>
        <v>6.0285416666666665</v>
      </c>
      <c r="H1073" s="63">
        <f t="shared" si="23"/>
        <v>10.042208333333333</v>
      </c>
      <c r="I1073" s="63">
        <f t="shared" si="23"/>
        <v>10.0465</v>
      </c>
      <c r="J1073" s="63">
        <f t="shared" si="23"/>
        <v>6.0242416666666658</v>
      </c>
      <c r="K1073" s="63">
        <f t="shared" si="23"/>
        <v>6.0285416666666665</v>
      </c>
    </row>
    <row r="1074" spans="1:11" ht="15">
      <c r="A1074" s="3">
        <v>2039</v>
      </c>
      <c r="B1074" s="63">
        <f t="shared" ref="B1074:K1074" si="24">AVERAGE(B305:B316)</f>
        <v>5.0543916666666666</v>
      </c>
      <c r="C1074" s="63">
        <f t="shared" si="24"/>
        <v>5.0543916666666666</v>
      </c>
      <c r="D1074" s="63">
        <f t="shared" si="24"/>
        <v>5.0579083333333337</v>
      </c>
      <c r="E1074" s="63">
        <f t="shared" si="24"/>
        <v>6.1721166666666667</v>
      </c>
      <c r="F1074" s="63">
        <f t="shared" si="24"/>
        <v>6.1721166666666667</v>
      </c>
      <c r="G1074" s="63">
        <f t="shared" si="24"/>
        <v>6.1764083333333337</v>
      </c>
      <c r="H1074" s="63">
        <f t="shared" si="24"/>
        <v>10.296166666666666</v>
      </c>
      <c r="I1074" s="63">
        <f t="shared" si="24"/>
        <v>10.300458333333335</v>
      </c>
      <c r="J1074" s="63">
        <f t="shared" si="24"/>
        <v>6.1721166666666667</v>
      </c>
      <c r="K1074" s="63">
        <f t="shared" si="24"/>
        <v>6.1764083333333337</v>
      </c>
    </row>
    <row r="1075" spans="1:11" ht="15">
      <c r="A1075" s="3">
        <v>2040</v>
      </c>
      <c r="B1075" s="63">
        <f t="shared" ref="B1075:K1075" si="25">AVERAGE(B317:B328)</f>
        <v>5.1875999999999998</v>
      </c>
      <c r="C1075" s="63">
        <f t="shared" si="25"/>
        <v>5.1875999999999998</v>
      </c>
      <c r="D1075" s="63">
        <f t="shared" si="25"/>
        <v>5.1911083333333332</v>
      </c>
      <c r="E1075" s="63">
        <f t="shared" si="25"/>
        <v>6.3228333333333326</v>
      </c>
      <c r="F1075" s="63">
        <f t="shared" si="25"/>
        <v>6.3228333333333326</v>
      </c>
      <c r="G1075" s="63">
        <f t="shared" si="25"/>
        <v>6.3271500000000005</v>
      </c>
      <c r="H1075" s="63">
        <f t="shared" si="25"/>
        <v>10.556541666666666</v>
      </c>
      <c r="I1075" s="63">
        <f t="shared" si="25"/>
        <v>10.560841666666667</v>
      </c>
      <c r="J1075" s="63">
        <f t="shared" si="25"/>
        <v>6.3228333333333326</v>
      </c>
      <c r="K1075" s="63">
        <f t="shared" si="25"/>
        <v>6.3271500000000005</v>
      </c>
    </row>
    <row r="1076" spans="1:11" ht="15">
      <c r="A1076" s="3">
        <v>2041</v>
      </c>
      <c r="B1076" s="63">
        <f t="shared" ref="B1076:K1076" si="26">AVERAGE(B329:B340)</f>
        <v>5.324349999999999</v>
      </c>
      <c r="C1076" s="63">
        <f t="shared" si="26"/>
        <v>5.324349999999999</v>
      </c>
      <c r="D1076" s="63">
        <f t="shared" si="26"/>
        <v>5.3278499999999998</v>
      </c>
      <c r="E1076" s="63">
        <f t="shared" si="26"/>
        <v>6.4772500000000006</v>
      </c>
      <c r="F1076" s="63">
        <f t="shared" si="26"/>
        <v>6.4772500000000006</v>
      </c>
      <c r="G1076" s="63">
        <f t="shared" si="26"/>
        <v>6.4815583333333322</v>
      </c>
      <c r="H1076" s="63">
        <f t="shared" si="26"/>
        <v>10.823500000000001</v>
      </c>
      <c r="I1076" s="63">
        <f t="shared" si="26"/>
        <v>10.827791666666668</v>
      </c>
      <c r="J1076" s="63">
        <f t="shared" si="26"/>
        <v>6.4772500000000006</v>
      </c>
      <c r="K1076" s="63">
        <f t="shared" si="26"/>
        <v>6.4815583333333322</v>
      </c>
    </row>
    <row r="1077" spans="1:11" ht="15">
      <c r="A1077" s="3">
        <v>2042</v>
      </c>
      <c r="B1077" s="63">
        <f t="shared" ref="B1077:K1077" si="27">AVERAGE(B341:B352)</f>
        <v>5.4647166666666651</v>
      </c>
      <c r="C1077" s="63">
        <f t="shared" si="27"/>
        <v>5.4647166666666651</v>
      </c>
      <c r="D1077" s="63">
        <f t="shared" si="27"/>
        <v>5.4682249999999994</v>
      </c>
      <c r="E1077" s="63">
        <f t="shared" si="27"/>
        <v>6.6354583333333323</v>
      </c>
      <c r="F1077" s="63">
        <f t="shared" si="27"/>
        <v>6.6354583333333323</v>
      </c>
      <c r="G1077" s="63">
        <f t="shared" si="27"/>
        <v>6.6397583333333339</v>
      </c>
      <c r="H1077" s="63">
        <f t="shared" si="27"/>
        <v>11.097200000000001</v>
      </c>
      <c r="I1077" s="63">
        <f t="shared" si="27"/>
        <v>11.101500000000001</v>
      </c>
      <c r="J1077" s="63">
        <f t="shared" si="27"/>
        <v>6.6354583333333323</v>
      </c>
      <c r="K1077" s="63">
        <f t="shared" si="27"/>
        <v>6.6397583333333339</v>
      </c>
    </row>
    <row r="1078" spans="1:11" ht="15">
      <c r="A1078" s="3">
        <v>2043</v>
      </c>
      <c r="B1078" s="63">
        <f t="shared" ref="B1078:K1078" si="28">AVERAGE(B353:B364)</f>
        <v>5.6088500000000003</v>
      </c>
      <c r="C1078" s="63">
        <f t="shared" si="28"/>
        <v>5.6088500000000003</v>
      </c>
      <c r="D1078" s="63">
        <f t="shared" si="28"/>
        <v>5.6123500000000002</v>
      </c>
      <c r="E1078" s="63">
        <f t="shared" si="28"/>
        <v>6.7975583333333347</v>
      </c>
      <c r="F1078" s="63">
        <f t="shared" si="28"/>
        <v>6.7975583333333347</v>
      </c>
      <c r="G1078" s="63">
        <f t="shared" si="28"/>
        <v>6.8018666666666663</v>
      </c>
      <c r="H1078" s="63">
        <f t="shared" si="28"/>
        <v>11.377841666666667</v>
      </c>
      <c r="I1078" s="63">
        <f t="shared" si="28"/>
        <v>11.382133333333334</v>
      </c>
      <c r="J1078" s="63">
        <f t="shared" si="28"/>
        <v>6.7975583333333347</v>
      </c>
      <c r="K1078" s="63">
        <f t="shared" si="28"/>
        <v>6.8018666666666663</v>
      </c>
    </row>
    <row r="1079" spans="1:11" ht="15">
      <c r="A1079" s="3">
        <v>2044</v>
      </c>
      <c r="B1079" s="63">
        <f t="shared" ref="B1079:K1079" si="29">AVERAGE(B365:B376)</f>
        <v>5.7567750000000011</v>
      </c>
      <c r="C1079" s="63">
        <f t="shared" si="29"/>
        <v>5.7567750000000011</v>
      </c>
      <c r="D1079" s="63">
        <f t="shared" si="29"/>
        <v>5.7603000000000009</v>
      </c>
      <c r="E1079" s="63">
        <f t="shared" si="29"/>
        <v>6.9636083333333332</v>
      </c>
      <c r="F1079" s="63">
        <f t="shared" si="29"/>
        <v>6.9636083333333332</v>
      </c>
      <c r="G1079" s="63">
        <f t="shared" si="29"/>
        <v>6.9679249999999984</v>
      </c>
      <c r="H1079" s="63">
        <f t="shared" si="29"/>
        <v>11.665550000000001</v>
      </c>
      <c r="I1079" s="63">
        <f t="shared" si="29"/>
        <v>11.669858333333336</v>
      </c>
      <c r="J1079" s="63">
        <f t="shared" si="29"/>
        <v>6.9636083333333332</v>
      </c>
      <c r="K1079" s="63">
        <f t="shared" si="29"/>
        <v>6.9679249999999984</v>
      </c>
    </row>
    <row r="1080" spans="1:11" ht="15">
      <c r="A1080" s="3">
        <v>2045</v>
      </c>
      <c r="B1080" s="63">
        <f t="shared" ref="B1080:K1080" si="30">AVERAGE(B377:B388)</f>
        <v>5.9086583333333325</v>
      </c>
      <c r="C1080" s="63">
        <f t="shared" si="30"/>
        <v>5.9086583333333325</v>
      </c>
      <c r="D1080" s="63">
        <f t="shared" si="30"/>
        <v>5.9121666666666668</v>
      </c>
      <c r="E1080" s="63">
        <f t="shared" si="30"/>
        <v>7.13375</v>
      </c>
      <c r="F1080" s="63">
        <f t="shared" si="30"/>
        <v>7.13375</v>
      </c>
      <c r="G1080" s="63">
        <f t="shared" si="30"/>
        <v>7.138066666666667</v>
      </c>
      <c r="H1080" s="63">
        <f t="shared" si="30"/>
        <v>11.960566666666667</v>
      </c>
      <c r="I1080" s="63">
        <f t="shared" si="30"/>
        <v>11.964866666666666</v>
      </c>
      <c r="J1080" s="63">
        <f t="shared" si="30"/>
        <v>7.13375</v>
      </c>
      <c r="K1080" s="63">
        <f t="shared" si="30"/>
        <v>7.138066666666667</v>
      </c>
    </row>
    <row r="1081" spans="1:11" ht="15">
      <c r="A1081" s="3">
        <v>2046</v>
      </c>
      <c r="B1081" s="63">
        <f t="shared" ref="B1081:K1081" si="31">AVERAGE(B389:B400)</f>
        <v>6.0645833333333341</v>
      </c>
      <c r="C1081" s="63">
        <f t="shared" si="31"/>
        <v>6.0645833333333341</v>
      </c>
      <c r="D1081" s="63">
        <f t="shared" si="31"/>
        <v>6.0681083333333339</v>
      </c>
      <c r="E1081" s="63">
        <f t="shared" si="31"/>
        <v>7.308083333333335</v>
      </c>
      <c r="F1081" s="63">
        <f t="shared" si="31"/>
        <v>7.308083333333335</v>
      </c>
      <c r="G1081" s="63">
        <f t="shared" si="31"/>
        <v>7.3123749999999994</v>
      </c>
      <c r="H1081" s="63">
        <f t="shared" si="31"/>
        <v>12.263041666666666</v>
      </c>
      <c r="I1081" s="63">
        <f t="shared" si="31"/>
        <v>12.267341666666667</v>
      </c>
      <c r="J1081" s="63">
        <f t="shared" si="31"/>
        <v>7.308083333333335</v>
      </c>
      <c r="K1081" s="63">
        <f t="shared" si="31"/>
        <v>7.3123749999999994</v>
      </c>
    </row>
    <row r="1082" spans="1:11" ht="15">
      <c r="A1082" s="3">
        <v>2047</v>
      </c>
      <c r="B1082" s="63">
        <f t="shared" ref="B1082:K1082" si="32">AVERAGE(B401:B412)</f>
        <v>6.2246583333333332</v>
      </c>
      <c r="C1082" s="63">
        <f t="shared" si="32"/>
        <v>6.2246583333333332</v>
      </c>
      <c r="D1082" s="63">
        <f t="shared" si="32"/>
        <v>6.2281916666666675</v>
      </c>
      <c r="E1082" s="63">
        <f t="shared" si="32"/>
        <v>7.4866750000000009</v>
      </c>
      <c r="F1082" s="63">
        <f t="shared" si="32"/>
        <v>7.4866750000000009</v>
      </c>
      <c r="G1082" s="63">
        <f t="shared" si="32"/>
        <v>7.4909500000000007</v>
      </c>
      <c r="H1082" s="63">
        <f t="shared" si="32"/>
        <v>12.573133333333333</v>
      </c>
      <c r="I1082" s="63">
        <f t="shared" si="32"/>
        <v>12.577450000000001</v>
      </c>
      <c r="J1082" s="63">
        <f t="shared" si="32"/>
        <v>7.4866750000000009</v>
      </c>
      <c r="K1082" s="63">
        <f t="shared" si="32"/>
        <v>7.4909500000000007</v>
      </c>
    </row>
    <row r="1083" spans="1:11" ht="15">
      <c r="A1083" s="3">
        <v>2048</v>
      </c>
      <c r="B1083" s="63">
        <f t="shared" ref="B1083:K1083" si="33">AVERAGE(B413:B424)</f>
        <v>6.3890083333333338</v>
      </c>
      <c r="C1083" s="63">
        <f t="shared" si="33"/>
        <v>6.3890083333333338</v>
      </c>
      <c r="D1083" s="63">
        <f t="shared" si="33"/>
        <v>6.3925333333333336</v>
      </c>
      <c r="E1083" s="63">
        <f t="shared" si="33"/>
        <v>7.6696083333333327</v>
      </c>
      <c r="F1083" s="63">
        <f t="shared" si="33"/>
        <v>7.6696083333333327</v>
      </c>
      <c r="G1083" s="63">
        <f t="shared" si="33"/>
        <v>7.6739333333333342</v>
      </c>
      <c r="H1083" s="63">
        <f t="shared" si="33"/>
        <v>12.891116666666667</v>
      </c>
      <c r="I1083" s="63">
        <f t="shared" si="33"/>
        <v>12.8954</v>
      </c>
      <c r="J1083" s="63">
        <f t="shared" si="33"/>
        <v>7.6696083333333327</v>
      </c>
      <c r="K1083" s="63">
        <f t="shared" si="33"/>
        <v>7.6739333333333342</v>
      </c>
    </row>
    <row r="1084" spans="1:11" ht="15">
      <c r="A1084" s="3">
        <v>2049</v>
      </c>
      <c r="B1084" s="63">
        <f t="shared" ref="B1084:K1084" si="34">AVERAGE(B425:B436)</f>
        <v>6.5577333333333323</v>
      </c>
      <c r="C1084" s="63">
        <f t="shared" si="34"/>
        <v>6.5577333333333323</v>
      </c>
      <c r="D1084" s="63">
        <f t="shared" si="34"/>
        <v>6.561275000000002</v>
      </c>
      <c r="E1084" s="63">
        <f t="shared" si="34"/>
        <v>7.8570916666666655</v>
      </c>
      <c r="F1084" s="63">
        <f t="shared" si="34"/>
        <v>7.8570916666666655</v>
      </c>
      <c r="G1084" s="63">
        <f t="shared" si="34"/>
        <v>7.8614083333333342</v>
      </c>
      <c r="H1084" s="63">
        <f t="shared" si="34"/>
        <v>13.217100000000002</v>
      </c>
      <c r="I1084" s="63">
        <f t="shared" si="34"/>
        <v>13.221391666666669</v>
      </c>
      <c r="J1084" s="63">
        <f t="shared" si="34"/>
        <v>7.8570916666666655</v>
      </c>
      <c r="K1084" s="63">
        <f t="shared" si="34"/>
        <v>7.8614083333333342</v>
      </c>
    </row>
    <row r="1085" spans="1:11" ht="15">
      <c r="A1085" s="3">
        <v>2050</v>
      </c>
      <c r="B1085" s="63">
        <f t="shared" ref="B1085:K1085" si="35">AVERAGE(B437:B448)</f>
        <v>6.7309499999999991</v>
      </c>
      <c r="C1085" s="63">
        <f t="shared" si="35"/>
        <v>6.7309499999999991</v>
      </c>
      <c r="D1085" s="63">
        <f t="shared" si="35"/>
        <v>6.7344833333333325</v>
      </c>
      <c r="E1085" s="63">
        <f t="shared" si="35"/>
        <v>8.0491666666666681</v>
      </c>
      <c r="F1085" s="63">
        <f t="shared" si="35"/>
        <v>8.0491666666666681</v>
      </c>
      <c r="G1085" s="63">
        <f t="shared" si="35"/>
        <v>8.0534750000000006</v>
      </c>
      <c r="H1085" s="63">
        <f t="shared" si="35"/>
        <v>13.551349999999999</v>
      </c>
      <c r="I1085" s="63">
        <f t="shared" si="35"/>
        <v>13.555633333333333</v>
      </c>
      <c r="J1085" s="63">
        <f t="shared" si="35"/>
        <v>8.0491666666666681</v>
      </c>
      <c r="K1085" s="63">
        <f t="shared" si="35"/>
        <v>8.0534750000000006</v>
      </c>
    </row>
    <row r="1086" spans="1:11" ht="15">
      <c r="A1086" s="3">
        <v>2051</v>
      </c>
      <c r="B1086" s="63">
        <f t="shared" ref="B1086:K1086" si="36">AVERAGE(B449:B460)</f>
        <v>6.9087916666666667</v>
      </c>
      <c r="C1086" s="63">
        <f t="shared" si="36"/>
        <v>6.9087916666666667</v>
      </c>
      <c r="D1086" s="63">
        <f t="shared" si="36"/>
        <v>6.9122916666666674</v>
      </c>
      <c r="E1086" s="63">
        <f t="shared" si="36"/>
        <v>8.2459583333333324</v>
      </c>
      <c r="F1086" s="63">
        <f t="shared" si="36"/>
        <v>8.2459583333333324</v>
      </c>
      <c r="G1086" s="63">
        <f t="shared" si="36"/>
        <v>8.2502666666666684</v>
      </c>
      <c r="H1086" s="63">
        <f t="shared" si="36"/>
        <v>13.894016666666666</v>
      </c>
      <c r="I1086" s="63">
        <f t="shared" si="36"/>
        <v>13.898325</v>
      </c>
      <c r="J1086" s="63">
        <f t="shared" si="36"/>
        <v>8.2459583333333324</v>
      </c>
      <c r="K1086" s="63">
        <f t="shared" si="36"/>
        <v>8.2502666666666684</v>
      </c>
    </row>
    <row r="1087" spans="1:11" ht="15">
      <c r="A1087" s="3">
        <v>2052</v>
      </c>
      <c r="B1087" s="63">
        <f t="shared" ref="B1087:K1087" si="37">AVERAGE(B461:B472)</f>
        <v>7.0913833333333329</v>
      </c>
      <c r="C1087" s="63">
        <f t="shared" si="37"/>
        <v>7.0913833333333329</v>
      </c>
      <c r="D1087" s="63">
        <f t="shared" si="37"/>
        <v>7.0948916666666664</v>
      </c>
      <c r="E1087" s="63">
        <f t="shared" si="37"/>
        <v>8.4475583333333333</v>
      </c>
      <c r="F1087" s="63">
        <f t="shared" si="37"/>
        <v>8.4475583333333333</v>
      </c>
      <c r="G1087" s="63">
        <f t="shared" si="37"/>
        <v>8.451883333333333</v>
      </c>
      <c r="H1087" s="63">
        <f t="shared" si="37"/>
        <v>14.245383333333331</v>
      </c>
      <c r="I1087" s="63">
        <f t="shared" si="37"/>
        <v>14.249683333333332</v>
      </c>
      <c r="J1087" s="63">
        <f t="shared" si="37"/>
        <v>8.4475583333333333</v>
      </c>
      <c r="K1087" s="63">
        <f t="shared" si="37"/>
        <v>8.451883333333333</v>
      </c>
    </row>
    <row r="1088" spans="1:11" ht="15">
      <c r="A1088" s="3">
        <v>2053</v>
      </c>
      <c r="B1088" s="63">
        <f t="shared" ref="B1088:K1088" si="38">AVERAGE(B473:B484)</f>
        <v>7.2788166666666667</v>
      </c>
      <c r="C1088" s="63">
        <f t="shared" si="38"/>
        <v>7.2788166666666667</v>
      </c>
      <c r="D1088" s="63">
        <f t="shared" si="38"/>
        <v>7.2823416666666665</v>
      </c>
      <c r="E1088" s="63">
        <f t="shared" si="38"/>
        <v>8.6541250000000005</v>
      </c>
      <c r="F1088" s="63">
        <f t="shared" si="38"/>
        <v>8.6541250000000005</v>
      </c>
      <c r="G1088" s="63">
        <f t="shared" si="38"/>
        <v>8.6584416666666666</v>
      </c>
      <c r="H1088" s="63">
        <f t="shared" si="38"/>
        <v>14.605633333333332</v>
      </c>
      <c r="I1088" s="63">
        <f t="shared" si="38"/>
        <v>14.609933333333336</v>
      </c>
      <c r="J1088" s="63">
        <f t="shared" si="38"/>
        <v>8.6541250000000005</v>
      </c>
      <c r="K1088" s="63">
        <f t="shared" si="38"/>
        <v>8.6584416666666666</v>
      </c>
    </row>
    <row r="1089" spans="1:11" ht="15">
      <c r="A1089" s="3">
        <v>2054</v>
      </c>
      <c r="B1089" s="63">
        <f t="shared" ref="B1089:K1089" si="39">AVERAGE(B485:B496)</f>
        <v>7.4712500000000004</v>
      </c>
      <c r="C1089" s="63">
        <f t="shared" si="39"/>
        <v>7.4712500000000004</v>
      </c>
      <c r="D1089" s="63">
        <f t="shared" si="39"/>
        <v>7.4747833333333338</v>
      </c>
      <c r="E1089" s="63">
        <f t="shared" si="39"/>
        <v>8.8657833333333329</v>
      </c>
      <c r="F1089" s="63">
        <f t="shared" si="39"/>
        <v>8.8657833333333329</v>
      </c>
      <c r="G1089" s="63">
        <f t="shared" si="39"/>
        <v>8.8700749999999999</v>
      </c>
      <c r="H1089" s="63">
        <f t="shared" si="39"/>
        <v>14.974983333333332</v>
      </c>
      <c r="I1089" s="63">
        <f t="shared" si="39"/>
        <v>14.979283333333335</v>
      </c>
      <c r="J1089" s="63">
        <f t="shared" si="39"/>
        <v>8.8657833333333329</v>
      </c>
      <c r="K1089" s="63">
        <f t="shared" si="39"/>
        <v>8.8700749999999999</v>
      </c>
    </row>
    <row r="1090" spans="1:11" ht="15">
      <c r="A1090" s="3">
        <v>2055</v>
      </c>
      <c r="B1090" s="63">
        <f t="shared" ref="B1090:K1090" si="40">AVERAGE(B17:B508)</f>
        <v>4.7972563008130082</v>
      </c>
      <c r="C1090" s="63">
        <f t="shared" si="40"/>
        <v>4.7979227642276419</v>
      </c>
      <c r="D1090" s="63">
        <f t="shared" si="40"/>
        <v>4.8014398373983749</v>
      </c>
      <c r="E1090" s="63">
        <f t="shared" si="40"/>
        <v>5.7651205284552844</v>
      </c>
      <c r="F1090" s="63">
        <f t="shared" si="40"/>
        <v>5.7676485772357715</v>
      </c>
      <c r="G1090" s="63">
        <f t="shared" si="40"/>
        <v>5.7719567073170754</v>
      </c>
      <c r="H1090" s="63">
        <f t="shared" si="40"/>
        <v>9.7295359756097497</v>
      </c>
      <c r="I1090" s="63">
        <f t="shared" si="40"/>
        <v>9.7338371951219553</v>
      </c>
      <c r="J1090" s="63">
        <f t="shared" si="40"/>
        <v>5.7651205284552844</v>
      </c>
      <c r="K1090" s="63">
        <f t="shared" si="40"/>
        <v>5.7694284552845554</v>
      </c>
    </row>
    <row r="1091" spans="1:11" ht="15">
      <c r="A1091" s="3">
        <v>2056</v>
      </c>
      <c r="B1091" s="63">
        <f t="shared" ref="B1091:K1091" si="41">AVERAGE(B509:B520)</f>
        <v>7.8716833333333343</v>
      </c>
      <c r="C1091" s="63">
        <f t="shared" si="41"/>
        <v>7.8716833333333343</v>
      </c>
      <c r="D1091" s="63">
        <f t="shared" si="41"/>
        <v>7.8752249999999995</v>
      </c>
      <c r="E1091" s="63">
        <f t="shared" si="41"/>
        <v>9.3047749999999994</v>
      </c>
      <c r="F1091" s="63">
        <f t="shared" si="41"/>
        <v>9.3047749999999994</v>
      </c>
      <c r="G1091" s="63">
        <f t="shared" si="41"/>
        <v>9.3090916666666654</v>
      </c>
      <c r="H1091" s="63">
        <f t="shared" si="41"/>
        <v>15.741966666666665</v>
      </c>
      <c r="I1091" s="63">
        <f t="shared" si="41"/>
        <v>15.746258333333335</v>
      </c>
      <c r="J1091" s="63">
        <f t="shared" si="41"/>
        <v>9.3047749999999994</v>
      </c>
      <c r="K1091" s="63">
        <f t="shared" si="41"/>
        <v>9.3090916666666654</v>
      </c>
    </row>
    <row r="1092" spans="1:11" ht="15">
      <c r="A1092" s="3">
        <v>2057</v>
      </c>
      <c r="B1092" s="63">
        <f t="shared" ref="B1092:K1092" si="42">AVERAGE(B521:B532)</f>
        <v>8.079958333333332</v>
      </c>
      <c r="C1092" s="63">
        <f t="shared" si="42"/>
        <v>8.079958333333332</v>
      </c>
      <c r="D1092" s="63">
        <f t="shared" si="42"/>
        <v>8.083475</v>
      </c>
      <c r="E1092" s="63">
        <f t="shared" si="42"/>
        <v>9.5323916666666673</v>
      </c>
      <c r="F1092" s="63">
        <f t="shared" si="42"/>
        <v>9.5323916666666673</v>
      </c>
      <c r="G1092" s="63">
        <f t="shared" si="42"/>
        <v>9.5367083333333316</v>
      </c>
      <c r="H1092" s="63">
        <f t="shared" si="42"/>
        <v>16.140033333333335</v>
      </c>
      <c r="I1092" s="63">
        <f t="shared" si="42"/>
        <v>16.144341666666666</v>
      </c>
      <c r="J1092" s="63">
        <f t="shared" si="42"/>
        <v>9.5323916666666673</v>
      </c>
      <c r="K1092" s="63">
        <f t="shared" si="42"/>
        <v>9.5367083333333316</v>
      </c>
    </row>
    <row r="1093" spans="1:11" ht="15">
      <c r="A1093" s="3">
        <v>2058</v>
      </c>
      <c r="B1093" s="63">
        <f t="shared" ref="B1093:K1093" si="43">AVERAGE(B533:B544)</f>
        <v>8.2937916666666691</v>
      </c>
      <c r="C1093" s="63">
        <f t="shared" si="43"/>
        <v>8.2937916666666691</v>
      </c>
      <c r="D1093" s="63">
        <f t="shared" si="43"/>
        <v>8.2973000000000017</v>
      </c>
      <c r="E1093" s="63">
        <f t="shared" si="43"/>
        <v>9.7656249999999982</v>
      </c>
      <c r="F1093" s="63">
        <f t="shared" si="43"/>
        <v>9.7656249999999982</v>
      </c>
      <c r="G1093" s="63">
        <f t="shared" si="43"/>
        <v>9.7699333333333307</v>
      </c>
      <c r="H1093" s="63">
        <f t="shared" si="43"/>
        <v>16.548199999999998</v>
      </c>
      <c r="I1093" s="63">
        <f t="shared" si="43"/>
        <v>16.552483333333335</v>
      </c>
      <c r="J1093" s="63">
        <f t="shared" si="43"/>
        <v>9.7656249999999982</v>
      </c>
      <c r="K1093" s="63">
        <f t="shared" si="43"/>
        <v>9.7699333333333307</v>
      </c>
    </row>
    <row r="1094" spans="1:11" ht="15">
      <c r="A1094" s="3">
        <v>2059</v>
      </c>
      <c r="B1094" s="63">
        <f t="shared" ref="B1094:K1094" si="44">AVERAGE(B545:B556)</f>
        <v>8.513325</v>
      </c>
      <c r="C1094" s="63">
        <f t="shared" si="44"/>
        <v>8.513325</v>
      </c>
      <c r="D1094" s="63">
        <f t="shared" si="44"/>
        <v>8.5168499999999998</v>
      </c>
      <c r="E1094" s="63">
        <f t="shared" si="44"/>
        <v>10.004574999999999</v>
      </c>
      <c r="F1094" s="63">
        <f t="shared" si="44"/>
        <v>10.004574999999999</v>
      </c>
      <c r="G1094" s="63">
        <f t="shared" si="44"/>
        <v>10.008883333333333</v>
      </c>
      <c r="H1094" s="63">
        <f t="shared" si="44"/>
        <v>16.966683333333329</v>
      </c>
      <c r="I1094" s="63">
        <f t="shared" si="44"/>
        <v>16.970983333333333</v>
      </c>
      <c r="J1094" s="63">
        <f t="shared" si="44"/>
        <v>10.004574999999999</v>
      </c>
      <c r="K1094" s="63">
        <f t="shared" si="44"/>
        <v>10.008883333333333</v>
      </c>
    </row>
    <row r="1095" spans="1:11" ht="15">
      <c r="A1095" s="3">
        <v>2060</v>
      </c>
      <c r="B1095" s="63">
        <f t="shared" ref="B1095:K1095" si="45">AVERAGE(B557:B568)</f>
        <v>8.738741666666666</v>
      </c>
      <c r="C1095" s="63">
        <f t="shared" si="45"/>
        <v>8.738741666666666</v>
      </c>
      <c r="D1095" s="63">
        <f t="shared" si="45"/>
        <v>8.7422500000000003</v>
      </c>
      <c r="E1095" s="63">
        <f t="shared" si="45"/>
        <v>10.249391666666666</v>
      </c>
      <c r="F1095" s="63">
        <f t="shared" si="45"/>
        <v>10.249391666666666</v>
      </c>
      <c r="G1095" s="63">
        <f t="shared" si="45"/>
        <v>10.253708333333334</v>
      </c>
      <c r="H1095" s="63">
        <f t="shared" si="45"/>
        <v>17.395733333333336</v>
      </c>
      <c r="I1095" s="63">
        <f t="shared" si="45"/>
        <v>17.400024999999999</v>
      </c>
      <c r="J1095" s="63">
        <f t="shared" si="45"/>
        <v>10.249391666666666</v>
      </c>
      <c r="K1095" s="63">
        <f t="shared" si="45"/>
        <v>10.253708333333334</v>
      </c>
    </row>
    <row r="1096" spans="1:11" ht="15">
      <c r="A1096" s="3">
        <v>2061</v>
      </c>
      <c r="B1096" s="63">
        <f t="shared" ref="B1096:K1096" si="46">AVERAGE(B569:B580)</f>
        <v>8.9701666666666657</v>
      </c>
      <c r="C1096" s="63">
        <f t="shared" si="46"/>
        <v>8.9701666666666657</v>
      </c>
      <c r="D1096" s="63">
        <f t="shared" si="46"/>
        <v>8.9736750000000001</v>
      </c>
      <c r="E1096" s="63">
        <f t="shared" si="46"/>
        <v>10.500225000000002</v>
      </c>
      <c r="F1096" s="63">
        <f t="shared" si="46"/>
        <v>10.500225000000002</v>
      </c>
      <c r="G1096" s="63">
        <f t="shared" si="46"/>
        <v>10.504541666666666</v>
      </c>
      <c r="H1096" s="63">
        <f t="shared" si="46"/>
        <v>17.835633333333334</v>
      </c>
      <c r="I1096" s="63">
        <f t="shared" si="46"/>
        <v>17.839958333333332</v>
      </c>
      <c r="J1096" s="63">
        <f t="shared" si="46"/>
        <v>10.500225000000002</v>
      </c>
      <c r="K1096" s="63">
        <f t="shared" si="46"/>
        <v>10.504541666666666</v>
      </c>
    </row>
    <row r="1097" spans="1:11" ht="15">
      <c r="A1097" s="3">
        <v>2062</v>
      </c>
      <c r="B1097" s="63">
        <f t="shared" ref="B1097:K1106" ca="1" si="47">AVERAGE(OFFSET(B$581,($A1097-$A$1097)*12,0,12,1))</f>
        <v>9.2077833333333352</v>
      </c>
      <c r="C1097" s="63">
        <f t="shared" ca="1" si="47"/>
        <v>9.2077833333333352</v>
      </c>
      <c r="D1097" s="63">
        <f t="shared" ca="1" si="47"/>
        <v>9.2113000000000014</v>
      </c>
      <c r="E1097" s="63">
        <f t="shared" ca="1" si="47"/>
        <v>10.757233333333332</v>
      </c>
      <c r="F1097" s="63">
        <f t="shared" ca="1" si="47"/>
        <v>10.757233333333332</v>
      </c>
      <c r="G1097" s="63">
        <f t="shared" ca="1" si="47"/>
        <v>10.761558333333333</v>
      </c>
      <c r="H1097" s="63">
        <f t="shared" ca="1" si="47"/>
        <v>18.286683333333333</v>
      </c>
      <c r="I1097" s="63">
        <f t="shared" ca="1" si="47"/>
        <v>18.290983333333333</v>
      </c>
      <c r="J1097" s="63">
        <f t="shared" ca="1" si="47"/>
        <v>10.757233333333332</v>
      </c>
      <c r="K1097" s="63">
        <f t="shared" ca="1" si="47"/>
        <v>10.761558333333333</v>
      </c>
    </row>
    <row r="1098" spans="1:11" ht="15">
      <c r="A1098" s="3">
        <v>2063</v>
      </c>
      <c r="B1098" s="63">
        <f t="shared" ca="1" si="47"/>
        <v>9.4453666666666667</v>
      </c>
      <c r="C1098" s="63">
        <f t="shared" ca="1" si="47"/>
        <v>9.4453666666666667</v>
      </c>
      <c r="D1098" s="63">
        <f t="shared" ca="1" si="47"/>
        <v>9.4489083333333337</v>
      </c>
      <c r="E1098" s="63">
        <f t="shared" ca="1" si="47"/>
        <v>11.014258333333332</v>
      </c>
      <c r="F1098" s="63">
        <f t="shared" ca="1" si="47"/>
        <v>11.014258333333332</v>
      </c>
      <c r="G1098" s="63">
        <f t="shared" ca="1" si="47"/>
        <v>11.018566666666667</v>
      </c>
      <c r="H1098" s="63">
        <f t="shared" ca="1" si="47"/>
        <v>18.7377</v>
      </c>
      <c r="I1098" s="63">
        <f t="shared" ca="1" si="47"/>
        <v>18.742033333333335</v>
      </c>
      <c r="J1098" s="63">
        <f t="shared" ca="1" si="47"/>
        <v>11.014258333333332</v>
      </c>
      <c r="K1098" s="63">
        <f t="shared" ca="1" si="47"/>
        <v>11.018566666666667</v>
      </c>
    </row>
    <row r="1099" spans="1:11" ht="15">
      <c r="A1099" s="3">
        <v>2064</v>
      </c>
      <c r="B1099" s="63">
        <f t="shared" ca="1" si="47"/>
        <v>9.6830083333333334</v>
      </c>
      <c r="C1099" s="63">
        <f t="shared" ca="1" si="47"/>
        <v>9.6830083333333334</v>
      </c>
      <c r="D1099" s="63">
        <f t="shared" ca="1" si="47"/>
        <v>9.686516666666666</v>
      </c>
      <c r="E1099" s="63">
        <f t="shared" ca="1" si="47"/>
        <v>11.271266666666667</v>
      </c>
      <c r="F1099" s="63">
        <f t="shared" ca="1" si="47"/>
        <v>11.271266666666667</v>
      </c>
      <c r="G1099" s="63">
        <f t="shared" ca="1" si="47"/>
        <v>11.275583333333335</v>
      </c>
      <c r="H1099" s="63">
        <f t="shared" ca="1" si="47"/>
        <v>19.188758333333329</v>
      </c>
      <c r="I1099" s="63">
        <f t="shared" ca="1" si="47"/>
        <v>19.193074999999997</v>
      </c>
      <c r="J1099" s="63">
        <f t="shared" ca="1" si="47"/>
        <v>11.271266666666667</v>
      </c>
      <c r="K1099" s="63">
        <f t="shared" ca="1" si="47"/>
        <v>11.275583333333335</v>
      </c>
    </row>
    <row r="1100" spans="1:11" ht="15">
      <c r="A1100" s="3">
        <v>2065</v>
      </c>
      <c r="B1100" s="63">
        <f t="shared" ca="1" si="47"/>
        <v>9.9206166666666658</v>
      </c>
      <c r="C1100" s="63">
        <f t="shared" ca="1" si="47"/>
        <v>9.9206166666666658</v>
      </c>
      <c r="D1100" s="63">
        <f t="shared" ca="1" si="47"/>
        <v>9.9241333333333337</v>
      </c>
      <c r="E1100" s="63">
        <f t="shared" ca="1" si="47"/>
        <v>11.528291666666666</v>
      </c>
      <c r="F1100" s="63">
        <f t="shared" ca="1" si="47"/>
        <v>11.528291666666666</v>
      </c>
      <c r="G1100" s="63">
        <f t="shared" ca="1" si="47"/>
        <v>11.532583333333333</v>
      </c>
      <c r="H1100" s="63">
        <f t="shared" ca="1" si="47"/>
        <v>19.639800000000005</v>
      </c>
      <c r="I1100" s="63">
        <f t="shared" ca="1" si="47"/>
        <v>19.644083333333338</v>
      </c>
      <c r="J1100" s="63">
        <f t="shared" ca="1" si="47"/>
        <v>11.528291666666666</v>
      </c>
      <c r="K1100" s="63">
        <f t="shared" ca="1" si="47"/>
        <v>11.532583333333333</v>
      </c>
    </row>
    <row r="1101" spans="1:11" ht="15">
      <c r="A1101" s="3">
        <v>2066</v>
      </c>
      <c r="B1101" s="63">
        <f t="shared" ca="1" si="47"/>
        <v>10.158233333333335</v>
      </c>
      <c r="C1101" s="63">
        <f t="shared" ca="1" si="47"/>
        <v>10.158233333333335</v>
      </c>
      <c r="D1101" s="63">
        <f t="shared" ca="1" si="47"/>
        <v>10.161750000000001</v>
      </c>
      <c r="E1101" s="63">
        <f t="shared" ca="1" si="47"/>
        <v>11.785283333333332</v>
      </c>
      <c r="F1101" s="63">
        <f t="shared" ca="1" si="47"/>
        <v>11.785283333333332</v>
      </c>
      <c r="G1101" s="63">
        <f t="shared" ca="1" si="47"/>
        <v>11.7896</v>
      </c>
      <c r="H1101" s="63">
        <f t="shared" ca="1" si="47"/>
        <v>20.090816666666665</v>
      </c>
      <c r="I1101" s="63">
        <f t="shared" ca="1" si="47"/>
        <v>20.095116666666666</v>
      </c>
      <c r="J1101" s="63">
        <f t="shared" ca="1" si="47"/>
        <v>11.785283333333332</v>
      </c>
      <c r="K1101" s="63">
        <f t="shared" ca="1" si="47"/>
        <v>11.7896</v>
      </c>
    </row>
    <row r="1102" spans="1:11" ht="15">
      <c r="A1102" s="3">
        <v>2067</v>
      </c>
      <c r="B1102" s="63">
        <f t="shared" ca="1" si="47"/>
        <v>10.395849999999998</v>
      </c>
      <c r="C1102" s="63">
        <f t="shared" ca="1" si="47"/>
        <v>10.395849999999998</v>
      </c>
      <c r="D1102" s="63">
        <f t="shared" ca="1" si="47"/>
        <v>10.399358333333332</v>
      </c>
      <c r="E1102" s="63">
        <f t="shared" ca="1" si="47"/>
        <v>12.042299999999999</v>
      </c>
      <c r="F1102" s="63">
        <f t="shared" ca="1" si="47"/>
        <v>12.042299999999999</v>
      </c>
      <c r="G1102" s="63">
        <f t="shared" ca="1" si="47"/>
        <v>12.046591666666666</v>
      </c>
      <c r="H1102" s="63">
        <f t="shared" ca="1" si="47"/>
        <v>20.541858333333334</v>
      </c>
      <c r="I1102" s="63">
        <f t="shared" ca="1" si="47"/>
        <v>20.546158333333334</v>
      </c>
      <c r="J1102" s="63">
        <f t="shared" ca="1" si="47"/>
        <v>12.042299999999999</v>
      </c>
      <c r="K1102" s="63">
        <f t="shared" ca="1" si="47"/>
        <v>12.046591666666666</v>
      </c>
    </row>
    <row r="1103" spans="1:11" ht="15">
      <c r="A1103" s="3">
        <v>2068</v>
      </c>
      <c r="B1103" s="63">
        <f t="shared" ca="1" si="47"/>
        <v>10.633449999999998</v>
      </c>
      <c r="C1103" s="63">
        <f t="shared" ca="1" si="47"/>
        <v>10.633449999999998</v>
      </c>
      <c r="D1103" s="63">
        <f t="shared" ca="1" si="47"/>
        <v>10.636975</v>
      </c>
      <c r="E1103" s="63">
        <f t="shared" ca="1" si="47"/>
        <v>12.299291666666669</v>
      </c>
      <c r="F1103" s="63">
        <f t="shared" ca="1" si="47"/>
        <v>12.299291666666669</v>
      </c>
      <c r="G1103" s="63">
        <f t="shared" ca="1" si="47"/>
        <v>12.303625000000002</v>
      </c>
      <c r="H1103" s="63">
        <f t="shared" ca="1" si="47"/>
        <v>20.992891666666669</v>
      </c>
      <c r="I1103" s="63">
        <f t="shared" ca="1" si="47"/>
        <v>20.997199999999999</v>
      </c>
      <c r="J1103" s="63">
        <f t="shared" ca="1" si="47"/>
        <v>12.299291666666669</v>
      </c>
      <c r="K1103" s="63">
        <f t="shared" ca="1" si="47"/>
        <v>12.303625000000002</v>
      </c>
    </row>
    <row r="1104" spans="1:11" ht="15">
      <c r="A1104" s="3">
        <v>2069</v>
      </c>
      <c r="B1104" s="63">
        <f t="shared" ca="1" si="47"/>
        <v>10.871066666666664</v>
      </c>
      <c r="C1104" s="63">
        <f t="shared" ca="1" si="47"/>
        <v>10.871066666666664</v>
      </c>
      <c r="D1104" s="63">
        <f t="shared" ca="1" si="47"/>
        <v>10.874583333333334</v>
      </c>
      <c r="E1104" s="63">
        <f t="shared" ca="1" si="47"/>
        <v>12.556333333333333</v>
      </c>
      <c r="F1104" s="63">
        <f t="shared" ca="1" si="47"/>
        <v>12.556333333333333</v>
      </c>
      <c r="G1104" s="63">
        <f t="shared" ca="1" si="47"/>
        <v>12.560633333333334</v>
      </c>
      <c r="H1104" s="63">
        <f t="shared" ca="1" si="47"/>
        <v>21.443916666666667</v>
      </c>
      <c r="I1104" s="63">
        <f t="shared" ca="1" si="47"/>
        <v>21.448233333333334</v>
      </c>
      <c r="J1104" s="63">
        <f t="shared" ca="1" si="47"/>
        <v>12.556333333333333</v>
      </c>
      <c r="K1104" s="63">
        <f t="shared" ca="1" si="47"/>
        <v>12.560633333333334</v>
      </c>
    </row>
    <row r="1105" spans="1:11" ht="15">
      <c r="A1105" s="3">
        <v>2070</v>
      </c>
      <c r="B1105" s="63">
        <f t="shared" ca="1" si="47"/>
        <v>11.108683333333333</v>
      </c>
      <c r="C1105" s="63">
        <f t="shared" ca="1" si="47"/>
        <v>11.108683333333333</v>
      </c>
      <c r="D1105" s="63">
        <f t="shared" ca="1" si="47"/>
        <v>11.112191666666668</v>
      </c>
      <c r="E1105" s="63">
        <f t="shared" ca="1" si="47"/>
        <v>12.813333333333333</v>
      </c>
      <c r="F1105" s="63">
        <f t="shared" ca="1" si="47"/>
        <v>12.813333333333333</v>
      </c>
      <c r="G1105" s="63">
        <f t="shared" ca="1" si="47"/>
        <v>12.817633333333333</v>
      </c>
      <c r="H1105" s="63">
        <f t="shared" ca="1" si="47"/>
        <v>21.894974999999999</v>
      </c>
      <c r="I1105" s="63">
        <f t="shared" ca="1" si="47"/>
        <v>21.899274999999999</v>
      </c>
      <c r="J1105" s="63">
        <f t="shared" ca="1" si="47"/>
        <v>12.813333333333333</v>
      </c>
      <c r="K1105" s="63">
        <f t="shared" ca="1" si="47"/>
        <v>12.817633333333333</v>
      </c>
    </row>
    <row r="1106" spans="1:11" ht="15">
      <c r="A1106" s="3">
        <v>2071</v>
      </c>
      <c r="B1106" s="63">
        <f t="shared" ca="1" si="47"/>
        <v>11.346308333333333</v>
      </c>
      <c r="C1106" s="63">
        <f t="shared" ca="1" si="47"/>
        <v>11.346308333333333</v>
      </c>
      <c r="D1106" s="63">
        <f t="shared" ca="1" si="47"/>
        <v>11.349833333333331</v>
      </c>
      <c r="E1106" s="63">
        <f t="shared" ca="1" si="47"/>
        <v>13.070333333333332</v>
      </c>
      <c r="F1106" s="63">
        <f t="shared" ca="1" si="47"/>
        <v>13.070333333333332</v>
      </c>
      <c r="G1106" s="63">
        <f t="shared" ca="1" si="47"/>
        <v>13.074633333333333</v>
      </c>
      <c r="H1106" s="63">
        <f t="shared" ca="1" si="47"/>
        <v>22.346016666666667</v>
      </c>
      <c r="I1106" s="63">
        <f t="shared" ca="1" si="47"/>
        <v>22.350308333333334</v>
      </c>
      <c r="J1106" s="63">
        <f t="shared" ca="1" si="47"/>
        <v>13.070333333333332</v>
      </c>
      <c r="K1106" s="63">
        <f t="shared" ca="1" si="47"/>
        <v>13.074633333333333</v>
      </c>
    </row>
    <row r="1107" spans="1:11" ht="15">
      <c r="A1107" s="3">
        <v>2072</v>
      </c>
      <c r="B1107" s="63">
        <f t="shared" ref="B1107:K1116" ca="1" si="48">AVERAGE(OFFSET(B$581,($A1107-$A$1097)*12,0,12,1))</f>
        <v>11.583908333333333</v>
      </c>
      <c r="C1107" s="63">
        <f t="shared" ca="1" si="48"/>
        <v>11.583908333333333</v>
      </c>
      <c r="D1107" s="63">
        <f t="shared" ca="1" si="48"/>
        <v>11.587433333333331</v>
      </c>
      <c r="E1107" s="63">
        <f t="shared" ca="1" si="48"/>
        <v>13.327350000000001</v>
      </c>
      <c r="F1107" s="63">
        <f t="shared" ca="1" si="48"/>
        <v>13.327350000000001</v>
      </c>
      <c r="G1107" s="63">
        <f t="shared" ca="1" si="48"/>
        <v>13.331658333333335</v>
      </c>
      <c r="H1107" s="63">
        <f t="shared" ca="1" si="48"/>
        <v>22.797041666666669</v>
      </c>
      <c r="I1107" s="63">
        <f t="shared" ca="1" si="48"/>
        <v>22.801341666666669</v>
      </c>
      <c r="J1107" s="63">
        <f t="shared" ca="1" si="48"/>
        <v>13.327350000000001</v>
      </c>
      <c r="K1107" s="63">
        <f t="shared" ca="1" si="48"/>
        <v>13.331658333333335</v>
      </c>
    </row>
    <row r="1108" spans="1:11" ht="15">
      <c r="A1108" s="3">
        <v>2073</v>
      </c>
      <c r="B1108" s="63">
        <f t="shared" ca="1" si="48"/>
        <v>11.821525000000001</v>
      </c>
      <c r="C1108" s="63">
        <f t="shared" ca="1" si="48"/>
        <v>11.821525000000001</v>
      </c>
      <c r="D1108" s="63">
        <f t="shared" ca="1" si="48"/>
        <v>11.825041666666666</v>
      </c>
      <c r="E1108" s="63">
        <f t="shared" ca="1" si="48"/>
        <v>13.584366666666666</v>
      </c>
      <c r="F1108" s="63">
        <f t="shared" ca="1" si="48"/>
        <v>13.584366666666666</v>
      </c>
      <c r="G1108" s="63">
        <f t="shared" ca="1" si="48"/>
        <v>13.588675</v>
      </c>
      <c r="H1108" s="63">
        <f t="shared" ca="1" si="48"/>
        <v>23.248075000000004</v>
      </c>
      <c r="I1108" s="63">
        <f t="shared" ca="1" si="48"/>
        <v>23.252383333333331</v>
      </c>
      <c r="J1108" s="63">
        <f t="shared" ca="1" si="48"/>
        <v>13.584366666666666</v>
      </c>
      <c r="K1108" s="63">
        <f t="shared" ca="1" si="48"/>
        <v>13.588675</v>
      </c>
    </row>
    <row r="1109" spans="1:11" ht="15">
      <c r="A1109" s="3">
        <v>2074</v>
      </c>
      <c r="B1109" s="63">
        <f t="shared" ca="1" si="48"/>
        <v>12.059150000000001</v>
      </c>
      <c r="C1109" s="63">
        <f t="shared" ca="1" si="48"/>
        <v>12.059150000000001</v>
      </c>
      <c r="D1109" s="63">
        <f t="shared" ca="1" si="48"/>
        <v>12.062658333333333</v>
      </c>
      <c r="E1109" s="63">
        <f t="shared" ca="1" si="48"/>
        <v>13.841366666666666</v>
      </c>
      <c r="F1109" s="63">
        <f t="shared" ca="1" si="48"/>
        <v>13.841366666666666</v>
      </c>
      <c r="G1109" s="63">
        <f t="shared" ca="1" si="48"/>
        <v>13.845658333333335</v>
      </c>
      <c r="H1109" s="63">
        <f t="shared" ca="1" si="48"/>
        <v>23.699116666666665</v>
      </c>
      <c r="I1109" s="63">
        <f t="shared" ca="1" si="48"/>
        <v>23.703425000000006</v>
      </c>
      <c r="J1109" s="63">
        <f t="shared" ca="1" si="48"/>
        <v>13.841366666666666</v>
      </c>
      <c r="K1109" s="63">
        <f t="shared" ca="1" si="48"/>
        <v>13.845658333333335</v>
      </c>
    </row>
    <row r="1110" spans="1:11" ht="15">
      <c r="A1110" s="3">
        <v>2075</v>
      </c>
      <c r="B1110" s="63">
        <f t="shared" ca="1" si="48"/>
        <v>12.296750000000001</v>
      </c>
      <c r="C1110" s="63">
        <f t="shared" ca="1" si="48"/>
        <v>12.296750000000001</v>
      </c>
      <c r="D1110" s="63">
        <f t="shared" ca="1" si="48"/>
        <v>12.300266666666666</v>
      </c>
      <c r="E1110" s="63">
        <f t="shared" ca="1" si="48"/>
        <v>14.098391666666664</v>
      </c>
      <c r="F1110" s="63">
        <f t="shared" ca="1" si="48"/>
        <v>14.098391666666664</v>
      </c>
      <c r="G1110" s="63">
        <f t="shared" ca="1" si="48"/>
        <v>14.102683333333331</v>
      </c>
      <c r="H1110" s="63">
        <f t="shared" ca="1" si="48"/>
        <v>24.150158333333334</v>
      </c>
      <c r="I1110" s="63">
        <f t="shared" ca="1" si="48"/>
        <v>24.154458333333327</v>
      </c>
      <c r="J1110" s="63">
        <f t="shared" ca="1" si="48"/>
        <v>14.098391666666664</v>
      </c>
      <c r="K1110" s="63">
        <f t="shared" ca="1" si="48"/>
        <v>14.102683333333331</v>
      </c>
    </row>
    <row r="1111" spans="1:11" ht="15">
      <c r="A1111" s="3">
        <v>2076</v>
      </c>
      <c r="B1111" s="63">
        <f t="shared" ca="1" si="48"/>
        <v>12.534383333333331</v>
      </c>
      <c r="C1111" s="63">
        <f t="shared" ca="1" si="48"/>
        <v>12.534383333333331</v>
      </c>
      <c r="D1111" s="63">
        <f t="shared" ca="1" si="48"/>
        <v>12.537883333333333</v>
      </c>
      <c r="E1111" s="63">
        <f t="shared" ca="1" si="48"/>
        <v>14.355391666666668</v>
      </c>
      <c r="F1111" s="63">
        <f t="shared" ca="1" si="48"/>
        <v>14.355391666666668</v>
      </c>
      <c r="G1111" s="63">
        <f t="shared" ca="1" si="48"/>
        <v>14.359699999999998</v>
      </c>
      <c r="H1111" s="63">
        <f t="shared" ca="1" si="48"/>
        <v>24.601200000000002</v>
      </c>
      <c r="I1111" s="63">
        <f t="shared" ca="1" si="48"/>
        <v>24.605491666666669</v>
      </c>
      <c r="J1111" s="63">
        <f t="shared" ca="1" si="48"/>
        <v>14.355391666666668</v>
      </c>
      <c r="K1111" s="63">
        <f t="shared" ca="1" si="48"/>
        <v>14.359699999999998</v>
      </c>
    </row>
    <row r="1112" spans="1:11" ht="15">
      <c r="A1112" s="3">
        <v>2077</v>
      </c>
      <c r="B1112" s="63">
        <f t="shared" ca="1" si="48"/>
        <v>12.771983333333333</v>
      </c>
      <c r="C1112" s="63">
        <f t="shared" ca="1" si="48"/>
        <v>12.771983333333333</v>
      </c>
      <c r="D1112" s="63">
        <f t="shared" ca="1" si="48"/>
        <v>12.775508333333333</v>
      </c>
      <c r="E1112" s="63">
        <f t="shared" ca="1" si="48"/>
        <v>14.612399999999999</v>
      </c>
      <c r="F1112" s="63">
        <f t="shared" ca="1" si="48"/>
        <v>14.612399999999999</v>
      </c>
      <c r="G1112" s="63">
        <f t="shared" ca="1" si="48"/>
        <v>14.616708333333333</v>
      </c>
      <c r="H1112" s="63">
        <f t="shared" ca="1" si="48"/>
        <v>25.052241666666664</v>
      </c>
      <c r="I1112" s="63">
        <f t="shared" ca="1" si="48"/>
        <v>25.056524999999997</v>
      </c>
      <c r="J1112" s="63">
        <f t="shared" ca="1" si="48"/>
        <v>14.612399999999999</v>
      </c>
      <c r="K1112" s="63">
        <f t="shared" ca="1" si="48"/>
        <v>14.616708333333333</v>
      </c>
    </row>
    <row r="1113" spans="1:11" ht="15">
      <c r="A1113" s="3">
        <v>2078</v>
      </c>
      <c r="B1113" s="63">
        <f t="shared" ca="1" si="48"/>
        <v>13.009583333333333</v>
      </c>
      <c r="C1113" s="63">
        <f t="shared" ca="1" si="48"/>
        <v>13.009583333333333</v>
      </c>
      <c r="D1113" s="63">
        <f t="shared" ca="1" si="48"/>
        <v>13.0131</v>
      </c>
      <c r="E1113" s="63">
        <f t="shared" ca="1" si="48"/>
        <v>14.869391666666665</v>
      </c>
      <c r="F1113" s="63">
        <f t="shared" ca="1" si="48"/>
        <v>14.869391666666665</v>
      </c>
      <c r="G1113" s="63">
        <f t="shared" ca="1" si="48"/>
        <v>14.873708333333331</v>
      </c>
      <c r="H1113" s="63">
        <f t="shared" ca="1" si="48"/>
        <v>25.503249999999998</v>
      </c>
      <c r="I1113" s="63">
        <f t="shared" ca="1" si="48"/>
        <v>25.507566666666666</v>
      </c>
      <c r="J1113" s="63">
        <f t="shared" ca="1" si="48"/>
        <v>14.869391666666665</v>
      </c>
      <c r="K1113" s="63">
        <f t="shared" ca="1" si="48"/>
        <v>14.873708333333331</v>
      </c>
    </row>
    <row r="1114" spans="1:11" ht="15">
      <c r="A1114" s="3">
        <v>2079</v>
      </c>
      <c r="B1114" s="63">
        <f t="shared" ca="1" si="48"/>
        <v>13.247225000000002</v>
      </c>
      <c r="C1114" s="63">
        <f t="shared" ca="1" si="48"/>
        <v>13.247225000000002</v>
      </c>
      <c r="D1114" s="63">
        <f t="shared" ca="1" si="48"/>
        <v>13.250725000000001</v>
      </c>
      <c r="E1114" s="63">
        <f t="shared" ca="1" si="48"/>
        <v>15.126424999999999</v>
      </c>
      <c r="F1114" s="63">
        <f t="shared" ca="1" si="48"/>
        <v>15.126424999999999</v>
      </c>
      <c r="G1114" s="63">
        <f t="shared" ca="1" si="48"/>
        <v>15.130716666666665</v>
      </c>
      <c r="H1114" s="63">
        <f t="shared" ca="1" si="48"/>
        <v>25.954283333333333</v>
      </c>
      <c r="I1114" s="63">
        <f t="shared" ca="1" si="48"/>
        <v>25.958583333333333</v>
      </c>
      <c r="J1114" s="63">
        <f t="shared" ca="1" si="48"/>
        <v>15.126424999999999</v>
      </c>
      <c r="K1114" s="63">
        <f t="shared" ca="1" si="48"/>
        <v>15.130716666666665</v>
      </c>
    </row>
    <row r="1115" spans="1:11" ht="15">
      <c r="A1115" s="3">
        <v>2080</v>
      </c>
      <c r="B1115" s="63">
        <f t="shared" ca="1" si="48"/>
        <v>13.484824999999995</v>
      </c>
      <c r="C1115" s="63">
        <f t="shared" ca="1" si="48"/>
        <v>13.484824999999995</v>
      </c>
      <c r="D1115" s="63">
        <f t="shared" ca="1" si="48"/>
        <v>13.488349999999997</v>
      </c>
      <c r="E1115" s="63">
        <f t="shared" ca="1" si="48"/>
        <v>15.383441666666668</v>
      </c>
      <c r="F1115" s="63">
        <f t="shared" ca="1" si="48"/>
        <v>15.383441666666668</v>
      </c>
      <c r="G1115" s="63">
        <f t="shared" ca="1" si="48"/>
        <v>15.38774166666667</v>
      </c>
      <c r="H1115" s="63">
        <f t="shared" ca="1" si="48"/>
        <v>26.405316666666661</v>
      </c>
      <c r="I1115" s="63">
        <f t="shared" ca="1" si="48"/>
        <v>26.409641666666669</v>
      </c>
      <c r="J1115" s="63">
        <f t="shared" ca="1" si="48"/>
        <v>15.383441666666668</v>
      </c>
      <c r="K1115" s="63">
        <f t="shared" ca="1" si="48"/>
        <v>15.38774166666667</v>
      </c>
    </row>
    <row r="1116" spans="1:11" ht="15">
      <c r="A1116" s="3">
        <v>2081</v>
      </c>
      <c r="B1116" s="63">
        <f t="shared" ca="1" si="48"/>
        <v>13.72245</v>
      </c>
      <c r="C1116" s="63">
        <f t="shared" ca="1" si="48"/>
        <v>13.72245</v>
      </c>
      <c r="D1116" s="63">
        <f t="shared" ca="1" si="48"/>
        <v>13.725958333333333</v>
      </c>
      <c r="E1116" s="63">
        <f t="shared" ca="1" si="48"/>
        <v>15.640424999999999</v>
      </c>
      <c r="F1116" s="63">
        <f t="shared" ca="1" si="48"/>
        <v>15.640424999999999</v>
      </c>
      <c r="G1116" s="63">
        <f t="shared" ca="1" si="48"/>
        <v>15.64475833333333</v>
      </c>
      <c r="H1116" s="63">
        <f t="shared" ca="1" si="48"/>
        <v>26.856358333333333</v>
      </c>
      <c r="I1116" s="63">
        <f t="shared" ca="1" si="48"/>
        <v>26.860675000000001</v>
      </c>
      <c r="J1116" s="63">
        <f t="shared" ca="1" si="48"/>
        <v>15.640424999999999</v>
      </c>
      <c r="K1116" s="63">
        <f t="shared" ca="1" si="48"/>
        <v>15.64475833333333</v>
      </c>
    </row>
    <row r="1117" spans="1:11" ht="15">
      <c r="A1117" s="3">
        <v>2082</v>
      </c>
      <c r="B1117" s="63">
        <f t="shared" ref="B1117:K1126" ca="1" si="49">AVERAGE(OFFSET(B$581,($A1117-$A$1097)*12,0,12,1))</f>
        <v>13.960058333333334</v>
      </c>
      <c r="C1117" s="63">
        <f t="shared" ca="1" si="49"/>
        <v>13.960058333333334</v>
      </c>
      <c r="D1117" s="63">
        <f t="shared" ca="1" si="49"/>
        <v>13.963574999999999</v>
      </c>
      <c r="E1117" s="63">
        <f t="shared" ca="1" si="49"/>
        <v>15.897450000000001</v>
      </c>
      <c r="F1117" s="63">
        <f t="shared" ca="1" si="49"/>
        <v>15.897450000000001</v>
      </c>
      <c r="G1117" s="63">
        <f t="shared" ca="1" si="49"/>
        <v>15.90175</v>
      </c>
      <c r="H1117" s="63">
        <f t="shared" ca="1" si="49"/>
        <v>27.307400000000001</v>
      </c>
      <c r="I1117" s="63">
        <f t="shared" ca="1" si="49"/>
        <v>27.311699999999998</v>
      </c>
      <c r="J1117" s="63">
        <f t="shared" ca="1" si="49"/>
        <v>15.897450000000001</v>
      </c>
      <c r="K1117" s="63">
        <f t="shared" ca="1" si="49"/>
        <v>15.90175</v>
      </c>
    </row>
    <row r="1118" spans="1:11" ht="15">
      <c r="A1118" s="3">
        <v>2083</v>
      </c>
      <c r="B1118" s="63">
        <f t="shared" ca="1" si="49"/>
        <v>14.197650000000001</v>
      </c>
      <c r="C1118" s="63">
        <f t="shared" ca="1" si="49"/>
        <v>14.197650000000001</v>
      </c>
      <c r="D1118" s="63">
        <f t="shared" ca="1" si="49"/>
        <v>14.201183333333335</v>
      </c>
      <c r="E1118" s="63">
        <f t="shared" ca="1" si="49"/>
        <v>16.154466666666668</v>
      </c>
      <c r="F1118" s="63">
        <f t="shared" ca="1" si="49"/>
        <v>16.154466666666668</v>
      </c>
      <c r="G1118" s="63">
        <f t="shared" ca="1" si="49"/>
        <v>16.158766666666668</v>
      </c>
      <c r="H1118" s="63">
        <f t="shared" ca="1" si="49"/>
        <v>27.758433333333329</v>
      </c>
      <c r="I1118" s="63">
        <f t="shared" ca="1" si="49"/>
        <v>27.762741666666667</v>
      </c>
      <c r="J1118" s="63">
        <f t="shared" ca="1" si="49"/>
        <v>16.154466666666668</v>
      </c>
      <c r="K1118" s="63">
        <f t="shared" ca="1" si="49"/>
        <v>16.158766666666668</v>
      </c>
    </row>
    <row r="1119" spans="1:11" ht="15">
      <c r="A1119" s="3">
        <v>2084</v>
      </c>
      <c r="B1119" s="63">
        <f t="shared" ca="1" si="49"/>
        <v>14.435274999999997</v>
      </c>
      <c r="C1119" s="63">
        <f t="shared" ca="1" si="49"/>
        <v>14.435274999999997</v>
      </c>
      <c r="D1119" s="63">
        <f t="shared" ca="1" si="49"/>
        <v>14.438783333333332</v>
      </c>
      <c r="E1119" s="63">
        <f t="shared" ca="1" si="49"/>
        <v>16.411466666666669</v>
      </c>
      <c r="F1119" s="63">
        <f t="shared" ca="1" si="49"/>
        <v>16.411466666666669</v>
      </c>
      <c r="G1119" s="63">
        <f t="shared" ca="1" si="49"/>
        <v>16.41576666666667</v>
      </c>
      <c r="H1119" s="63">
        <f t="shared" ca="1" si="49"/>
        <v>28.209475000000001</v>
      </c>
      <c r="I1119" s="63">
        <f t="shared" ca="1" si="49"/>
        <v>28.213766666666661</v>
      </c>
      <c r="J1119" s="63">
        <f t="shared" ca="1" si="49"/>
        <v>16.411466666666669</v>
      </c>
      <c r="K1119" s="63">
        <f t="shared" ca="1" si="49"/>
        <v>16.41576666666667</v>
      </c>
    </row>
    <row r="1120" spans="1:11" ht="15">
      <c r="A1120" s="3">
        <v>2085</v>
      </c>
      <c r="B1120" s="63">
        <f t="shared" ca="1" si="49"/>
        <v>14.672899999999998</v>
      </c>
      <c r="C1120" s="63">
        <f t="shared" ca="1" si="49"/>
        <v>14.672899999999998</v>
      </c>
      <c r="D1120" s="63">
        <f t="shared" ca="1" si="49"/>
        <v>14.676408333333335</v>
      </c>
      <c r="E1120" s="63">
        <f t="shared" ca="1" si="49"/>
        <v>16.668466666666667</v>
      </c>
      <c r="F1120" s="63">
        <f t="shared" ca="1" si="49"/>
        <v>16.668466666666667</v>
      </c>
      <c r="G1120" s="63">
        <f t="shared" ca="1" si="49"/>
        <v>16.672791666666669</v>
      </c>
      <c r="H1120" s="63">
        <f t="shared" ca="1" si="49"/>
        <v>28.660508333333336</v>
      </c>
      <c r="I1120" s="63">
        <f t="shared" ca="1" si="49"/>
        <v>28.664816666666667</v>
      </c>
      <c r="J1120" s="63">
        <f t="shared" ca="1" si="49"/>
        <v>16.668466666666667</v>
      </c>
      <c r="K1120" s="63">
        <f t="shared" ca="1" si="49"/>
        <v>16.672791666666669</v>
      </c>
    </row>
    <row r="1121" spans="1:11" ht="15">
      <c r="A1121" s="3">
        <v>2086</v>
      </c>
      <c r="B1121" s="63">
        <f t="shared" ca="1" si="49"/>
        <v>14.910500000000004</v>
      </c>
      <c r="C1121" s="63">
        <f t="shared" ca="1" si="49"/>
        <v>14.910500000000004</v>
      </c>
      <c r="D1121" s="63">
        <f t="shared" ca="1" si="49"/>
        <v>14.914041666666668</v>
      </c>
      <c r="E1121" s="63">
        <f t="shared" ca="1" si="49"/>
        <v>16.925483333333336</v>
      </c>
      <c r="F1121" s="63">
        <f t="shared" ca="1" si="49"/>
        <v>16.925483333333336</v>
      </c>
      <c r="G1121" s="63">
        <f t="shared" ca="1" si="49"/>
        <v>16.929800000000004</v>
      </c>
      <c r="H1121" s="63">
        <f t="shared" ca="1" si="49"/>
        <v>29.11153333333333</v>
      </c>
      <c r="I1121" s="63">
        <f t="shared" ca="1" si="49"/>
        <v>29.115849999999998</v>
      </c>
      <c r="J1121" s="63">
        <f t="shared" ca="1" si="49"/>
        <v>16.925483333333336</v>
      </c>
      <c r="K1121" s="63">
        <f t="shared" ca="1" si="49"/>
        <v>16.929800000000004</v>
      </c>
    </row>
    <row r="1122" spans="1:11" ht="15">
      <c r="A1122" s="3">
        <v>2087</v>
      </c>
      <c r="B1122" s="63">
        <f t="shared" ca="1" si="49"/>
        <v>15.148116666666667</v>
      </c>
      <c r="C1122" s="63">
        <f t="shared" ca="1" si="49"/>
        <v>15.148116666666667</v>
      </c>
      <c r="D1122" s="63">
        <f t="shared" ca="1" si="49"/>
        <v>15.151633333333335</v>
      </c>
      <c r="E1122" s="63">
        <f t="shared" ca="1" si="49"/>
        <v>17.182508333333335</v>
      </c>
      <c r="F1122" s="63">
        <f t="shared" ca="1" si="49"/>
        <v>17.182508333333335</v>
      </c>
      <c r="G1122" s="63">
        <f t="shared" ca="1" si="49"/>
        <v>17.186808333333335</v>
      </c>
      <c r="H1122" s="63">
        <f t="shared" ca="1" si="49"/>
        <v>29.562583333333333</v>
      </c>
      <c r="I1122" s="63">
        <f t="shared" ca="1" si="49"/>
        <v>29.566875000000007</v>
      </c>
      <c r="J1122" s="63">
        <f t="shared" ca="1" si="49"/>
        <v>17.182508333333335</v>
      </c>
      <c r="K1122" s="63">
        <f t="shared" ca="1" si="49"/>
        <v>17.186808333333335</v>
      </c>
    </row>
    <row r="1123" spans="1:11" ht="15">
      <c r="A1123" s="3">
        <v>2088</v>
      </c>
      <c r="B1123" s="63">
        <f t="shared" ca="1" si="49"/>
        <v>15.385741666666663</v>
      </c>
      <c r="C1123" s="63">
        <f t="shared" ca="1" si="49"/>
        <v>15.385741666666663</v>
      </c>
      <c r="D1123" s="63">
        <f t="shared" ca="1" si="49"/>
        <v>15.389249999999997</v>
      </c>
      <c r="E1123" s="63">
        <f t="shared" ca="1" si="49"/>
        <v>17.439516666666666</v>
      </c>
      <c r="F1123" s="63">
        <f t="shared" ca="1" si="49"/>
        <v>17.439516666666666</v>
      </c>
      <c r="G1123" s="63">
        <f t="shared" ca="1" si="49"/>
        <v>17.44383333333333</v>
      </c>
      <c r="H1123" s="63">
        <f t="shared" ca="1" si="49"/>
        <v>30.013625000000005</v>
      </c>
      <c r="I1123" s="63">
        <f t="shared" ca="1" si="49"/>
        <v>30.017908333333338</v>
      </c>
      <c r="J1123" s="63">
        <f t="shared" ca="1" si="49"/>
        <v>17.439516666666666</v>
      </c>
      <c r="K1123" s="63">
        <f t="shared" ca="1" si="49"/>
        <v>17.44383333333333</v>
      </c>
    </row>
    <row r="1124" spans="1:11" ht="15">
      <c r="A1124" s="3">
        <v>2089</v>
      </c>
      <c r="B1124" s="63">
        <f t="shared" ca="1" si="49"/>
        <v>15.623341666666667</v>
      </c>
      <c r="C1124" s="63">
        <f t="shared" ca="1" si="49"/>
        <v>15.623341666666667</v>
      </c>
      <c r="D1124" s="63">
        <f t="shared" ca="1" si="49"/>
        <v>15.626866666666665</v>
      </c>
      <c r="E1124" s="63">
        <f t="shared" ca="1" si="49"/>
        <v>17.696524999999998</v>
      </c>
      <c r="F1124" s="63">
        <f t="shared" ca="1" si="49"/>
        <v>17.696524999999998</v>
      </c>
      <c r="G1124" s="63">
        <f t="shared" ca="1" si="49"/>
        <v>17.700808333333331</v>
      </c>
      <c r="H1124" s="63">
        <f t="shared" ca="1" si="49"/>
        <v>30.464666666666663</v>
      </c>
      <c r="I1124" s="63">
        <f t="shared" ca="1" si="49"/>
        <v>30.468958333333333</v>
      </c>
      <c r="J1124" s="63">
        <f t="shared" ca="1" si="49"/>
        <v>17.696524999999998</v>
      </c>
      <c r="K1124" s="63">
        <f t="shared" ca="1" si="49"/>
        <v>17.700808333333331</v>
      </c>
    </row>
    <row r="1125" spans="1:11" ht="15">
      <c r="A1125" s="3">
        <v>2090</v>
      </c>
      <c r="B1125" s="63">
        <f t="shared" ca="1" si="49"/>
        <v>15.860966666666668</v>
      </c>
      <c r="C1125" s="63">
        <f t="shared" ca="1" si="49"/>
        <v>15.860966666666668</v>
      </c>
      <c r="D1125" s="63">
        <f t="shared" ca="1" si="49"/>
        <v>15.864475000000001</v>
      </c>
      <c r="E1125" s="63">
        <f t="shared" ca="1" si="49"/>
        <v>17.953533333333333</v>
      </c>
      <c r="F1125" s="63">
        <f t="shared" ca="1" si="49"/>
        <v>17.953533333333333</v>
      </c>
      <c r="G1125" s="63">
        <f t="shared" ca="1" si="49"/>
        <v>17.957825</v>
      </c>
      <c r="H1125" s="63">
        <f t="shared" ca="1" si="49"/>
        <v>30.915683333333337</v>
      </c>
      <c r="I1125" s="63">
        <f t="shared" ca="1" si="49"/>
        <v>30.920008333333332</v>
      </c>
      <c r="J1125" s="63">
        <f t="shared" ca="1" si="49"/>
        <v>17.953533333333333</v>
      </c>
      <c r="K1125" s="63">
        <f t="shared" ca="1" si="49"/>
        <v>17.957825</v>
      </c>
    </row>
    <row r="1126" spans="1:11" ht="15">
      <c r="A1126" s="3">
        <v>2091</v>
      </c>
      <c r="B1126" s="63">
        <f t="shared" ca="1" si="49"/>
        <v>16.098591666666668</v>
      </c>
      <c r="C1126" s="63">
        <f t="shared" ca="1" si="49"/>
        <v>16.098591666666668</v>
      </c>
      <c r="D1126" s="63">
        <f t="shared" ca="1" si="49"/>
        <v>16.102100000000004</v>
      </c>
      <c r="E1126" s="63">
        <f t="shared" ca="1" si="49"/>
        <v>18.210533333333338</v>
      </c>
      <c r="F1126" s="63">
        <f t="shared" ca="1" si="49"/>
        <v>18.210533333333338</v>
      </c>
      <c r="G1126" s="63">
        <f t="shared" ca="1" si="49"/>
        <v>18.214841666666668</v>
      </c>
      <c r="H1126" s="63">
        <f t="shared" ca="1" si="49"/>
        <v>31.366708333333332</v>
      </c>
      <c r="I1126" s="63">
        <f t="shared" ca="1" si="49"/>
        <v>31.371033333333333</v>
      </c>
      <c r="J1126" s="63">
        <f t="shared" ca="1" si="49"/>
        <v>18.210533333333338</v>
      </c>
      <c r="K1126" s="63">
        <f t="shared" ca="1" si="49"/>
        <v>18.214841666666668</v>
      </c>
    </row>
    <row r="1127" spans="1:11" ht="15">
      <c r="A1127" s="3">
        <v>2092</v>
      </c>
      <c r="B1127" s="63">
        <f t="shared" ref="B1127:K1135" ca="1" si="50">AVERAGE(OFFSET(B$581,($A1127-$A$1097)*12,0,12,1))</f>
        <v>16.336183333333331</v>
      </c>
      <c r="C1127" s="63">
        <f t="shared" ca="1" si="50"/>
        <v>16.336183333333331</v>
      </c>
      <c r="D1127" s="63">
        <f t="shared" ca="1" si="50"/>
        <v>16.339716666666664</v>
      </c>
      <c r="E1127" s="63">
        <f t="shared" ca="1" si="50"/>
        <v>18.467549999999999</v>
      </c>
      <c r="F1127" s="63">
        <f t="shared" ca="1" si="50"/>
        <v>18.467549999999999</v>
      </c>
      <c r="G1127" s="63">
        <f t="shared" ca="1" si="50"/>
        <v>18.471858333333333</v>
      </c>
      <c r="H1127" s="63">
        <f t="shared" ca="1" si="50"/>
        <v>31.817750000000007</v>
      </c>
      <c r="I1127" s="63">
        <f t="shared" ca="1" si="50"/>
        <v>31.822058333333331</v>
      </c>
      <c r="J1127" s="63">
        <f t="shared" ca="1" si="50"/>
        <v>18.467549999999999</v>
      </c>
      <c r="K1127" s="63">
        <f t="shared" ca="1" si="50"/>
        <v>18.471858333333333</v>
      </c>
    </row>
    <row r="1128" spans="1:11" ht="15">
      <c r="A1128" s="3">
        <v>2093</v>
      </c>
      <c r="B1128" s="63">
        <f t="shared" ca="1" si="50"/>
        <v>16.573799999999999</v>
      </c>
      <c r="C1128" s="63">
        <f t="shared" ca="1" si="50"/>
        <v>16.573799999999999</v>
      </c>
      <c r="D1128" s="63">
        <f t="shared" ca="1" si="50"/>
        <v>16.577300000000001</v>
      </c>
      <c r="E1128" s="63">
        <f t="shared" ca="1" si="50"/>
        <v>18.724558333333331</v>
      </c>
      <c r="F1128" s="63">
        <f t="shared" ca="1" si="50"/>
        <v>18.724558333333331</v>
      </c>
      <c r="G1128" s="63">
        <f t="shared" ca="1" si="50"/>
        <v>18.728874999999999</v>
      </c>
      <c r="H1128" s="63">
        <f t="shared" ca="1" si="50"/>
        <v>32.268808333333332</v>
      </c>
      <c r="I1128" s="63">
        <f t="shared" ca="1" si="50"/>
        <v>32.273108333333333</v>
      </c>
      <c r="J1128" s="63">
        <f t="shared" ca="1" si="50"/>
        <v>18.724558333333331</v>
      </c>
      <c r="K1128" s="63">
        <f t="shared" ca="1" si="50"/>
        <v>18.728874999999999</v>
      </c>
    </row>
    <row r="1129" spans="1:11" ht="15">
      <c r="A1129" s="3">
        <v>2094</v>
      </c>
      <c r="B1129" s="63">
        <f t="shared" ca="1" si="50"/>
        <v>16.81141666666667</v>
      </c>
      <c r="C1129" s="63">
        <f t="shared" ca="1" si="50"/>
        <v>16.81141666666667</v>
      </c>
      <c r="D1129" s="63">
        <f t="shared" ca="1" si="50"/>
        <v>16.814933333333332</v>
      </c>
      <c r="E1129" s="63">
        <f t="shared" ca="1" si="50"/>
        <v>18.981583333333333</v>
      </c>
      <c r="F1129" s="63">
        <f t="shared" ca="1" si="50"/>
        <v>18.981583333333333</v>
      </c>
      <c r="G1129" s="63">
        <f t="shared" ca="1" si="50"/>
        <v>18.985875</v>
      </c>
      <c r="H1129" s="63">
        <f t="shared" ca="1" si="50"/>
        <v>32.719841666666667</v>
      </c>
      <c r="I1129" s="63">
        <f t="shared" ca="1" si="50"/>
        <v>32.724141666666675</v>
      </c>
      <c r="J1129" s="63">
        <f t="shared" ca="1" si="50"/>
        <v>18.981583333333333</v>
      </c>
      <c r="K1129" s="63">
        <f t="shared" ca="1" si="50"/>
        <v>18.985875</v>
      </c>
    </row>
    <row r="1130" spans="1:11" ht="15">
      <c r="A1130" s="3">
        <v>2095</v>
      </c>
      <c r="B1130" s="63">
        <f t="shared" ca="1" si="50"/>
        <v>17.049025</v>
      </c>
      <c r="C1130" s="63">
        <f t="shared" ca="1" si="50"/>
        <v>17.049025</v>
      </c>
      <c r="D1130" s="63">
        <f t="shared" ca="1" si="50"/>
        <v>17.05255</v>
      </c>
      <c r="E1130" s="63">
        <f t="shared" ca="1" si="50"/>
        <v>19.238591666666668</v>
      </c>
      <c r="F1130" s="63">
        <f t="shared" ca="1" si="50"/>
        <v>19.238591666666668</v>
      </c>
      <c r="G1130" s="63">
        <f t="shared" ca="1" si="50"/>
        <v>19.242875000000002</v>
      </c>
      <c r="H1130" s="63">
        <f t="shared" ca="1" si="50"/>
        <v>33.170858333333335</v>
      </c>
      <c r="I1130" s="63">
        <f t="shared" ca="1" si="50"/>
        <v>33.175174999999996</v>
      </c>
      <c r="J1130" s="63">
        <f t="shared" ca="1" si="50"/>
        <v>19.238591666666668</v>
      </c>
      <c r="K1130" s="63">
        <f t="shared" ca="1" si="50"/>
        <v>19.242875000000002</v>
      </c>
    </row>
    <row r="1131" spans="1:11" ht="15">
      <c r="A1131" s="3">
        <v>2096</v>
      </c>
      <c r="B1131" s="63">
        <f t="shared" ca="1" si="50"/>
        <v>17.286658333333332</v>
      </c>
      <c r="C1131" s="63">
        <f t="shared" ca="1" si="50"/>
        <v>17.286658333333332</v>
      </c>
      <c r="D1131" s="63">
        <f t="shared" ca="1" si="50"/>
        <v>17.290166666666668</v>
      </c>
      <c r="E1131" s="63">
        <f t="shared" ca="1" si="50"/>
        <v>19.49559166666667</v>
      </c>
      <c r="F1131" s="63">
        <f t="shared" ca="1" si="50"/>
        <v>19.49559166666667</v>
      </c>
      <c r="G1131" s="63">
        <f t="shared" ca="1" si="50"/>
        <v>19.4999</v>
      </c>
      <c r="H1131" s="63">
        <f t="shared" ca="1" si="50"/>
        <v>33.621900000000004</v>
      </c>
      <c r="I1131" s="63">
        <f t="shared" ca="1" si="50"/>
        <v>33.626216666666664</v>
      </c>
      <c r="J1131" s="63">
        <f t="shared" ca="1" si="50"/>
        <v>19.49559166666667</v>
      </c>
      <c r="K1131" s="63">
        <f t="shared" ca="1" si="50"/>
        <v>19.4999</v>
      </c>
    </row>
    <row r="1132" spans="1:11" ht="15">
      <c r="A1132" s="3">
        <v>2097</v>
      </c>
      <c r="B1132" s="63">
        <f t="shared" ca="1" si="50"/>
        <v>17.524258333333332</v>
      </c>
      <c r="C1132" s="63">
        <f t="shared" ca="1" si="50"/>
        <v>17.524258333333332</v>
      </c>
      <c r="D1132" s="63">
        <f t="shared" ca="1" si="50"/>
        <v>17.527791666666666</v>
      </c>
      <c r="E1132" s="63">
        <f t="shared" ca="1" si="50"/>
        <v>19.752591666666664</v>
      </c>
      <c r="F1132" s="63">
        <f t="shared" ca="1" si="50"/>
        <v>19.752591666666664</v>
      </c>
      <c r="G1132" s="63">
        <f t="shared" ca="1" si="50"/>
        <v>19.756900000000002</v>
      </c>
      <c r="H1132" s="63">
        <f t="shared" ca="1" si="50"/>
        <v>34.072941666666665</v>
      </c>
      <c r="I1132" s="63">
        <f t="shared" ca="1" si="50"/>
        <v>34.077241666666666</v>
      </c>
      <c r="J1132" s="63">
        <f t="shared" ca="1" si="50"/>
        <v>19.752591666666664</v>
      </c>
      <c r="K1132" s="63">
        <f t="shared" ca="1" si="50"/>
        <v>19.756900000000002</v>
      </c>
    </row>
    <row r="1133" spans="1:11" ht="15">
      <c r="A1133" s="3">
        <v>2098</v>
      </c>
      <c r="B1133" s="63">
        <f t="shared" ca="1" si="50"/>
        <v>17.761866666666666</v>
      </c>
      <c r="C1133" s="63">
        <f t="shared" ca="1" si="50"/>
        <v>17.761866666666666</v>
      </c>
      <c r="D1133" s="63">
        <f t="shared" ca="1" si="50"/>
        <v>17.765375000000002</v>
      </c>
      <c r="E1133" s="63">
        <f t="shared" ca="1" si="50"/>
        <v>20.009608333333329</v>
      </c>
      <c r="F1133" s="63">
        <f t="shared" ca="1" si="50"/>
        <v>20.009608333333329</v>
      </c>
      <c r="G1133" s="63">
        <f t="shared" ca="1" si="50"/>
        <v>20.013924999999997</v>
      </c>
      <c r="H1133" s="63">
        <f t="shared" ca="1" si="50"/>
        <v>34.523975</v>
      </c>
      <c r="I1133" s="63">
        <f t="shared" ca="1" si="50"/>
        <v>34.528283333333327</v>
      </c>
      <c r="J1133" s="63">
        <f t="shared" ca="1" si="50"/>
        <v>20.009608333333329</v>
      </c>
      <c r="K1133" s="63">
        <f t="shared" ca="1" si="50"/>
        <v>20.013924999999997</v>
      </c>
    </row>
    <row r="1134" spans="1:11" ht="15">
      <c r="A1134" s="3">
        <v>2099</v>
      </c>
      <c r="B1134" s="63">
        <f t="shared" ca="1" si="50"/>
        <v>17.999491666666668</v>
      </c>
      <c r="C1134" s="63">
        <f t="shared" ca="1" si="50"/>
        <v>17.999491666666668</v>
      </c>
      <c r="D1134" s="63">
        <f t="shared" ca="1" si="50"/>
        <v>18.003000000000004</v>
      </c>
      <c r="E1134" s="63">
        <f t="shared" ca="1" si="50"/>
        <v>20.266633333333331</v>
      </c>
      <c r="F1134" s="63">
        <f t="shared" ca="1" si="50"/>
        <v>20.266633333333331</v>
      </c>
      <c r="G1134" s="63">
        <f t="shared" ca="1" si="50"/>
        <v>20.270916666666668</v>
      </c>
      <c r="H1134" s="63">
        <f t="shared" ca="1" si="50"/>
        <v>34.975008333333335</v>
      </c>
      <c r="I1134" s="63">
        <f t="shared" ca="1" si="50"/>
        <v>34.979325000000003</v>
      </c>
      <c r="J1134" s="63">
        <f t="shared" ca="1" si="50"/>
        <v>20.266633333333331</v>
      </c>
      <c r="K1134" s="63">
        <f t="shared" ca="1" si="50"/>
        <v>20.270916666666668</v>
      </c>
    </row>
    <row r="1135" spans="1:11" ht="15">
      <c r="A1135" s="3">
        <v>2100</v>
      </c>
      <c r="B1135" s="63">
        <f t="shared" ca="1" si="50"/>
        <v>18.237108333333328</v>
      </c>
      <c r="C1135" s="63">
        <f t="shared" ca="1" si="50"/>
        <v>18.237108333333328</v>
      </c>
      <c r="D1135" s="63">
        <f t="shared" ca="1" si="50"/>
        <v>18.240624999999998</v>
      </c>
      <c r="E1135" s="63">
        <f t="shared" ca="1" si="50"/>
        <v>20.523624999999999</v>
      </c>
      <c r="F1135" s="63">
        <f t="shared" ca="1" si="50"/>
        <v>20.523624999999999</v>
      </c>
      <c r="G1135" s="63">
        <f t="shared" ca="1" si="50"/>
        <v>20.527941666666667</v>
      </c>
      <c r="H1135" s="63">
        <f t="shared" ca="1" si="50"/>
        <v>35.426049999999996</v>
      </c>
      <c r="I1135" s="63">
        <f t="shared" ca="1" si="50"/>
        <v>35.43033333333333</v>
      </c>
      <c r="J1135" s="63">
        <f t="shared" ca="1" si="50"/>
        <v>20.523624999999999</v>
      </c>
      <c r="K1135" s="63">
        <f t="shared" ca="1" si="50"/>
        <v>20.527941666666667</v>
      </c>
    </row>
  </sheetData>
  <mergeCells count="7">
    <mergeCell ref="B14:D14"/>
    <mergeCell ref="L14:M14"/>
    <mergeCell ref="N14:O14"/>
    <mergeCell ref="L13:O13"/>
    <mergeCell ref="E14:G14"/>
    <mergeCell ref="J14:K14"/>
    <mergeCell ref="H14:I14"/>
  </mergeCells>
  <pageMargins left="0.25" right="0.25" top="0.5" bottom="0.5" header="0.25" footer="0.25"/>
  <pageSetup paperSize="119" scale="80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381000</xdr:colOff>
                    <xdr:row>12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37"/>
  <sheetViews>
    <sheetView showGridLines="0" workbookViewId="0">
      <selection activeCell="A6" sqref="A6"/>
    </sheetView>
  </sheetViews>
  <sheetFormatPr defaultColWidth="8.88671875" defaultRowHeight="15.75"/>
  <cols>
    <col min="1" max="1" width="8.88671875" style="76"/>
    <col min="2" max="2" width="15.5546875" style="76" bestFit="1" customWidth="1"/>
    <col min="3" max="3" width="9.5546875" style="76" bestFit="1" customWidth="1"/>
    <col min="4" max="16384" width="8.88671875" style="76"/>
  </cols>
  <sheetData>
    <row r="1" spans="1:3">
      <c r="A1" s="84" t="s">
        <v>64</v>
      </c>
    </row>
    <row r="2" spans="1:3">
      <c r="A2" s="84" t="s">
        <v>65</v>
      </c>
    </row>
    <row r="3" spans="1:3">
      <c r="A3" s="84" t="s">
        <v>66</v>
      </c>
    </row>
    <row r="4" spans="1:3">
      <c r="A4" s="84" t="s">
        <v>67</v>
      </c>
    </row>
    <row r="5" spans="1:3">
      <c r="A5" s="84" t="s">
        <v>69</v>
      </c>
    </row>
    <row r="6" spans="1:3">
      <c r="A6" s="84" t="s">
        <v>73</v>
      </c>
    </row>
    <row r="8" spans="1:3">
      <c r="B8" s="81" t="s">
        <v>63</v>
      </c>
      <c r="C8" s="81" t="s">
        <v>54</v>
      </c>
    </row>
    <row r="9" spans="1:3">
      <c r="B9" s="83" t="s">
        <v>61</v>
      </c>
      <c r="C9" s="93">
        <v>2</v>
      </c>
    </row>
    <row r="10" spans="1:3">
      <c r="B10" s="83" t="s">
        <v>60</v>
      </c>
      <c r="C10" s="95"/>
    </row>
    <row r="11" spans="1:3">
      <c r="B11" s="82" t="s">
        <v>59</v>
      </c>
      <c r="C11" s="94"/>
    </row>
    <row r="14" spans="1:3">
      <c r="B14" s="81" t="s">
        <v>55</v>
      </c>
      <c r="C14" s="81" t="s">
        <v>54</v>
      </c>
    </row>
    <row r="15" spans="1:3">
      <c r="B15" s="83" t="s">
        <v>61</v>
      </c>
      <c r="C15" s="93">
        <v>2</v>
      </c>
    </row>
    <row r="16" spans="1:3">
      <c r="B16" s="83" t="s">
        <v>60</v>
      </c>
      <c r="C16" s="95"/>
    </row>
    <row r="17" spans="2:3">
      <c r="B17" s="82" t="s">
        <v>59</v>
      </c>
      <c r="C17" s="94"/>
    </row>
    <row r="21" spans="2:3">
      <c r="B21" s="81" t="s">
        <v>62</v>
      </c>
      <c r="C21" s="81" t="s">
        <v>54</v>
      </c>
    </row>
    <row r="22" spans="2:3">
      <c r="B22" s="83" t="s">
        <v>61</v>
      </c>
      <c r="C22" s="93">
        <v>2</v>
      </c>
    </row>
    <row r="23" spans="2:3">
      <c r="B23" s="83" t="s">
        <v>60</v>
      </c>
      <c r="C23" s="95"/>
    </row>
    <row r="24" spans="2:3">
      <c r="B24" s="82" t="s">
        <v>59</v>
      </c>
      <c r="C24" s="94"/>
    </row>
    <row r="27" spans="2:3">
      <c r="B27" s="81" t="s">
        <v>58</v>
      </c>
      <c r="C27" s="81" t="s">
        <v>54</v>
      </c>
    </row>
    <row r="28" spans="2:3">
      <c r="B28" s="80" t="s">
        <v>57</v>
      </c>
      <c r="C28" s="93">
        <v>1</v>
      </c>
    </row>
    <row r="29" spans="2:3">
      <c r="B29" s="79" t="s">
        <v>56</v>
      </c>
      <c r="C29" s="94"/>
    </row>
    <row r="31" spans="2:3">
      <c r="B31" s="81" t="s">
        <v>55</v>
      </c>
      <c r="C31" s="81" t="s">
        <v>54</v>
      </c>
    </row>
    <row r="32" spans="2:3">
      <c r="B32" s="80" t="s">
        <v>53</v>
      </c>
      <c r="C32" s="93">
        <v>1</v>
      </c>
    </row>
    <row r="33" spans="2:5">
      <c r="B33" s="79" t="s">
        <v>52</v>
      </c>
      <c r="C33" s="94"/>
    </row>
    <row r="37" spans="2:5">
      <c r="C37" s="78"/>
      <c r="E37" s="77"/>
    </row>
  </sheetData>
  <mergeCells count="5">
    <mergeCell ref="C32:C33"/>
    <mergeCell ref="C22:C24"/>
    <mergeCell ref="C28:C29"/>
    <mergeCell ref="C9:C11"/>
    <mergeCell ref="C15:C17"/>
  </mergeCells>
  <pageMargins left="0.25" right="0.25" top="0.5" bottom="0.5" header="0.25" footer="0.25"/>
  <pageSetup paperSize="119" orientation="portrait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RAP-NATURAL GAS PRICES</vt:lpstr>
      <vt:lpstr>RAP TEMPLATE-GAS AVAILABILITY</vt:lpstr>
      <vt:lpstr>RAP-HEAVY &amp; LIGHT OIL &amp; WTI</vt:lpstr>
      <vt:lpstr>RAP-SOLID FUEL PRICES</vt:lpstr>
      <vt:lpstr>CONTROL</vt:lpstr>
      <vt:lpstr>'RAP TEMPLATE-GAS AVAILABILITY'!Print_Area</vt:lpstr>
      <vt:lpstr>'RAP-HEAVY &amp; LIGHT OIL &amp; WTI'!Print_Area</vt:lpstr>
      <vt:lpstr>'RAP-NATURAL GAS PRICES'!Print_Area</vt:lpstr>
      <vt:lpstr>'RAP-SOLID FUEL PRICES'!Print_Area</vt:lpstr>
      <vt:lpstr>'RAP TEMPLATE-GAS AVAILABILITY'!Print_Titles</vt:lpstr>
      <vt:lpstr>'RAP-HEAVY &amp; LIGHT OIL &amp; WTI'!Print_Titles</vt:lpstr>
      <vt:lpstr>'RAP-NATURAL GAS PRICES'!Print_Titles</vt:lpstr>
      <vt:lpstr>'RAP-SOLID FUEL PRICES'!Print_Titles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2016-07-29T14:12:15Z</dcterms:created>
  <dcterms:modified xsi:type="dcterms:W3CDTF">2016-07-29T14:12:20Z</dcterms:modified>
</cp:coreProperties>
</file>